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40" yWindow="460" windowWidth="326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'SegEnds_Xtal_Prot#'!$A$1:$CT$365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'SegEnds_Xtal_Prot#'!$A$1:$CT$365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70" i="1" l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H207" i="1"/>
  <c r="A207" i="1"/>
  <c r="D207" i="1"/>
  <c r="F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D70" i="2"/>
  <c r="B166" i="4"/>
  <c r="D166" i="4"/>
  <c r="E190" i="5"/>
  <c r="D39" i="2"/>
  <c r="B167" i="4"/>
  <c r="D167" i="4"/>
  <c r="E191" i="5"/>
  <c r="AC71" i="2"/>
  <c r="AD71" i="2"/>
  <c r="AE71" i="2"/>
  <c r="H70" i="2"/>
  <c r="H166" i="4"/>
  <c r="K190" i="5"/>
  <c r="H39" i="2"/>
  <c r="H167" i="4"/>
  <c r="K191" i="5"/>
  <c r="AF71" i="2"/>
  <c r="AG71" i="2"/>
  <c r="AH71" i="2"/>
  <c r="AI71" i="2"/>
  <c r="AJ71" i="2"/>
  <c r="AK71" i="2"/>
  <c r="M70" i="2"/>
  <c r="M166" i="4"/>
  <c r="R190" i="5"/>
  <c r="L70" i="2"/>
  <c r="L166" i="4"/>
  <c r="Q190" i="5"/>
  <c r="M39" i="2"/>
  <c r="M167" i="4"/>
  <c r="R191" i="5"/>
  <c r="L39" i="2"/>
  <c r="L167" i="4"/>
  <c r="Q191" i="5"/>
  <c r="AL71" i="2"/>
  <c r="AM71" i="2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C199" i="1"/>
  <c r="BC200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Z200" i="1"/>
  <c r="BA200" i="1"/>
  <c r="BB200" i="1"/>
  <c r="S70" i="2"/>
  <c r="S166" i="4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211" i="1"/>
  <c r="C70" i="2"/>
  <c r="E70" i="2"/>
  <c r="F70" i="2"/>
  <c r="G70" i="2"/>
  <c r="I70" i="2"/>
  <c r="J70" i="2"/>
  <c r="K70" i="2"/>
  <c r="N70" i="2"/>
  <c r="O70" i="2"/>
  <c r="P70" i="2"/>
  <c r="Q70" i="2"/>
  <c r="R70" i="2"/>
  <c r="T70" i="2"/>
  <c r="U70" i="2"/>
  <c r="V70" i="2"/>
  <c r="W70" i="2"/>
  <c r="X70" i="2"/>
  <c r="Y70" i="2"/>
  <c r="Z70" i="2"/>
  <c r="AA70" i="2"/>
  <c r="AB70" i="2"/>
  <c r="D69" i="2"/>
  <c r="B146" i="4"/>
  <c r="D146" i="4"/>
  <c r="E43" i="5"/>
  <c r="D57" i="2"/>
  <c r="AC70" i="2"/>
  <c r="AD70" i="2"/>
  <c r="AE70" i="2"/>
  <c r="H69" i="2"/>
  <c r="H146" i="4"/>
  <c r="K43" i="5"/>
  <c r="H57" i="2"/>
  <c r="AF70" i="2"/>
  <c r="AG70" i="2"/>
  <c r="AH70" i="2"/>
  <c r="AI70" i="2"/>
  <c r="AJ70" i="2"/>
  <c r="AK70" i="2"/>
  <c r="M69" i="2"/>
  <c r="M146" i="4"/>
  <c r="R43" i="5"/>
  <c r="L69" i="2"/>
  <c r="L146" i="4"/>
  <c r="Q43" i="5"/>
  <c r="L57" i="2"/>
  <c r="AL70" i="2"/>
  <c r="AM70" i="2"/>
  <c r="AH198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J198" i="1"/>
  <c r="AL198" i="1"/>
  <c r="AN198" i="1"/>
  <c r="AP198" i="1"/>
  <c r="AR198" i="1"/>
  <c r="AT198" i="1"/>
  <c r="AV198" i="1"/>
  <c r="AX198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T199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C69" i="2"/>
  <c r="E69" i="2"/>
  <c r="F69" i="2"/>
  <c r="G69" i="2"/>
  <c r="I69" i="2"/>
  <c r="J69" i="2"/>
  <c r="K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65" i="4"/>
  <c r="D65" i="4"/>
  <c r="E91" i="5"/>
  <c r="D9" i="2"/>
  <c r="AC69" i="2"/>
  <c r="AD69" i="2"/>
  <c r="AE69" i="2"/>
  <c r="L91" i="5"/>
  <c r="K91" i="5"/>
  <c r="H9" i="2"/>
  <c r="AF69" i="2"/>
  <c r="AG69" i="2"/>
  <c r="AH69" i="2"/>
  <c r="AI69" i="2"/>
  <c r="AJ69" i="2"/>
  <c r="O91" i="5"/>
  <c r="N91" i="5"/>
  <c r="AK69" i="2"/>
  <c r="L68" i="2"/>
  <c r="L65" i="4"/>
  <c r="Q91" i="5"/>
  <c r="M9" i="2"/>
  <c r="L9" i="2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65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0" i="4"/>
  <c r="D52" i="2"/>
  <c r="D370" i="4"/>
  <c r="E374" i="5"/>
  <c r="AC68" i="2"/>
  <c r="AD68" i="2"/>
  <c r="AE68" i="2"/>
  <c r="I67" i="2"/>
  <c r="I52" i="2"/>
  <c r="I370" i="4"/>
  <c r="L374" i="5"/>
  <c r="H67" i="2"/>
  <c r="H52" i="2"/>
  <c r="H370" i="4"/>
  <c r="K374" i="5"/>
  <c r="AF68" i="2"/>
  <c r="AG68" i="2"/>
  <c r="AH68" i="2"/>
  <c r="AI68" i="2"/>
  <c r="AJ68" i="2"/>
  <c r="K67" i="2"/>
  <c r="K52" i="2"/>
  <c r="K370" i="4"/>
  <c r="O374" i="5"/>
  <c r="J67" i="2"/>
  <c r="J52" i="2"/>
  <c r="J370" i="4"/>
  <c r="N374" i="5"/>
  <c r="AK68" i="2"/>
  <c r="M67" i="2"/>
  <c r="M52" i="2"/>
  <c r="M370" i="4"/>
  <c r="R374" i="5"/>
  <c r="L67" i="2"/>
  <c r="L52" i="2"/>
  <c r="L370" i="4"/>
  <c r="Q374" i="5"/>
  <c r="AL68" i="2"/>
  <c r="AM68" i="2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356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V67" i="2"/>
  <c r="V52" i="2"/>
  <c r="V370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286" i="4"/>
  <c r="E286" i="4"/>
  <c r="F240" i="5"/>
  <c r="D66" i="2"/>
  <c r="D286" i="4"/>
  <c r="E240" i="5"/>
  <c r="AC67" i="2"/>
  <c r="I240" i="5"/>
  <c r="F66" i="2"/>
  <c r="F286" i="4"/>
  <c r="H240" i="5"/>
  <c r="AD67" i="2"/>
  <c r="AE67" i="2"/>
  <c r="K240" i="5"/>
  <c r="AF67" i="2"/>
  <c r="AG67" i="2"/>
  <c r="AH67" i="2"/>
  <c r="AI67" i="2"/>
  <c r="AJ67" i="2"/>
  <c r="AK67" i="2"/>
  <c r="M66" i="2"/>
  <c r="M286" i="4"/>
  <c r="R240" i="5"/>
  <c r="L66" i="2"/>
  <c r="L286" i="4"/>
  <c r="Q240" i="5"/>
  <c r="AL67" i="2"/>
  <c r="AM67" i="2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N7" i="2"/>
  <c r="B216" i="4"/>
  <c r="N40" i="2"/>
  <c r="N216" i="4"/>
  <c r="B217" i="4"/>
  <c r="N39" i="2"/>
  <c r="N217" i="4"/>
  <c r="N226" i="5"/>
  <c r="L226" i="5"/>
  <c r="J44" i="2"/>
  <c r="B178" i="4"/>
  <c r="J7" i="2"/>
  <c r="J178" i="4"/>
  <c r="W15" i="2"/>
  <c r="B120" i="4"/>
  <c r="W120" i="4"/>
  <c r="W18" i="2"/>
  <c r="W32" i="2"/>
  <c r="B122" i="4"/>
  <c r="W122" i="4"/>
  <c r="B123" i="4"/>
  <c r="W123" i="4"/>
  <c r="B124" i="4"/>
  <c r="W124" i="4"/>
  <c r="W20" i="2"/>
  <c r="W40" i="2"/>
  <c r="B126" i="4"/>
  <c r="W39" i="2"/>
  <c r="W126" i="4"/>
  <c r="W19" i="2"/>
  <c r="W28" i="2"/>
  <c r="B128" i="4"/>
  <c r="W128" i="4"/>
  <c r="B129" i="4"/>
  <c r="W44" i="2"/>
  <c r="W129" i="4"/>
  <c r="W56" i="2"/>
  <c r="B131" i="4"/>
  <c r="W131" i="4"/>
  <c r="W61" i="2"/>
  <c r="B132" i="4"/>
  <c r="W132" i="4"/>
  <c r="B133" i="4"/>
  <c r="W133" i="4"/>
  <c r="B134" i="4"/>
  <c r="W35" i="2"/>
  <c r="W31" i="2"/>
  <c r="W134" i="4"/>
  <c r="B135" i="4"/>
  <c r="W135" i="4"/>
  <c r="W9" i="2"/>
  <c r="B136" i="4"/>
  <c r="W136" i="4"/>
  <c r="W34" i="2"/>
  <c r="B138" i="4"/>
  <c r="W138" i="4"/>
  <c r="W43" i="2"/>
  <c r="B141" i="4"/>
  <c r="W141" i="4"/>
  <c r="W29" i="2"/>
  <c r="B142" i="4"/>
  <c r="W142" i="4"/>
  <c r="B143" i="4"/>
  <c r="W143" i="4"/>
  <c r="B144" i="4"/>
  <c r="W144" i="4"/>
  <c r="B145" i="4"/>
  <c r="W145" i="4"/>
  <c r="W8" i="2"/>
  <c r="B137" i="4"/>
  <c r="W7" i="2"/>
  <c r="W137" i="4"/>
  <c r="B139" i="4"/>
  <c r="W139" i="4"/>
  <c r="W33" i="2"/>
  <c r="B140" i="4"/>
  <c r="W140" i="4"/>
  <c r="B149" i="4"/>
  <c r="W149" i="4"/>
  <c r="B150" i="4"/>
  <c r="W150" i="4"/>
  <c r="W2" i="2"/>
  <c r="B151" i="4"/>
  <c r="W151" i="4"/>
  <c r="W25" i="2"/>
  <c r="B152" i="4"/>
  <c r="W152" i="4"/>
  <c r="B153" i="4"/>
  <c r="W153" i="4"/>
  <c r="B154" i="4"/>
  <c r="W154" i="4"/>
  <c r="B155" i="4"/>
  <c r="W155" i="4"/>
  <c r="W4" i="2"/>
  <c r="B156" i="4"/>
  <c r="W156" i="4"/>
  <c r="B157" i="4"/>
  <c r="W22" i="2"/>
  <c r="W157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W30" i="2"/>
  <c r="B165" i="4"/>
  <c r="W165" i="4"/>
  <c r="W57" i="2"/>
  <c r="W166" i="4"/>
  <c r="W167" i="4"/>
  <c r="B168" i="4"/>
  <c r="W168" i="4"/>
  <c r="W63" i="2"/>
  <c r="B170" i="4"/>
  <c r="W170" i="4"/>
  <c r="B171" i="4"/>
  <c r="W171" i="4"/>
  <c r="B173" i="4"/>
  <c r="W173" i="4"/>
  <c r="B174" i="4"/>
  <c r="W174" i="4"/>
  <c r="B175" i="4"/>
  <c r="W175" i="4"/>
  <c r="B179" i="4"/>
  <c r="W179" i="4"/>
  <c r="B180" i="4"/>
  <c r="W180" i="4"/>
  <c r="B182" i="4"/>
  <c r="W182" i="4"/>
  <c r="W16" i="2"/>
  <c r="B183" i="4"/>
  <c r="W24" i="2"/>
  <c r="W183" i="4"/>
  <c r="B184" i="4"/>
  <c r="W184" i="4"/>
  <c r="B185" i="4"/>
  <c r="W185" i="4"/>
  <c r="B172" i="4"/>
  <c r="W172" i="4"/>
  <c r="B176" i="4"/>
  <c r="W176" i="4"/>
  <c r="B177" i="4"/>
  <c r="W177" i="4"/>
  <c r="W178" i="4"/>
  <c r="W65" i="2"/>
  <c r="B181" i="4"/>
  <c r="W181" i="4"/>
  <c r="B169" i="4"/>
  <c r="W169" i="4"/>
  <c r="S63" i="2"/>
  <c r="S7" i="2"/>
  <c r="S169" i="4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181" i="4"/>
  <c r="F226" i="5"/>
  <c r="D65" i="2"/>
  <c r="D7" i="2"/>
  <c r="D181" i="4"/>
  <c r="E226" i="5"/>
  <c r="E64" i="2"/>
  <c r="D64" i="2"/>
  <c r="AC66" i="2"/>
  <c r="I226" i="5"/>
  <c r="F65" i="2"/>
  <c r="F7" i="2"/>
  <c r="F181" i="4"/>
  <c r="H226" i="5"/>
  <c r="F64" i="2"/>
  <c r="AD66" i="2"/>
  <c r="AE66" i="2"/>
  <c r="I65" i="2"/>
  <c r="I7" i="2"/>
  <c r="I181" i="4"/>
  <c r="H65" i="2"/>
  <c r="H7" i="2"/>
  <c r="H181" i="4"/>
  <c r="K226" i="5"/>
  <c r="L240" i="5"/>
  <c r="AF66" i="2"/>
  <c r="AG66" i="2"/>
  <c r="AH66" i="2"/>
  <c r="AI66" i="2"/>
  <c r="AJ66" i="2"/>
  <c r="O226" i="5"/>
  <c r="J65" i="2"/>
  <c r="J181" i="4"/>
  <c r="AK66" i="2"/>
  <c r="M65" i="2"/>
  <c r="M7" i="2"/>
  <c r="M181" i="4"/>
  <c r="R226" i="5"/>
  <c r="L65" i="2"/>
  <c r="L7" i="2"/>
  <c r="L181" i="4"/>
  <c r="Q226" i="5"/>
  <c r="M64" i="2"/>
  <c r="L64" i="2"/>
  <c r="AL66" i="2"/>
  <c r="AM66" i="2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293" i="4"/>
  <c r="E293" i="4"/>
  <c r="F225" i="5"/>
  <c r="D293" i="4"/>
  <c r="E225" i="5"/>
  <c r="AC64" i="2"/>
  <c r="I225" i="5"/>
  <c r="F293" i="4"/>
  <c r="H225" i="5"/>
  <c r="AD64" i="2"/>
  <c r="AE64" i="2"/>
  <c r="H293" i="4"/>
  <c r="K225" i="5"/>
  <c r="AF64" i="2"/>
  <c r="AG64" i="2"/>
  <c r="AH64" i="2"/>
  <c r="AI64" i="2"/>
  <c r="AJ64" i="2"/>
  <c r="AK64" i="2"/>
  <c r="M293" i="4"/>
  <c r="R225" i="5"/>
  <c r="L293" i="4"/>
  <c r="Q225" i="5"/>
  <c r="AL64" i="2"/>
  <c r="AM64" i="2"/>
  <c r="AG171" i="5"/>
  <c r="AF171" i="5"/>
  <c r="B290" i="4"/>
  <c r="C61" i="2"/>
  <c r="C290" i="4"/>
  <c r="C171" i="5"/>
  <c r="D61" i="2"/>
  <c r="D290" i="4"/>
  <c r="E171" i="5"/>
  <c r="K171" i="5"/>
  <c r="L61" i="2"/>
  <c r="L290" i="4"/>
  <c r="Q171" i="5"/>
  <c r="M61" i="2"/>
  <c r="M290" i="4"/>
  <c r="R171" i="5"/>
  <c r="T171" i="5"/>
  <c r="U171" i="5"/>
  <c r="P61" i="2"/>
  <c r="P290" i="4"/>
  <c r="W171" i="5"/>
  <c r="Q61" i="2"/>
  <c r="Q290" i="4"/>
  <c r="X171" i="5"/>
  <c r="S61" i="2"/>
  <c r="AA171" i="5"/>
  <c r="AI29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90" i="4" a="1"/>
  <c r="T290" i="4"/>
  <c r="AC171" i="5"/>
  <c r="H6" i="3"/>
  <c r="U290" i="4" a="1"/>
  <c r="U290" i="4"/>
  <c r="AD171" i="5"/>
  <c r="X61" i="2"/>
  <c r="X290" i="4"/>
  <c r="AI171" i="5"/>
  <c r="Y61" i="2"/>
  <c r="Y290" i="4"/>
  <c r="AJ171" i="5"/>
  <c r="Z61" i="2"/>
  <c r="Z290" i="4"/>
  <c r="AL171" i="5"/>
  <c r="AN171" i="5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D78" i="5"/>
  <c r="AI187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87" i="4" a="1"/>
  <c r="T187" i="4"/>
  <c r="AC78" i="5"/>
  <c r="AI242" i="4"/>
  <c r="H10" i="3"/>
  <c r="U242" i="4" a="1"/>
  <c r="U242" i="4"/>
  <c r="AD85" i="5"/>
  <c r="T242" i="4" a="1"/>
  <c r="T242" i="4"/>
  <c r="AC85" i="5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9" i="4"/>
  <c r="E280" i="5"/>
  <c r="E9" i="2"/>
  <c r="AC65" i="2"/>
  <c r="F9" i="2"/>
  <c r="AD65" i="2"/>
  <c r="AE65" i="2"/>
  <c r="H63" i="2"/>
  <c r="H169" i="4"/>
  <c r="K280" i="5"/>
  <c r="I9" i="2"/>
  <c r="AF65" i="2"/>
  <c r="AG65" i="2"/>
  <c r="AH65" i="2"/>
  <c r="AI65" i="2"/>
  <c r="AJ65" i="2"/>
  <c r="J9" i="2"/>
  <c r="AK65" i="2"/>
  <c r="M63" i="2"/>
  <c r="M169" i="4"/>
  <c r="R280" i="5"/>
  <c r="L63" i="2"/>
  <c r="L169" i="4"/>
  <c r="Q280" i="5"/>
  <c r="AL65" i="2"/>
  <c r="AM65" i="2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4" i="4"/>
  <c r="D314" i="4"/>
  <c r="E310" i="5"/>
  <c r="AC63" i="2"/>
  <c r="AD63" i="2"/>
  <c r="AE63" i="2"/>
  <c r="I62" i="2"/>
  <c r="I314" i="4"/>
  <c r="L310" i="5"/>
  <c r="K310" i="5"/>
  <c r="AF63" i="2"/>
  <c r="AG63" i="2"/>
  <c r="AH63" i="2"/>
  <c r="AI63" i="2"/>
  <c r="AJ63" i="2"/>
  <c r="O310" i="5"/>
  <c r="J62" i="2"/>
  <c r="J314" i="4"/>
  <c r="N310" i="5"/>
  <c r="AK63" i="2"/>
  <c r="M62" i="2"/>
  <c r="M314" i="4"/>
  <c r="R310" i="5"/>
  <c r="L62" i="2"/>
  <c r="L314" i="4"/>
  <c r="Q310" i="5"/>
  <c r="AL63" i="2"/>
  <c r="AM63" i="2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199" i="4"/>
  <c r="E199" i="4"/>
  <c r="F222" i="5"/>
  <c r="D199" i="4"/>
  <c r="E222" i="5"/>
  <c r="D48" i="2"/>
  <c r="AC62" i="2"/>
  <c r="I222" i="5"/>
  <c r="F61" i="2"/>
  <c r="F199" i="4"/>
  <c r="H222" i="5"/>
  <c r="AD62" i="2"/>
  <c r="AE62" i="2"/>
  <c r="H61" i="2"/>
  <c r="H199" i="4"/>
  <c r="K222" i="5"/>
  <c r="I48" i="2"/>
  <c r="AF62" i="2"/>
  <c r="AG62" i="2"/>
  <c r="AH62" i="2"/>
  <c r="AI62" i="2"/>
  <c r="AJ62" i="2"/>
  <c r="J48" i="2"/>
  <c r="AK62" i="2"/>
  <c r="M199" i="4"/>
  <c r="R222" i="5"/>
  <c r="L199" i="4"/>
  <c r="Q222" i="5"/>
  <c r="M48" i="2"/>
  <c r="L48" i="2"/>
  <c r="AL62" i="2"/>
  <c r="AM62" i="2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X7" i="2"/>
  <c r="X199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5" i="4"/>
  <c r="D305" i="4"/>
  <c r="E300" i="5"/>
  <c r="E19" i="2"/>
  <c r="D19" i="2"/>
  <c r="AC61" i="2"/>
  <c r="F19" i="2"/>
  <c r="AD61" i="2"/>
  <c r="AE61" i="2"/>
  <c r="I60" i="2"/>
  <c r="I305" i="4"/>
  <c r="L300" i="5"/>
  <c r="K300" i="5"/>
  <c r="H19" i="2"/>
  <c r="AF61" i="2"/>
  <c r="AG61" i="2"/>
  <c r="AH61" i="2"/>
  <c r="AI61" i="2"/>
  <c r="AJ61" i="2"/>
  <c r="O300" i="5"/>
  <c r="J60" i="2"/>
  <c r="J305" i="4"/>
  <c r="N300" i="5"/>
  <c r="AK61" i="2"/>
  <c r="M60" i="2"/>
  <c r="M305" i="4"/>
  <c r="R300" i="5"/>
  <c r="L60" i="2"/>
  <c r="L305" i="4"/>
  <c r="Q300" i="5"/>
  <c r="M19" i="2"/>
  <c r="L19" i="2"/>
  <c r="AL61" i="2"/>
  <c r="AM61" i="2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82" i="4"/>
  <c r="D282" i="4"/>
  <c r="E298" i="5"/>
  <c r="D45" i="2"/>
  <c r="AC60" i="2"/>
  <c r="AD60" i="2"/>
  <c r="AE60" i="2"/>
  <c r="I59" i="2"/>
  <c r="I282" i="4"/>
  <c r="L298" i="5"/>
  <c r="K298" i="5"/>
  <c r="I45" i="2"/>
  <c r="AF60" i="2"/>
  <c r="AG60" i="2"/>
  <c r="AH60" i="2"/>
  <c r="AI60" i="2"/>
  <c r="AJ60" i="2"/>
  <c r="O298" i="5"/>
  <c r="J59" i="2"/>
  <c r="J282" i="4"/>
  <c r="N298" i="5"/>
  <c r="J45" i="2"/>
  <c r="AK60" i="2"/>
  <c r="M59" i="2"/>
  <c r="M282" i="4"/>
  <c r="R298" i="5"/>
  <c r="L59" i="2"/>
  <c r="L282" i="4"/>
  <c r="Q298" i="5"/>
  <c r="M45" i="2"/>
  <c r="L45" i="2"/>
  <c r="AL60" i="2"/>
  <c r="AM60" i="2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35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9" i="4"/>
  <c r="U49" i="2"/>
  <c r="U309" i="4"/>
  <c r="AD303" i="5"/>
  <c r="T49" i="2"/>
  <c r="T309" i="4"/>
  <c r="AC303" i="5"/>
  <c r="E8" i="13"/>
  <c r="C8" i="13"/>
  <c r="B8" i="13"/>
  <c r="A7" i="13"/>
  <c r="H7" i="13"/>
  <c r="G7" i="13"/>
  <c r="F7" i="13"/>
  <c r="B313" i="4"/>
  <c r="U47" i="2"/>
  <c r="U313" i="4"/>
  <c r="AD308" i="5"/>
  <c r="T47" i="2"/>
  <c r="T313" i="4"/>
  <c r="AC308" i="5"/>
  <c r="E7" i="13"/>
  <c r="C7" i="13"/>
  <c r="B7" i="13"/>
  <c r="A6" i="13"/>
  <c r="H6" i="13"/>
  <c r="G6" i="13"/>
  <c r="F6" i="13"/>
  <c r="B311" i="4"/>
  <c r="U48" i="2"/>
  <c r="U311" i="4"/>
  <c r="AD306" i="5"/>
  <c r="T48" i="2"/>
  <c r="T311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87" i="4"/>
  <c r="C59" i="2"/>
  <c r="C287" i="4"/>
  <c r="C282" i="4"/>
  <c r="C298" i="5"/>
  <c r="D23" i="2"/>
  <c r="D287" i="4"/>
  <c r="H298" i="5"/>
  <c r="I298" i="5"/>
  <c r="I23" i="2"/>
  <c r="I287" i="4"/>
  <c r="J23" i="2"/>
  <c r="J287" i="4"/>
  <c r="L23" i="2"/>
  <c r="L287" i="4"/>
  <c r="M23" i="2"/>
  <c r="M287" i="4"/>
  <c r="N23" i="2"/>
  <c r="N59" i="2"/>
  <c r="N287" i="4"/>
  <c r="N282" i="4"/>
  <c r="T298" i="5"/>
  <c r="O23" i="2"/>
  <c r="O59" i="2"/>
  <c r="O287" i="4"/>
  <c r="O282" i="4"/>
  <c r="U298" i="5"/>
  <c r="P23" i="2"/>
  <c r="P59" i="2"/>
  <c r="P287" i="4"/>
  <c r="P282" i="4"/>
  <c r="W298" i="5"/>
  <c r="Q23" i="2"/>
  <c r="Q59" i="2"/>
  <c r="Q287" i="4"/>
  <c r="Q282" i="4"/>
  <c r="X298" i="5"/>
  <c r="Z298" i="5"/>
  <c r="S23" i="2"/>
  <c r="S59" i="2"/>
  <c r="S287" i="4"/>
  <c r="S282" i="4"/>
  <c r="AA298" i="5"/>
  <c r="AI287" i="4"/>
  <c r="T287" i="4" a="1"/>
  <c r="T287" i="4"/>
  <c r="AI282" i="4"/>
  <c r="T282" i="4" a="1"/>
  <c r="T282" i="4"/>
  <c r="AC298" i="5"/>
  <c r="AD298" i="5"/>
  <c r="AF298" i="5"/>
  <c r="AG298" i="5"/>
  <c r="X23" i="2"/>
  <c r="X59" i="2"/>
  <c r="X287" i="4"/>
  <c r="X282" i="4"/>
  <c r="AI298" i="5"/>
  <c r="Y23" i="2"/>
  <c r="Y59" i="2"/>
  <c r="Y287" i="4"/>
  <c r="Y282" i="4"/>
  <c r="AJ298" i="5"/>
  <c r="Z23" i="2"/>
  <c r="Z59" i="2"/>
  <c r="Z287" i="4"/>
  <c r="Z282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82" i="4"/>
  <c r="F23" i="2"/>
  <c r="F59" i="2"/>
  <c r="F282" i="4"/>
  <c r="R23" i="2"/>
  <c r="R59" i="2"/>
  <c r="R282" i="4"/>
  <c r="AA282" i="4"/>
  <c r="AB282" i="4"/>
  <c r="AC282" i="4"/>
  <c r="AD282" i="4"/>
  <c r="AE282" i="4"/>
  <c r="AF282" i="4"/>
  <c r="AG282" i="4"/>
  <c r="AH282" i="4"/>
  <c r="AJ282" i="4"/>
  <c r="AK282" i="4"/>
  <c r="AL282" i="4"/>
  <c r="G59" i="2"/>
  <c r="H59" i="2"/>
  <c r="K59" i="2"/>
  <c r="T59" i="2"/>
  <c r="U59" i="2"/>
  <c r="V59" i="2"/>
  <c r="W59" i="2"/>
  <c r="AA59" i="2"/>
  <c r="AB59" i="2"/>
  <c r="E58" i="2"/>
  <c r="B231" i="4"/>
  <c r="E231" i="4"/>
  <c r="F230" i="5"/>
  <c r="D58" i="2"/>
  <c r="D231" i="4"/>
  <c r="E230" i="5"/>
  <c r="AC59" i="2"/>
  <c r="I230" i="5"/>
  <c r="F58" i="2"/>
  <c r="F231" i="4"/>
  <c r="H230" i="5"/>
  <c r="AD59" i="2"/>
  <c r="AE59" i="2"/>
  <c r="H58" i="2"/>
  <c r="H231" i="4"/>
  <c r="K230" i="5"/>
  <c r="AF59" i="2"/>
  <c r="AG59" i="2"/>
  <c r="AH59" i="2"/>
  <c r="AI59" i="2"/>
  <c r="AJ59" i="2"/>
  <c r="AK59" i="2"/>
  <c r="M58" i="2"/>
  <c r="M231" i="4"/>
  <c r="R230" i="5"/>
  <c r="L58" i="2"/>
  <c r="L231" i="4"/>
  <c r="Q230" i="5"/>
  <c r="AL59" i="2"/>
  <c r="AM59" i="2"/>
  <c r="D411" i="9"/>
  <c r="E411" i="9"/>
  <c r="F411" i="9"/>
  <c r="G411" i="9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C124" i="7"/>
  <c r="D124" i="7"/>
  <c r="E124" i="7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B26" i="4"/>
  <c r="AB288" i="4"/>
  <c r="AB4" i="4"/>
  <c r="AB5" i="4"/>
  <c r="AB204" i="4"/>
  <c r="AB6" i="4"/>
  <c r="AB130" i="4"/>
  <c r="AB132" i="4"/>
  <c r="AB133" i="4"/>
  <c r="AB277" i="4"/>
  <c r="AB128" i="4"/>
  <c r="AB129" i="4"/>
  <c r="AB253" i="4"/>
  <c r="AB59" i="4"/>
  <c r="AB105" i="4"/>
  <c r="AB120" i="4"/>
  <c r="AB14" i="4"/>
  <c r="AB233" i="4"/>
  <c r="AB265" i="4"/>
  <c r="AB266" i="4"/>
  <c r="AB239" i="4"/>
  <c r="AB241" i="4"/>
  <c r="AB242" i="4"/>
  <c r="AB267" i="4"/>
  <c r="AB244" i="4"/>
  <c r="AB268" i="4"/>
  <c r="AB247" i="4"/>
  <c r="AB269" i="4"/>
  <c r="AB270" i="4"/>
  <c r="AB271" i="4"/>
  <c r="AB272" i="4"/>
  <c r="AB273" i="4"/>
  <c r="AB151" i="4"/>
  <c r="AB2" i="4"/>
  <c r="AB295" i="4"/>
  <c r="AB287" i="4"/>
  <c r="AB263" i="4"/>
  <c r="AB238" i="4"/>
  <c r="AB240" i="4"/>
  <c r="AB243" i="4"/>
  <c r="AB64" i="4"/>
  <c r="AB65" i="4"/>
  <c r="AB203" i="4"/>
  <c r="AB274" i="4"/>
  <c r="AB153" i="4"/>
  <c r="AB190" i="4"/>
  <c r="AB249" i="4"/>
  <c r="AB73" i="4"/>
  <c r="AB213" i="4"/>
  <c r="AB110" i="4"/>
  <c r="AB47" i="4"/>
  <c r="AB85" i="4"/>
  <c r="AB86" i="4"/>
  <c r="AB255" i="4"/>
  <c r="AB281" i="4"/>
  <c r="AB256" i="4"/>
  <c r="AB290" i="4"/>
  <c r="AB291" i="4"/>
  <c r="AB113" i="4"/>
  <c r="AB134" i="4"/>
  <c r="AB135" i="4"/>
  <c r="AB176" i="4"/>
  <c r="AB177" i="4"/>
  <c r="AB137" i="4"/>
  <c r="AB138" i="4"/>
  <c r="AB139" i="4"/>
  <c r="AB140" i="4"/>
  <c r="AB258" i="4"/>
  <c r="AB98" i="4"/>
  <c r="AB262" i="4"/>
  <c r="AB232" i="4"/>
  <c r="AB115" i="4"/>
  <c r="AB116" i="4"/>
  <c r="AB117" i="4"/>
  <c r="AB142" i="4"/>
  <c r="AB118" i="4"/>
  <c r="AB27" i="4"/>
  <c r="AB143" i="4"/>
  <c r="AB144" i="4"/>
  <c r="AB28" i="4"/>
  <c r="AB145" i="4"/>
  <c r="AB285" i="4"/>
  <c r="AB183" i="4"/>
  <c r="AB102" i="4"/>
  <c r="AB103" i="4"/>
  <c r="AB104" i="4"/>
  <c r="AB29" i="4"/>
  <c r="AB58" i="4"/>
  <c r="AB30" i="4"/>
  <c r="AB13" i="4"/>
  <c r="AB264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4" i="4"/>
  <c r="AB235" i="4"/>
  <c r="AB219" i="4"/>
  <c r="AB236" i="4"/>
  <c r="AB237" i="4"/>
  <c r="AB202" i="4"/>
  <c r="AB186" i="4"/>
  <c r="AB187" i="4"/>
  <c r="AB188" i="4"/>
  <c r="AB150" i="4"/>
  <c r="AB246" i="4"/>
  <c r="AB189" i="4"/>
  <c r="AB121" i="4"/>
  <c r="AB41" i="4"/>
  <c r="AB276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25" i="4"/>
  <c r="AB108" i="4"/>
  <c r="AB69" i="4"/>
  <c r="AB296" i="4"/>
  <c r="AB127" i="4"/>
  <c r="AB191" i="4"/>
  <c r="AB70" i="4"/>
  <c r="AB248" i="4"/>
  <c r="AB250" i="4"/>
  <c r="AB289" i="4"/>
  <c r="AB192" i="4"/>
  <c r="AB222" i="4"/>
  <c r="AB251" i="4"/>
  <c r="AB74" i="4"/>
  <c r="AB20" i="4"/>
  <c r="AB75" i="4"/>
  <c r="AB278" i="4"/>
  <c r="AB43" i="4"/>
  <c r="AB212" i="4"/>
  <c r="AB77" i="4"/>
  <c r="AB223" i="4"/>
  <c r="AB158" i="4"/>
  <c r="AB252" i="4"/>
  <c r="AB10" i="4"/>
  <c r="AB159" i="4"/>
  <c r="AB21" i="4"/>
  <c r="AB160" i="4"/>
  <c r="AB44" i="4"/>
  <c r="AB45" i="4"/>
  <c r="AB11" i="4"/>
  <c r="AB254" i="4"/>
  <c r="AB193" i="4"/>
  <c r="AB194" i="4"/>
  <c r="AB279" i="4"/>
  <c r="AB280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8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2" i="4"/>
  <c r="AB229" i="4"/>
  <c r="AB230" i="4"/>
  <c r="AB257" i="4"/>
  <c r="AB141" i="4"/>
  <c r="AB297" i="4"/>
  <c r="AB259" i="4"/>
  <c r="AB260" i="4"/>
  <c r="AB261" i="4"/>
  <c r="AB197" i="4"/>
  <c r="AB178" i="4"/>
  <c r="AB179" i="4"/>
  <c r="AB180" i="4"/>
  <c r="AB199" i="4"/>
  <c r="AB181" i="4"/>
  <c r="AB294" i="4"/>
  <c r="AB231" i="4"/>
  <c r="AB209" i="4"/>
  <c r="AB283" i="4"/>
  <c r="AB284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72" i="4"/>
  <c r="AB3" i="4"/>
  <c r="AB18" i="4"/>
  <c r="AB76" i="4"/>
  <c r="AB214" i="4"/>
  <c r="AB12" i="4"/>
  <c r="AB293" i="4"/>
  <c r="AB114" i="4"/>
  <c r="AB286" i="4"/>
  <c r="AB275" i="4"/>
  <c r="AB19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7" i="4"/>
  <c r="AB306" i="4"/>
  <c r="AB304" i="4"/>
  <c r="AB305" i="4"/>
  <c r="AB300" i="4"/>
  <c r="AB301" i="4"/>
  <c r="AB299" i="4"/>
  <c r="AB302" i="4"/>
  <c r="AB303" i="4"/>
  <c r="AB310" i="4"/>
  <c r="AB309" i="4"/>
  <c r="AB311" i="4"/>
  <c r="AB312" i="4"/>
  <c r="AB313" i="4"/>
  <c r="AB308" i="4"/>
  <c r="AB314" i="4"/>
  <c r="AB335" i="4"/>
  <c r="AB336" i="4"/>
  <c r="AB318" i="4"/>
  <c r="AB315" i="4"/>
  <c r="AB319" i="4"/>
  <c r="AB320" i="4"/>
  <c r="AB321" i="4"/>
  <c r="AB347" i="4"/>
  <c r="AB326" i="4"/>
  <c r="AB327" i="4"/>
  <c r="AB328" i="4"/>
  <c r="AB329" i="4"/>
  <c r="AB341" i="4"/>
  <c r="AB331" i="4"/>
  <c r="AB332" i="4"/>
  <c r="AB333" i="4"/>
  <c r="AB343" i="4"/>
  <c r="AB344" i="4"/>
  <c r="AB345" i="4"/>
  <c r="AB342" i="4"/>
  <c r="AB322" i="4"/>
  <c r="AB317" i="4"/>
  <c r="AB323" i="4"/>
  <c r="AB325" i="4"/>
  <c r="AB330" i="4"/>
  <c r="AB334" i="4"/>
  <c r="AB324" i="4"/>
  <c r="AB338" i="4"/>
  <c r="AB337" i="4"/>
  <c r="AB316" i="4"/>
  <c r="AB339" i="4"/>
  <c r="AB340" i="4"/>
  <c r="AB346" i="4"/>
  <c r="AB350" i="4"/>
  <c r="AB361" i="4"/>
  <c r="AB362" i="4"/>
  <c r="AB368" i="4"/>
  <c r="AB363" i="4"/>
  <c r="AB369" i="4"/>
  <c r="AB351" i="4"/>
  <c r="AB348" i="4"/>
  <c r="AB358" i="4"/>
  <c r="AB359" i="4"/>
  <c r="AB364" i="4"/>
  <c r="AB349" i="4"/>
  <c r="AB365" i="4"/>
  <c r="AB366" i="4"/>
  <c r="AB367" i="4"/>
  <c r="AB360" i="4"/>
  <c r="AB352" i="4"/>
  <c r="AB353" i="4"/>
  <c r="AB354" i="4"/>
  <c r="AB355" i="4"/>
  <c r="AB356" i="4"/>
  <c r="AB357" i="4"/>
  <c r="AB371" i="4"/>
  <c r="AB377" i="4"/>
  <c r="AB378" i="4"/>
  <c r="AB379" i="4"/>
  <c r="AB373" i="4"/>
  <c r="AB370" i="4"/>
  <c r="AB376" i="4"/>
  <c r="AB381" i="4"/>
  <c r="AB380" i="4"/>
  <c r="AB374" i="4"/>
  <c r="AB375" i="4"/>
  <c r="AB372" i="4"/>
  <c r="AB383" i="4"/>
  <c r="AB385" i="4"/>
  <c r="AB386" i="4"/>
  <c r="AB384" i="4"/>
  <c r="AB382" i="4"/>
  <c r="AB390" i="4"/>
  <c r="AB395" i="4"/>
  <c r="AB408" i="4"/>
  <c r="AB397" i="4"/>
  <c r="AB398" i="4"/>
  <c r="AB399" i="4"/>
  <c r="AB400" i="4"/>
  <c r="AB403" i="4"/>
  <c r="AB387" i="4"/>
  <c r="AB404" i="4"/>
  <c r="AB405" i="4"/>
  <c r="AB407" i="4"/>
  <c r="AB396" i="4"/>
  <c r="AB388" i="4"/>
  <c r="AB389" i="4"/>
  <c r="AB391" i="4"/>
  <c r="AB392" i="4"/>
  <c r="AB393" i="4"/>
  <c r="AB402" i="4"/>
  <c r="AB394" i="4"/>
  <c r="AB406" i="4"/>
  <c r="AB409" i="4"/>
  <c r="AB410" i="4"/>
  <c r="AB411" i="4"/>
  <c r="AB401" i="4"/>
  <c r="AB24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172" i="4"/>
  <c r="E287" i="5"/>
  <c r="E42" i="2"/>
  <c r="D42" i="2"/>
  <c r="AC58" i="2"/>
  <c r="F42" i="2"/>
  <c r="AD58" i="2"/>
  <c r="AE58" i="2"/>
  <c r="H172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2" i="4"/>
  <c r="R287" i="5"/>
  <c r="L172" i="4"/>
  <c r="Q287" i="5"/>
  <c r="M42" i="2"/>
  <c r="L42" i="2"/>
  <c r="AL58" i="2"/>
  <c r="AM58" i="2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87" i="4"/>
  <c r="E187" i="4"/>
  <c r="F78" i="5"/>
  <c r="D56" i="2"/>
  <c r="D187" i="4"/>
  <c r="E78" i="5"/>
  <c r="D40" i="2"/>
  <c r="F287" i="5"/>
  <c r="AC57" i="2"/>
  <c r="I78" i="5"/>
  <c r="F56" i="2"/>
  <c r="F187" i="4"/>
  <c r="H78" i="5"/>
  <c r="H287" i="5"/>
  <c r="I287" i="5"/>
  <c r="AD57" i="2"/>
  <c r="AE57" i="2"/>
  <c r="H56" i="2"/>
  <c r="H187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87" i="4"/>
  <c r="R78" i="5"/>
  <c r="L56" i="2"/>
  <c r="L187" i="4"/>
  <c r="Q78" i="5"/>
  <c r="M40" i="2"/>
  <c r="L40" i="2"/>
  <c r="AL57" i="2"/>
  <c r="AM57" i="2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X54" i="2"/>
  <c r="B262" i="4"/>
  <c r="X262" i="4"/>
  <c r="X56" i="2"/>
  <c r="AK3" i="4"/>
  <c r="AK7" i="4"/>
  <c r="AK4" i="4"/>
  <c r="AK5" i="4"/>
  <c r="AK6" i="4"/>
  <c r="AK9" i="4"/>
  <c r="AK10" i="4"/>
  <c r="AK8" i="4"/>
  <c r="AK12" i="4"/>
  <c r="AK11" i="4"/>
  <c r="AK26" i="4"/>
  <c r="AK23" i="4"/>
  <c r="AK24" i="4"/>
  <c r="AK25" i="4"/>
  <c r="AK16" i="4"/>
  <c r="AK27" i="4"/>
  <c r="AK28" i="4"/>
  <c r="AK14" i="4"/>
  <c r="AK22" i="4"/>
  <c r="AK20" i="4"/>
  <c r="AK21" i="4"/>
  <c r="AK18" i="4"/>
  <c r="AK13" i="4"/>
  <c r="AK19" i="4"/>
  <c r="AK17" i="4"/>
  <c r="AK15" i="4"/>
  <c r="AK49" i="4"/>
  <c r="AK50" i="4"/>
  <c r="AK45" i="4"/>
  <c r="AK47" i="4"/>
  <c r="AK52" i="4"/>
  <c r="AK54" i="4"/>
  <c r="AK48" i="4"/>
  <c r="AK42" i="4"/>
  <c r="AK53" i="4"/>
  <c r="AK51" i="4"/>
  <c r="AK55" i="4"/>
  <c r="AK56" i="4"/>
  <c r="AK57" i="4"/>
  <c r="AK30" i="4"/>
  <c r="AK43" i="4"/>
  <c r="AK44" i="4"/>
  <c r="AK40" i="4"/>
  <c r="AK39" i="4"/>
  <c r="AK31" i="4"/>
  <c r="AK38" i="4"/>
  <c r="AK29" i="4"/>
  <c r="AK32" i="4"/>
  <c r="AK41" i="4"/>
  <c r="AK33" i="4"/>
  <c r="AK36" i="4"/>
  <c r="AK46" i="4"/>
  <c r="AK37" i="4"/>
  <c r="AK34" i="4"/>
  <c r="AK35" i="4"/>
  <c r="AK77" i="4"/>
  <c r="AK82" i="4"/>
  <c r="AK83" i="4"/>
  <c r="AK84" i="4"/>
  <c r="AK68" i="4"/>
  <c r="AK87" i="4"/>
  <c r="AK100" i="4"/>
  <c r="AK73" i="4"/>
  <c r="AK91" i="4"/>
  <c r="AK92" i="4"/>
  <c r="AK93" i="4"/>
  <c r="AK95" i="4"/>
  <c r="AK96" i="4"/>
  <c r="AK80" i="4"/>
  <c r="AK74" i="4"/>
  <c r="AK85" i="4"/>
  <c r="AK86" i="4"/>
  <c r="AK88" i="4"/>
  <c r="AK90" i="4"/>
  <c r="AK59" i="4"/>
  <c r="AK65" i="4"/>
  <c r="AK69" i="4"/>
  <c r="AK72" i="4"/>
  <c r="AK89" i="4"/>
  <c r="AK94" i="4"/>
  <c r="AK71" i="4"/>
  <c r="AK79" i="4"/>
  <c r="AK101" i="4"/>
  <c r="AK64" i="4"/>
  <c r="AK97" i="4"/>
  <c r="AK99" i="4"/>
  <c r="AK78" i="4"/>
  <c r="AK70" i="4"/>
  <c r="AK60" i="4"/>
  <c r="AK63" i="4"/>
  <c r="AK61" i="4"/>
  <c r="AK98" i="4"/>
  <c r="AK62" i="4"/>
  <c r="AK75" i="4"/>
  <c r="AK76" i="4"/>
  <c r="AK58" i="4"/>
  <c r="AK66" i="4"/>
  <c r="AK81" i="4"/>
  <c r="AK67" i="4"/>
  <c r="AK113" i="4"/>
  <c r="AK116" i="4"/>
  <c r="AK114" i="4"/>
  <c r="AK111" i="4"/>
  <c r="AK117" i="4"/>
  <c r="AK112" i="4"/>
  <c r="AK115" i="4"/>
  <c r="AK105" i="4"/>
  <c r="AK118" i="4"/>
  <c r="AK104" i="4"/>
  <c r="AK103" i="4"/>
  <c r="AK109" i="4"/>
  <c r="AK110" i="4"/>
  <c r="AK102" i="4"/>
  <c r="AK107" i="4"/>
  <c r="AK106" i="4"/>
  <c r="AK108" i="4"/>
  <c r="AK130" i="4"/>
  <c r="AK131" i="4"/>
  <c r="AK132" i="4"/>
  <c r="AK133" i="4"/>
  <c r="AK121" i="4"/>
  <c r="AK141" i="4"/>
  <c r="AK129" i="4"/>
  <c r="AK122" i="4"/>
  <c r="AK145" i="4"/>
  <c r="AK127" i="4"/>
  <c r="AK134" i="4"/>
  <c r="AK135" i="4"/>
  <c r="AK137" i="4"/>
  <c r="AK138" i="4"/>
  <c r="AK139" i="4"/>
  <c r="AK140" i="4"/>
  <c r="AK142" i="4"/>
  <c r="AK143" i="4"/>
  <c r="AK123" i="4"/>
  <c r="AK124" i="4"/>
  <c r="AK144" i="4"/>
  <c r="AK120" i="4"/>
  <c r="AK126" i="4"/>
  <c r="AK125" i="4"/>
  <c r="AK128" i="4"/>
  <c r="AK136" i="4"/>
  <c r="AK119" i="4"/>
  <c r="AK149" i="4"/>
  <c r="AK179" i="4"/>
  <c r="AK180" i="4"/>
  <c r="AK151" i="4"/>
  <c r="AK162" i="4"/>
  <c r="AK163" i="4"/>
  <c r="AK156" i="4"/>
  <c r="AK164" i="4"/>
  <c r="AK155" i="4"/>
  <c r="AK161" i="4"/>
  <c r="AK178" i="4"/>
  <c r="AK183" i="4"/>
  <c r="AK176" i="4"/>
  <c r="AK177" i="4"/>
  <c r="AK168" i="4"/>
  <c r="AK173" i="4"/>
  <c r="AK152" i="4"/>
  <c r="AK158" i="4"/>
  <c r="AK165" i="4"/>
  <c r="AK166" i="4"/>
  <c r="AK167" i="4"/>
  <c r="AK174" i="4"/>
  <c r="AK169" i="4"/>
  <c r="AK171" i="4"/>
  <c r="AK172" i="4"/>
  <c r="AK170" i="4"/>
  <c r="AK182" i="4"/>
  <c r="AK157" i="4"/>
  <c r="AK159" i="4"/>
  <c r="AK160" i="4"/>
  <c r="AK153" i="4"/>
  <c r="AK184" i="4"/>
  <c r="AK185" i="4"/>
  <c r="AK181" i="4"/>
  <c r="AK148" i="4"/>
  <c r="AK146" i="4"/>
  <c r="AK147" i="4"/>
  <c r="AK150" i="4"/>
  <c r="AK154" i="4"/>
  <c r="AK175" i="4"/>
  <c r="AK188" i="4"/>
  <c r="AK187" i="4"/>
  <c r="AK192" i="4"/>
  <c r="AK199" i="4"/>
  <c r="AK186" i="4"/>
  <c r="AK190" i="4"/>
  <c r="AK196" i="4"/>
  <c r="AK197" i="4"/>
  <c r="AK194" i="4"/>
  <c r="AK191" i="4"/>
  <c r="AK189" i="4"/>
  <c r="AK200" i="4"/>
  <c r="AK201" i="4"/>
  <c r="AK193" i="4"/>
  <c r="AK195" i="4"/>
  <c r="AK198" i="4"/>
  <c r="AK204" i="4"/>
  <c r="AK206" i="4"/>
  <c r="AK202" i="4"/>
  <c r="AK207" i="4"/>
  <c r="AK208" i="4"/>
  <c r="AK209" i="4"/>
  <c r="AK205" i="4"/>
  <c r="AK203" i="4"/>
  <c r="AK210" i="4"/>
  <c r="AK213" i="4"/>
  <c r="AK218" i="4"/>
  <c r="AK212" i="4"/>
  <c r="AK214" i="4"/>
  <c r="AK211" i="4"/>
  <c r="AK215" i="4"/>
  <c r="AK217" i="4"/>
  <c r="AK216" i="4"/>
  <c r="AK220" i="4"/>
  <c r="AK221" i="4"/>
  <c r="AK232" i="4"/>
  <c r="AK228" i="4"/>
  <c r="AK230" i="4"/>
  <c r="AK222" i="4"/>
  <c r="AK231" i="4"/>
  <c r="AK219" i="4"/>
  <c r="AK229" i="4"/>
  <c r="AK223" i="4"/>
  <c r="AK224" i="4"/>
  <c r="AK225" i="4"/>
  <c r="AK226" i="4"/>
  <c r="AK227" i="4"/>
  <c r="AK245" i="4"/>
  <c r="AK233" i="4"/>
  <c r="AK238" i="4"/>
  <c r="AK240" i="4"/>
  <c r="AK241" i="4"/>
  <c r="AK243" i="4"/>
  <c r="AK244" i="4"/>
  <c r="AK247" i="4"/>
  <c r="AK250" i="4"/>
  <c r="AK263" i="4"/>
  <c r="AK239" i="4"/>
  <c r="AK242" i="4"/>
  <c r="AK251" i="4"/>
  <c r="AK252" i="4"/>
  <c r="AK246" i="4"/>
  <c r="AK248" i="4"/>
  <c r="AK234" i="4"/>
  <c r="AK235" i="4"/>
  <c r="AK249" i="4"/>
  <c r="AK253" i="4"/>
  <c r="AK255" i="4"/>
  <c r="AK256" i="4"/>
  <c r="AK258" i="4"/>
  <c r="AK237" i="4"/>
  <c r="AK254" i="4"/>
  <c r="AK262" i="4"/>
  <c r="AK257" i="4"/>
  <c r="AK259" i="4"/>
  <c r="AK260" i="4"/>
  <c r="AK261" i="4"/>
  <c r="AK236" i="4"/>
  <c r="AK286" i="4"/>
  <c r="AK264" i="4"/>
  <c r="AK265" i="4"/>
  <c r="AK266" i="4"/>
  <c r="AK267" i="4"/>
  <c r="AK268" i="4"/>
  <c r="AK269" i="4"/>
  <c r="AK270" i="4"/>
  <c r="AK271" i="4"/>
  <c r="AK272" i="4"/>
  <c r="AK287" i="4"/>
  <c r="AK273" i="4"/>
  <c r="AK278" i="4"/>
  <c r="AK284" i="4"/>
  <c r="AK279" i="4"/>
  <c r="AK280" i="4"/>
  <c r="AK281" i="4"/>
  <c r="AK285" i="4"/>
  <c r="AK277" i="4"/>
  <c r="AK276" i="4"/>
  <c r="AK275" i="4"/>
  <c r="AK283" i="4"/>
  <c r="AK274" i="4"/>
  <c r="AK288" i="4"/>
  <c r="AK290" i="4"/>
  <c r="AK291" i="4"/>
  <c r="AK292" i="4"/>
  <c r="AK294" i="4"/>
  <c r="AK289" i="4"/>
  <c r="AK293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33" i="4"/>
  <c r="AK331" i="4"/>
  <c r="AK332" i="4"/>
  <c r="AK324" i="4"/>
  <c r="AK334" i="4"/>
  <c r="AK323" i="4"/>
  <c r="AK322" i="4"/>
  <c r="AK325" i="4"/>
  <c r="AK318" i="4"/>
  <c r="AK319" i="4"/>
  <c r="AK320" i="4"/>
  <c r="AK321" i="4"/>
  <c r="AK326" i="4"/>
  <c r="AK327" i="4"/>
  <c r="AK328" i="4"/>
  <c r="AK329" i="4"/>
  <c r="AK330" i="4"/>
  <c r="AK341" i="4"/>
  <c r="AK339" i="4"/>
  <c r="AK337" i="4"/>
  <c r="AK338" i="4"/>
  <c r="AK340" i="4"/>
  <c r="AK335" i="4"/>
  <c r="AK336" i="4"/>
  <c r="AK342" i="4"/>
  <c r="AK346" i="4"/>
  <c r="AK345" i="4"/>
  <c r="AK343" i="4"/>
  <c r="AK344" i="4"/>
  <c r="AK347" i="4"/>
  <c r="AK348" i="4"/>
  <c r="AK349" i="4"/>
  <c r="AK351" i="4"/>
  <c r="AK350" i="4"/>
  <c r="AK352" i="4"/>
  <c r="AK353" i="4"/>
  <c r="AK354" i="4"/>
  <c r="AK355" i="4"/>
  <c r="AK358" i="4"/>
  <c r="AK359" i="4"/>
  <c r="AK356" i="4"/>
  <c r="AK357" i="4"/>
  <c r="AK360" i="4"/>
  <c r="AK361" i="4"/>
  <c r="AK362" i="4"/>
  <c r="AK364" i="4"/>
  <c r="AK365" i="4"/>
  <c r="AK366" i="4"/>
  <c r="AK367" i="4"/>
  <c r="AK363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1" i="4"/>
  <c r="AK382" i="4"/>
  <c r="AK383" i="4"/>
  <c r="AK384" i="4"/>
  <c r="AK385" i="4"/>
  <c r="AK386" i="4"/>
  <c r="AK387" i="4"/>
  <c r="AK390" i="4"/>
  <c r="AK389" i="4"/>
  <c r="AK388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2" i="4"/>
  <c r="B7" i="3"/>
  <c r="C7" i="3"/>
  <c r="AI272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72" i="4" a="1"/>
  <c r="U272" i="4"/>
  <c r="AD94" i="5"/>
  <c r="T272" i="4" a="1"/>
  <c r="T272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232" i="4"/>
  <c r="E20" i="5"/>
  <c r="E18" i="2"/>
  <c r="D18" i="2"/>
  <c r="AC56" i="2"/>
  <c r="F18" i="2"/>
  <c r="AD56" i="2"/>
  <c r="AE56" i="2"/>
  <c r="H55" i="2"/>
  <c r="H232" i="4"/>
  <c r="K20" i="5"/>
  <c r="H18" i="2"/>
  <c r="L78" i="5"/>
  <c r="AF56" i="2"/>
  <c r="AG56" i="2"/>
  <c r="AH56" i="2"/>
  <c r="AI56" i="2"/>
  <c r="AJ56" i="2"/>
  <c r="N78" i="5"/>
  <c r="O78" i="5"/>
  <c r="AK56" i="2"/>
  <c r="M55" i="2"/>
  <c r="M232" i="4"/>
  <c r="R20" i="5"/>
  <c r="L55" i="2"/>
  <c r="L232" i="4"/>
  <c r="Q20" i="5"/>
  <c r="M18" i="2"/>
  <c r="L18" i="2"/>
  <c r="AL56" i="2"/>
  <c r="AM56" i="2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S51" i="2"/>
  <c r="B361" i="4"/>
  <c r="S361" i="4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57" i="4"/>
  <c r="H57" i="4"/>
  <c r="H30" i="2"/>
  <c r="S9" i="2"/>
  <c r="B147" i="4"/>
  <c r="S8" i="2"/>
  <c r="S147" i="4"/>
  <c r="N30" i="2"/>
  <c r="B227" i="4"/>
  <c r="N227" i="4"/>
  <c r="N9" i="2"/>
  <c r="N25" i="2"/>
  <c r="N16" i="2"/>
  <c r="N21" i="2"/>
  <c r="N5" i="2"/>
  <c r="N8" i="2"/>
  <c r="N18" i="2"/>
  <c r="N44" i="2"/>
  <c r="N181" i="4"/>
  <c r="B31" i="4"/>
  <c r="N31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119" i="4"/>
  <c r="D119" i="4"/>
  <c r="E44" i="5"/>
  <c r="D147" i="4"/>
  <c r="E45" i="5"/>
  <c r="F45" i="5"/>
  <c r="AC9" i="2"/>
  <c r="H45" i="5"/>
  <c r="I45" i="5"/>
  <c r="AD9" i="2"/>
  <c r="AE9" i="2"/>
  <c r="H8" i="2"/>
  <c r="H119" i="4"/>
  <c r="K44" i="5"/>
  <c r="H147" i="4"/>
  <c r="K45" i="5"/>
  <c r="L45" i="5"/>
  <c r="AF9" i="2"/>
  <c r="AG9" i="2"/>
  <c r="AH9" i="2"/>
  <c r="AI9" i="2"/>
  <c r="AJ9" i="2"/>
  <c r="N45" i="5"/>
  <c r="O45" i="5"/>
  <c r="AK9" i="2"/>
  <c r="M8" i="2"/>
  <c r="M119" i="4"/>
  <c r="R44" i="5"/>
  <c r="L8" i="2"/>
  <c r="L119" i="4"/>
  <c r="Q44" i="5"/>
  <c r="M147" i="4"/>
  <c r="R45" i="5"/>
  <c r="L147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41" i="4"/>
  <c r="S5" i="2"/>
  <c r="S41" i="4"/>
  <c r="S42" i="2"/>
  <c r="S16" i="2"/>
  <c r="B38" i="4"/>
  <c r="S38" i="4"/>
  <c r="S17" i="2"/>
  <c r="B39" i="4"/>
  <c r="S39" i="4"/>
  <c r="B40" i="4"/>
  <c r="S40" i="4"/>
  <c r="S12" i="2"/>
  <c r="B35" i="4"/>
  <c r="S35" i="4"/>
  <c r="S10" i="2"/>
  <c r="B36" i="4"/>
  <c r="S36" i="4"/>
  <c r="B37" i="4"/>
  <c r="S37" i="4"/>
  <c r="S11" i="2"/>
  <c r="B32" i="4"/>
  <c r="S32" i="4"/>
  <c r="S13" i="2"/>
  <c r="B33" i="4"/>
  <c r="S33" i="4"/>
  <c r="B34" i="4"/>
  <c r="S34" i="4"/>
  <c r="S31" i="4"/>
  <c r="B30" i="4"/>
  <c r="S30" i="4"/>
  <c r="B29" i="4"/>
  <c r="S29" i="4"/>
  <c r="N4" i="2"/>
  <c r="N41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66" i="4"/>
  <c r="D66" i="4"/>
  <c r="E262" i="5"/>
  <c r="D41" i="4"/>
  <c r="E253" i="5"/>
  <c r="F253" i="5"/>
  <c r="AC4" i="2"/>
  <c r="H253" i="5"/>
  <c r="I253" i="5"/>
  <c r="AD4" i="2"/>
  <c r="AE4" i="2"/>
  <c r="H5" i="2"/>
  <c r="H66" i="4"/>
  <c r="K262" i="5"/>
  <c r="H41" i="4"/>
  <c r="K253" i="5"/>
  <c r="L253" i="5"/>
  <c r="AF4" i="2"/>
  <c r="AG4" i="2"/>
  <c r="AH4" i="2"/>
  <c r="AI4" i="2"/>
  <c r="AJ4" i="2"/>
  <c r="N253" i="5"/>
  <c r="O253" i="5"/>
  <c r="AK4" i="2"/>
  <c r="M5" i="2"/>
  <c r="M66" i="4"/>
  <c r="R262" i="5"/>
  <c r="L5" i="2"/>
  <c r="L66" i="4"/>
  <c r="Q262" i="5"/>
  <c r="M41" i="4"/>
  <c r="R253" i="5"/>
  <c r="L41" i="4"/>
  <c r="Q253" i="5"/>
  <c r="AL4" i="2"/>
  <c r="AM4" i="2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237" i="4"/>
  <c r="M237" i="4"/>
  <c r="M24" i="2"/>
  <c r="B238" i="4"/>
  <c r="M238" i="4"/>
  <c r="B236" i="4"/>
  <c r="N236" i="4"/>
  <c r="N19" i="2"/>
  <c r="N24" i="2"/>
  <c r="N238" i="4"/>
  <c r="N3" i="2"/>
  <c r="B239" i="4"/>
  <c r="N239" i="4"/>
  <c r="B240" i="4"/>
  <c r="N240" i="4"/>
  <c r="B241" i="4"/>
  <c r="N241" i="4"/>
  <c r="B242" i="4"/>
  <c r="N242" i="4"/>
  <c r="B235" i="4"/>
  <c r="N235" i="4"/>
  <c r="N32" i="2"/>
  <c r="B218" i="4"/>
  <c r="N218" i="4"/>
  <c r="N20" i="2"/>
  <c r="B219" i="4"/>
  <c r="N219" i="4"/>
  <c r="B220" i="4"/>
  <c r="N22" i="2"/>
  <c r="N220" i="4"/>
  <c r="B221" i="4"/>
  <c r="N221" i="4"/>
  <c r="B222" i="4"/>
  <c r="N222" i="4"/>
  <c r="N43" i="2"/>
  <c r="B223" i="4"/>
  <c r="N223" i="4"/>
  <c r="B224" i="4"/>
  <c r="N224" i="4"/>
  <c r="B225" i="4"/>
  <c r="N225" i="4"/>
  <c r="B226" i="4"/>
  <c r="N226" i="4"/>
  <c r="N41" i="2"/>
  <c r="B228" i="4"/>
  <c r="N228" i="4"/>
  <c r="B229" i="4"/>
  <c r="N229" i="4"/>
  <c r="B230" i="4"/>
  <c r="N230" i="4"/>
  <c r="N42" i="2"/>
  <c r="N231" i="4"/>
  <c r="B233" i="4"/>
  <c r="N233" i="4"/>
  <c r="B234" i="4"/>
  <c r="N234" i="4"/>
  <c r="O41" i="2"/>
  <c r="O230" i="4"/>
  <c r="O55" i="2"/>
  <c r="O232" i="4"/>
  <c r="O3" i="2"/>
  <c r="O24" i="2"/>
  <c r="O233" i="4"/>
  <c r="N55" i="2"/>
  <c r="N2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62" i="4"/>
  <c r="C55" i="2"/>
  <c r="C232" i="4"/>
  <c r="C20" i="5"/>
  <c r="D54" i="2"/>
  <c r="D262" i="4"/>
  <c r="F20" i="5"/>
  <c r="H20" i="5"/>
  <c r="I20" i="5"/>
  <c r="H54" i="2"/>
  <c r="H262" i="4"/>
  <c r="L20" i="5"/>
  <c r="N20" i="5"/>
  <c r="O20" i="5"/>
  <c r="L54" i="2"/>
  <c r="L262" i="4"/>
  <c r="M54" i="2"/>
  <c r="M262" i="4"/>
  <c r="N54" i="2"/>
  <c r="N262" i="4"/>
  <c r="T20" i="5"/>
  <c r="O54" i="2"/>
  <c r="O262" i="4"/>
  <c r="U20" i="5"/>
  <c r="P54" i="2"/>
  <c r="P262" i="4"/>
  <c r="P55" i="2"/>
  <c r="P232" i="4"/>
  <c r="W20" i="5"/>
  <c r="Q54" i="2"/>
  <c r="Q262" i="4"/>
  <c r="Q55" i="2"/>
  <c r="Q232" i="4"/>
  <c r="X20" i="5"/>
  <c r="R54" i="2"/>
  <c r="R262" i="4"/>
  <c r="R55" i="2"/>
  <c r="R232" i="4"/>
  <c r="Z20" i="5"/>
  <c r="S54" i="2"/>
  <c r="S262" i="4"/>
  <c r="S55" i="2"/>
  <c r="S232" i="4"/>
  <c r="AA20" i="5"/>
  <c r="AI262" i="4"/>
  <c r="T262" i="4" a="1"/>
  <c r="T262" i="4"/>
  <c r="AI232" i="4"/>
  <c r="T232" i="4" a="1"/>
  <c r="T232" i="4"/>
  <c r="AC20" i="5"/>
  <c r="U262" i="4" a="1"/>
  <c r="U262" i="4"/>
  <c r="U232" i="4" a="1"/>
  <c r="U232" i="4"/>
  <c r="AD20" i="5"/>
  <c r="AF20" i="5"/>
  <c r="AG20" i="5"/>
  <c r="X55" i="2"/>
  <c r="X232" i="4"/>
  <c r="AI20" i="5"/>
  <c r="Y54" i="2"/>
  <c r="Y262" i="4"/>
  <c r="Y55" i="2"/>
  <c r="Y232" i="4"/>
  <c r="AJ20" i="5"/>
  <c r="Z54" i="2"/>
  <c r="Z262" i="4"/>
  <c r="Z55" i="2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32" i="4"/>
  <c r="F54" i="2"/>
  <c r="F55" i="2"/>
  <c r="F232" i="4"/>
  <c r="I54" i="2"/>
  <c r="I55" i="2"/>
  <c r="I232" i="4"/>
  <c r="J54" i="2"/>
  <c r="J55" i="2"/>
  <c r="J232" i="4"/>
  <c r="K54" i="2"/>
  <c r="K55" i="2"/>
  <c r="K232" i="4"/>
  <c r="AA232" i="4"/>
  <c r="AC232" i="4"/>
  <c r="AD232" i="4"/>
  <c r="AE232" i="4"/>
  <c r="AF232" i="4"/>
  <c r="AG232" i="4"/>
  <c r="AH232" i="4"/>
  <c r="AJ232" i="4"/>
  <c r="AL232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D347" i="9"/>
  <c r="E347" i="9"/>
  <c r="F347" i="9"/>
  <c r="G347" i="9"/>
  <c r="C125" i="7"/>
  <c r="D125" i="7"/>
  <c r="E125" i="7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X29" i="2"/>
  <c r="B115" i="4"/>
  <c r="X115" i="4"/>
  <c r="N29" i="2"/>
  <c r="N115" i="4"/>
  <c r="X30" i="2"/>
  <c r="B109" i="4"/>
  <c r="X16" i="2"/>
  <c r="X12" i="2"/>
  <c r="X109" i="4"/>
  <c r="Q21" i="2"/>
  <c r="N38" i="2"/>
  <c r="B95" i="4"/>
  <c r="N95" i="4"/>
  <c r="N36" i="2"/>
  <c r="B96" i="4"/>
  <c r="N96" i="4"/>
  <c r="B92" i="4"/>
  <c r="N92" i="4"/>
  <c r="B93" i="4"/>
  <c r="N93" i="4"/>
  <c r="O28" i="2"/>
  <c r="B85" i="4"/>
  <c r="O85" i="4"/>
  <c r="B86" i="4"/>
  <c r="O86" i="4"/>
  <c r="H14" i="2"/>
  <c r="B47" i="4"/>
  <c r="O7" i="2"/>
  <c r="O47" i="4"/>
  <c r="N28" i="2"/>
  <c r="N47" i="4"/>
  <c r="Y51" i="2"/>
  <c r="B369" i="4"/>
  <c r="Y369" i="4"/>
  <c r="AJ356" i="5"/>
  <c r="Q30" i="2"/>
  <c r="Q29" i="2"/>
  <c r="Q185" i="4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V15" i="2"/>
  <c r="V8" i="2"/>
  <c r="V7" i="2"/>
  <c r="V40" i="2"/>
  <c r="V32" i="2"/>
  <c r="V39" i="2"/>
  <c r="V27" i="2"/>
  <c r="V18" i="2"/>
  <c r="V16" i="2"/>
  <c r="V21" i="2"/>
  <c r="V65" i="4"/>
  <c r="V5" i="2"/>
  <c r="V66" i="4"/>
  <c r="V6" i="2"/>
  <c r="B67" i="4"/>
  <c r="V67" i="4"/>
  <c r="C5" i="2"/>
  <c r="C6" i="2"/>
  <c r="C7" i="2"/>
  <c r="C67" i="4"/>
  <c r="D6" i="2"/>
  <c r="D67" i="4"/>
  <c r="E5" i="2"/>
  <c r="E6" i="2"/>
  <c r="E67" i="4"/>
  <c r="F5" i="2"/>
  <c r="F6" i="2"/>
  <c r="F67" i="4"/>
  <c r="H6" i="2"/>
  <c r="H67" i="4"/>
  <c r="I5" i="2"/>
  <c r="I6" i="2"/>
  <c r="I67" i="4"/>
  <c r="J5" i="2"/>
  <c r="J6" i="2"/>
  <c r="J67" i="4"/>
  <c r="L6" i="2"/>
  <c r="L67" i="4"/>
  <c r="M6" i="2"/>
  <c r="M67" i="4"/>
  <c r="N6" i="2"/>
  <c r="N67" i="4"/>
  <c r="O5" i="2"/>
  <c r="O6" i="2"/>
  <c r="O67" i="4"/>
  <c r="P5" i="2"/>
  <c r="P6" i="2"/>
  <c r="P7" i="2"/>
  <c r="P67" i="4"/>
  <c r="Q5" i="2"/>
  <c r="Q6" i="2"/>
  <c r="Q7" i="2"/>
  <c r="Q67" i="4"/>
  <c r="R5" i="2"/>
  <c r="R6" i="2"/>
  <c r="R7" i="2"/>
  <c r="R67" i="4"/>
  <c r="AI67" i="4"/>
  <c r="T67" i="4" a="1"/>
  <c r="T67" i="4"/>
  <c r="U67" i="4" a="1"/>
  <c r="U67" i="4"/>
  <c r="X5" i="2"/>
  <c r="X6" i="2"/>
  <c r="X67" i="4"/>
  <c r="Y5" i="2"/>
  <c r="Y6" i="2"/>
  <c r="Y7" i="2"/>
  <c r="Y67" i="4"/>
  <c r="Z5" i="2"/>
  <c r="Z6" i="2"/>
  <c r="Z7" i="2"/>
  <c r="Z67" i="4"/>
  <c r="AA67" i="4"/>
  <c r="AC67" i="4"/>
  <c r="AD67" i="4"/>
  <c r="AE67" i="4"/>
  <c r="AF67" i="4"/>
  <c r="AG67" i="4"/>
  <c r="AH67" i="4"/>
  <c r="AJ67" i="4"/>
  <c r="AL67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86" i="4"/>
  <c r="C19" i="5"/>
  <c r="D28" i="2"/>
  <c r="D86" i="4"/>
  <c r="F19" i="5"/>
  <c r="H19" i="5"/>
  <c r="I19" i="5"/>
  <c r="H28" i="2"/>
  <c r="H86" i="4"/>
  <c r="O19" i="5"/>
  <c r="L28" i="2"/>
  <c r="L86" i="4"/>
  <c r="M28" i="2"/>
  <c r="M86" i="4"/>
  <c r="T19" i="5"/>
  <c r="U19" i="5"/>
  <c r="P28" i="2"/>
  <c r="P86" i="4"/>
  <c r="W19" i="5"/>
  <c r="Q28" i="2"/>
  <c r="Q86" i="4"/>
  <c r="X19" i="5"/>
  <c r="R28" i="2"/>
  <c r="R86" i="4"/>
  <c r="Z19" i="5"/>
  <c r="S28" i="2"/>
  <c r="S86" i="4"/>
  <c r="AA19" i="5"/>
  <c r="AI86" i="4"/>
  <c r="T86" i="4" a="1"/>
  <c r="T86" i="4"/>
  <c r="AC19" i="5"/>
  <c r="U86" i="4" a="1"/>
  <c r="U86" i="4"/>
  <c r="AD19" i="5"/>
  <c r="AF19" i="5"/>
  <c r="AG19" i="5"/>
  <c r="X28" i="2"/>
  <c r="X86" i="4"/>
  <c r="AI19" i="5"/>
  <c r="Y28" i="2"/>
  <c r="Y86" i="4"/>
  <c r="AJ19" i="5"/>
  <c r="Z28" i="2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62" i="4"/>
  <c r="F28" i="2"/>
  <c r="F262" i="4"/>
  <c r="I28" i="2"/>
  <c r="I262" i="4"/>
  <c r="J28" i="2"/>
  <c r="J262" i="4"/>
  <c r="K28" i="2"/>
  <c r="K262" i="4"/>
  <c r="AA262" i="4"/>
  <c r="AC262" i="4"/>
  <c r="AD262" i="4"/>
  <c r="AE262" i="4"/>
  <c r="AF262" i="4"/>
  <c r="AG262" i="4"/>
  <c r="AH262" i="4"/>
  <c r="AJ262" i="4"/>
  <c r="AL262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D346" i="9"/>
  <c r="E346" i="9"/>
  <c r="F346" i="9"/>
  <c r="G346" i="9"/>
  <c r="C123" i="7"/>
  <c r="E123" i="7"/>
  <c r="D123" i="7"/>
  <c r="AG3" i="5"/>
  <c r="AF3" i="5"/>
  <c r="C39" i="2"/>
  <c r="B74" i="4"/>
  <c r="C74" i="4"/>
  <c r="C3" i="5"/>
  <c r="D74" i="4"/>
  <c r="E3" i="5"/>
  <c r="H74" i="4"/>
  <c r="K3" i="5"/>
  <c r="L74" i="4"/>
  <c r="Q3" i="5"/>
  <c r="M74" i="4"/>
  <c r="R3" i="5"/>
  <c r="T3" i="5"/>
  <c r="O39" i="2"/>
  <c r="O74" i="4"/>
  <c r="U3" i="5"/>
  <c r="P39" i="2"/>
  <c r="P74" i="4"/>
  <c r="W3" i="5"/>
  <c r="Q39" i="2"/>
  <c r="Q74" i="4"/>
  <c r="X3" i="5"/>
  <c r="S39" i="2"/>
  <c r="S74" i="4"/>
  <c r="AA3" i="5"/>
  <c r="AI74" i="4"/>
  <c r="T74" i="4" a="1"/>
  <c r="T74" i="4"/>
  <c r="AC3" i="5"/>
  <c r="U74" i="4" a="1"/>
  <c r="U74" i="4"/>
  <c r="AD3" i="5"/>
  <c r="X39" i="2"/>
  <c r="X74" i="4"/>
  <c r="AI3" i="5"/>
  <c r="Y39" i="2"/>
  <c r="Y74" i="4"/>
  <c r="AJ3" i="5"/>
  <c r="Z39" i="2"/>
  <c r="Z74" i="4"/>
  <c r="AL3" i="5"/>
  <c r="F3" i="5"/>
  <c r="L3" i="5"/>
  <c r="N3" i="5"/>
  <c r="O3" i="5"/>
  <c r="H3" i="5"/>
  <c r="I3" i="5"/>
  <c r="Z3" i="5"/>
  <c r="AN3" i="5"/>
  <c r="O4" i="5"/>
  <c r="H27" i="2"/>
  <c r="B75" i="4"/>
  <c r="H75" i="4"/>
  <c r="K4" i="5"/>
  <c r="AG4" i="5"/>
  <c r="AF4" i="5"/>
  <c r="C27" i="2"/>
  <c r="C75" i="4"/>
  <c r="C4" i="5"/>
  <c r="D27" i="2"/>
  <c r="D75" i="4"/>
  <c r="E4" i="5"/>
  <c r="I27" i="2"/>
  <c r="I75" i="4"/>
  <c r="L4" i="5"/>
  <c r="J27" i="2"/>
  <c r="J75" i="4"/>
  <c r="N4" i="5"/>
  <c r="L27" i="2"/>
  <c r="L75" i="4"/>
  <c r="Q4" i="5"/>
  <c r="M27" i="2"/>
  <c r="M75" i="4"/>
  <c r="R4" i="5"/>
  <c r="T4" i="5"/>
  <c r="O27" i="2"/>
  <c r="O75" i="4"/>
  <c r="U4" i="5"/>
  <c r="W4" i="5"/>
  <c r="Q27" i="2"/>
  <c r="Q75" i="4"/>
  <c r="X4" i="5"/>
  <c r="AA4" i="5"/>
  <c r="AI75" i="4"/>
  <c r="T75" i="4" a="1"/>
  <c r="T75" i="4"/>
  <c r="AC4" i="5"/>
  <c r="U75" i="4" a="1"/>
  <c r="U75" i="4"/>
  <c r="AD4" i="5"/>
  <c r="X27" i="2"/>
  <c r="X75" i="4"/>
  <c r="AI4" i="5"/>
  <c r="Y27" i="2"/>
  <c r="Y75" i="4"/>
  <c r="AJ4" i="5"/>
  <c r="Z27" i="2"/>
  <c r="Z75" i="4"/>
  <c r="AL4" i="5"/>
  <c r="F4" i="5"/>
  <c r="H4" i="5"/>
  <c r="I4" i="5"/>
  <c r="Z4" i="5"/>
  <c r="AN4" i="5"/>
  <c r="AG5" i="5"/>
  <c r="AF5" i="5"/>
  <c r="C16" i="2"/>
  <c r="C136" i="4"/>
  <c r="C5" i="5"/>
  <c r="D16" i="2"/>
  <c r="D136" i="4"/>
  <c r="E5" i="5"/>
  <c r="E27" i="2"/>
  <c r="E16" i="2"/>
  <c r="E136" i="4"/>
  <c r="F5" i="5"/>
  <c r="F27" i="2"/>
  <c r="F16" i="2"/>
  <c r="F136" i="4"/>
  <c r="H5" i="5"/>
  <c r="I5" i="5"/>
  <c r="H16" i="2"/>
  <c r="H136" i="4"/>
  <c r="K5" i="5"/>
  <c r="L16" i="2"/>
  <c r="L136" i="4"/>
  <c r="Q5" i="5"/>
  <c r="M16" i="2"/>
  <c r="M136" i="4"/>
  <c r="R5" i="5"/>
  <c r="T5" i="5"/>
  <c r="U5" i="5"/>
  <c r="P27" i="2"/>
  <c r="P16" i="2"/>
  <c r="P136" i="4"/>
  <c r="W5" i="5"/>
  <c r="Q16" i="2"/>
  <c r="Q136" i="4"/>
  <c r="X5" i="5"/>
  <c r="S27" i="2"/>
  <c r="S136" i="4"/>
  <c r="AA5" i="5"/>
  <c r="AI136" i="4"/>
  <c r="T136" i="4" a="1"/>
  <c r="T136" i="4"/>
  <c r="AC5" i="5"/>
  <c r="U136" i="4" a="1"/>
  <c r="U136" i="4"/>
  <c r="AD5" i="5"/>
  <c r="X136" i="4"/>
  <c r="AI5" i="5"/>
  <c r="Y16" i="2"/>
  <c r="Y136" i="4"/>
  <c r="AJ5" i="5"/>
  <c r="Z16" i="2"/>
  <c r="Z136" i="4"/>
  <c r="AL5" i="5"/>
  <c r="L5" i="5"/>
  <c r="N5" i="5"/>
  <c r="O5" i="5"/>
  <c r="Z5" i="5"/>
  <c r="AN5" i="5"/>
  <c r="AG6" i="5"/>
  <c r="AF6" i="5"/>
  <c r="C40" i="2"/>
  <c r="C216" i="4"/>
  <c r="C6" i="5"/>
  <c r="D216" i="4"/>
  <c r="E6" i="5"/>
  <c r="H216" i="4"/>
  <c r="K6" i="5"/>
  <c r="L216" i="4"/>
  <c r="Q6" i="5"/>
  <c r="M216" i="4"/>
  <c r="R6" i="5"/>
  <c r="T6" i="5"/>
  <c r="O40" i="2"/>
  <c r="O216" i="4"/>
  <c r="U6" i="5"/>
  <c r="P40" i="2"/>
  <c r="P216" i="4"/>
  <c r="W6" i="5"/>
  <c r="Q40" i="2"/>
  <c r="Q216" i="4"/>
  <c r="X6" i="5"/>
  <c r="S40" i="2"/>
  <c r="S216" i="4"/>
  <c r="AA6" i="5"/>
  <c r="AD6" i="5"/>
  <c r="X40" i="2"/>
  <c r="X216" i="4"/>
  <c r="AI6" i="5"/>
  <c r="Y40" i="2"/>
  <c r="Y216" i="4"/>
  <c r="AJ6" i="5"/>
  <c r="Z40" i="2"/>
  <c r="Z216" i="4"/>
  <c r="AL6" i="5"/>
  <c r="F6" i="5"/>
  <c r="H6" i="5"/>
  <c r="I6" i="5"/>
  <c r="L6" i="5"/>
  <c r="N6" i="5"/>
  <c r="O6" i="5"/>
  <c r="Z6" i="5"/>
  <c r="AN6" i="5"/>
  <c r="AG7" i="5"/>
  <c r="AF7" i="5"/>
  <c r="C217" i="4"/>
  <c r="C7" i="5"/>
  <c r="D217" i="4"/>
  <c r="E7" i="5"/>
  <c r="H217" i="4"/>
  <c r="K7" i="5"/>
  <c r="L217" i="4"/>
  <c r="Q7" i="5"/>
  <c r="M217" i="4"/>
  <c r="R7" i="5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H7" i="5"/>
  <c r="I7" i="5"/>
  <c r="L7" i="5"/>
  <c r="N7" i="5"/>
  <c r="O7" i="5"/>
  <c r="Z7" i="5"/>
  <c r="AN7" i="5"/>
  <c r="AG8" i="5"/>
  <c r="AF8" i="5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I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H8" i="5"/>
  <c r="I8" i="5"/>
  <c r="L8" i="5"/>
  <c r="N8" i="5"/>
  <c r="O8" i="5"/>
  <c r="Z8" i="5"/>
  <c r="AN8" i="5"/>
  <c r="AG9" i="5"/>
  <c r="AF9" i="5"/>
  <c r="C19" i="2"/>
  <c r="C235" i="4"/>
  <c r="C9" i="5"/>
  <c r="D235" i="4"/>
  <c r="E9" i="5"/>
  <c r="E235" i="4"/>
  <c r="F9" i="5"/>
  <c r="F235" i="4"/>
  <c r="H9" i="5"/>
  <c r="I9" i="5"/>
  <c r="H235" i="4"/>
  <c r="K9" i="5"/>
  <c r="L235" i="4"/>
  <c r="Q9" i="5"/>
  <c r="M235" i="4"/>
  <c r="R9" i="5"/>
  <c r="T9" i="5"/>
  <c r="O19" i="2"/>
  <c r="O235" i="4"/>
  <c r="U9" i="5"/>
  <c r="P19" i="2"/>
  <c r="P235" i="4"/>
  <c r="W9" i="5"/>
  <c r="Q19" i="2"/>
  <c r="Q235" i="4"/>
  <c r="X9" i="5"/>
  <c r="S19" i="2"/>
  <c r="S235" i="4"/>
  <c r="AA9" i="5"/>
  <c r="AI235" i="4"/>
  <c r="T235" i="4" a="1"/>
  <c r="T235" i="4"/>
  <c r="AC9" i="5"/>
  <c r="U235" i="4" a="1"/>
  <c r="U235" i="4"/>
  <c r="AD9" i="5"/>
  <c r="X19" i="2"/>
  <c r="X235" i="4"/>
  <c r="AI9" i="5"/>
  <c r="Y19" i="2"/>
  <c r="Y235" i="4"/>
  <c r="AJ9" i="5"/>
  <c r="Z19" i="2"/>
  <c r="Z235" i="4"/>
  <c r="AL9" i="5"/>
  <c r="L9" i="5"/>
  <c r="N9" i="5"/>
  <c r="O9" i="5"/>
  <c r="Z9" i="5"/>
  <c r="AN9" i="5"/>
  <c r="AG10" i="5"/>
  <c r="AF10" i="5"/>
  <c r="C3" i="2"/>
  <c r="B269" i="4"/>
  <c r="C269" i="4"/>
  <c r="C10" i="5"/>
  <c r="D3" i="2"/>
  <c r="D269" i="4"/>
  <c r="E10" i="5"/>
  <c r="K10" i="5"/>
  <c r="L3" i="2"/>
  <c r="L269" i="4"/>
  <c r="Q10" i="5"/>
  <c r="M3" i="2"/>
  <c r="M269" i="4"/>
  <c r="R10" i="5"/>
  <c r="T10" i="5"/>
  <c r="O269" i="4"/>
  <c r="U10" i="5"/>
  <c r="P3" i="2"/>
  <c r="P269" i="4"/>
  <c r="W10" i="5"/>
  <c r="Q3" i="2"/>
  <c r="Q269" i="4"/>
  <c r="X10" i="5"/>
  <c r="S3" i="2"/>
  <c r="S269" i="4"/>
  <c r="AA10" i="5"/>
  <c r="AI269" i="4"/>
  <c r="T269" i="4" a="1"/>
  <c r="T269" i="4"/>
  <c r="AC10" i="5"/>
  <c r="U269" i="4" a="1"/>
  <c r="U269" i="4"/>
  <c r="AD10" i="5"/>
  <c r="X3" i="2"/>
  <c r="X269" i="4"/>
  <c r="AI10" i="5"/>
  <c r="Y3" i="2"/>
  <c r="Y269" i="4"/>
  <c r="AJ10" i="5"/>
  <c r="Z3" i="2"/>
  <c r="Z269" i="4"/>
  <c r="AL10" i="5"/>
  <c r="F10" i="5"/>
  <c r="H10" i="5"/>
  <c r="I10" i="5"/>
  <c r="L10" i="5"/>
  <c r="N10" i="5"/>
  <c r="O10" i="5"/>
  <c r="Z10" i="5"/>
  <c r="AN10" i="5"/>
  <c r="AG11" i="5"/>
  <c r="AF11" i="5"/>
  <c r="C2" i="2"/>
  <c r="B270" i="4"/>
  <c r="C270" i="4"/>
  <c r="C11" i="5"/>
  <c r="D2" i="2"/>
  <c r="D270" i="4"/>
  <c r="E11" i="5"/>
  <c r="K11" i="5"/>
  <c r="L2" i="2"/>
  <c r="L270" i="4"/>
  <c r="Q11" i="5"/>
  <c r="M2" i="2"/>
  <c r="M270" i="4"/>
  <c r="R11" i="5"/>
  <c r="T11" i="5"/>
  <c r="U11" i="5"/>
  <c r="P2" i="2"/>
  <c r="P270" i="4"/>
  <c r="W11" i="5"/>
  <c r="Q2" i="2"/>
  <c r="Q270" i="4"/>
  <c r="X11" i="5"/>
  <c r="S2" i="2"/>
  <c r="S270" i="4"/>
  <c r="AA11" i="5"/>
  <c r="AI270" i="4"/>
  <c r="T270" i="4" a="1"/>
  <c r="T270" i="4"/>
  <c r="AC11" i="5"/>
  <c r="U270" i="4" a="1"/>
  <c r="U270" i="4"/>
  <c r="AD11" i="5"/>
  <c r="X2" i="2"/>
  <c r="X270" i="4"/>
  <c r="AI11" i="5"/>
  <c r="Y2" i="2"/>
  <c r="Y270" i="4"/>
  <c r="AJ11" i="5"/>
  <c r="Z2" i="2"/>
  <c r="Z270" i="4"/>
  <c r="AL11" i="5"/>
  <c r="F11" i="5"/>
  <c r="H11" i="5"/>
  <c r="I11" i="5"/>
  <c r="L11" i="5"/>
  <c r="N11" i="5"/>
  <c r="O11" i="5"/>
  <c r="Z11" i="5"/>
  <c r="AN11" i="5"/>
  <c r="S30" i="2"/>
  <c r="S155" i="4"/>
  <c r="AA12" i="5"/>
  <c r="P30" i="2"/>
  <c r="P155" i="4"/>
  <c r="W12" i="5"/>
  <c r="O12" i="5"/>
  <c r="K12" i="5"/>
  <c r="AG12" i="5"/>
  <c r="AF12" i="5"/>
  <c r="C30" i="2"/>
  <c r="C155" i="4"/>
  <c r="C12" i="5"/>
  <c r="D30" i="2"/>
  <c r="D155" i="4"/>
  <c r="E12" i="5"/>
  <c r="E30" i="2"/>
  <c r="E155" i="4"/>
  <c r="F12" i="5"/>
  <c r="F30" i="2"/>
  <c r="F155" i="4"/>
  <c r="H12" i="5"/>
  <c r="I12" i="5"/>
  <c r="L30" i="2"/>
  <c r="L155" i="4"/>
  <c r="Q12" i="5"/>
  <c r="M30" i="2"/>
  <c r="M155" i="4"/>
  <c r="R12" i="5"/>
  <c r="T12" i="5"/>
  <c r="O30" i="2"/>
  <c r="O155" i="4"/>
  <c r="U12" i="5"/>
  <c r="Q155" i="4"/>
  <c r="X12" i="5"/>
  <c r="R30" i="2"/>
  <c r="R155" i="4"/>
  <c r="Z12" i="5"/>
  <c r="AI155" i="4"/>
  <c r="T155" i="4" a="1"/>
  <c r="T155" i="4"/>
  <c r="AC12" i="5"/>
  <c r="U155" i="4" a="1"/>
  <c r="U155" i="4"/>
  <c r="AD12" i="5"/>
  <c r="X155" i="4"/>
  <c r="AI12" i="5"/>
  <c r="Y30" i="2"/>
  <c r="Y155" i="4"/>
  <c r="AJ12" i="5"/>
  <c r="Z30" i="2"/>
  <c r="Z155" i="4"/>
  <c r="AL12" i="5"/>
  <c r="AN12" i="5"/>
  <c r="S156" i="4"/>
  <c r="AA13" i="5"/>
  <c r="P8" i="2"/>
  <c r="P156" i="4"/>
  <c r="W13" i="5"/>
  <c r="O13" i="5"/>
  <c r="K13" i="5"/>
  <c r="AG13" i="5"/>
  <c r="AF13" i="5"/>
  <c r="C8" i="2"/>
  <c r="C156" i="4"/>
  <c r="C13" i="5"/>
  <c r="D156" i="4"/>
  <c r="E13" i="5"/>
  <c r="E8" i="2"/>
  <c r="E156" i="4"/>
  <c r="F13" i="5"/>
  <c r="F8" i="2"/>
  <c r="F156" i="4"/>
  <c r="H13" i="5"/>
  <c r="I13" i="5"/>
  <c r="I8" i="2"/>
  <c r="I156" i="4"/>
  <c r="L13" i="5"/>
  <c r="J8" i="2"/>
  <c r="J156" i="4"/>
  <c r="N13" i="5"/>
  <c r="L156" i="4"/>
  <c r="Q13" i="5"/>
  <c r="M156" i="4"/>
  <c r="R13" i="5"/>
  <c r="T13" i="5"/>
  <c r="O8" i="2"/>
  <c r="O156" i="4"/>
  <c r="U13" i="5"/>
  <c r="Q8" i="2"/>
  <c r="Q156" i="4"/>
  <c r="X13" i="5"/>
  <c r="R8" i="2"/>
  <c r="R156" i="4"/>
  <c r="Z13" i="5"/>
  <c r="AI156" i="4"/>
  <c r="T156" i="4" a="1"/>
  <c r="T156" i="4"/>
  <c r="AC13" i="5"/>
  <c r="U156" i="4" a="1"/>
  <c r="U156" i="4"/>
  <c r="AD13" i="5"/>
  <c r="X8" i="2"/>
  <c r="X156" i="4"/>
  <c r="AI13" i="5"/>
  <c r="Y8" i="2"/>
  <c r="Y156" i="4"/>
  <c r="AJ13" i="5"/>
  <c r="Z8" i="2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I127" i="4"/>
  <c r="T127" i="4" a="1"/>
  <c r="T127" i="4"/>
  <c r="AC14" i="5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C41" i="2"/>
  <c r="B249" i="4"/>
  <c r="C249" i="4"/>
  <c r="C15" i="5"/>
  <c r="D41" i="2"/>
  <c r="D249" i="4"/>
  <c r="E15" i="5"/>
  <c r="E41" i="2"/>
  <c r="E249" i="4"/>
  <c r="F15" i="5"/>
  <c r="F41" i="2"/>
  <c r="F249" i="4"/>
  <c r="H15" i="5"/>
  <c r="I15" i="5"/>
  <c r="K15" i="5"/>
  <c r="L41" i="2"/>
  <c r="L249" i="4"/>
  <c r="Q15" i="5"/>
  <c r="M41" i="2"/>
  <c r="M249" i="4"/>
  <c r="R15" i="5"/>
  <c r="T15" i="5"/>
  <c r="O249" i="4"/>
  <c r="U15" i="5"/>
  <c r="P41" i="2"/>
  <c r="P249" i="4"/>
  <c r="W15" i="5"/>
  <c r="Q41" i="2"/>
  <c r="Q249" i="4"/>
  <c r="X15" i="5"/>
  <c r="S41" i="2"/>
  <c r="S249" i="4"/>
  <c r="AA15" i="5"/>
  <c r="AI249" i="4"/>
  <c r="T249" i="4" a="1"/>
  <c r="T249" i="4"/>
  <c r="AC15" i="5"/>
  <c r="U249" i="4" a="1"/>
  <c r="U249" i="4"/>
  <c r="AD15" i="5"/>
  <c r="X41" i="2"/>
  <c r="X249" i="4"/>
  <c r="AI15" i="5"/>
  <c r="Y41" i="2"/>
  <c r="Y249" i="4"/>
  <c r="AJ15" i="5"/>
  <c r="Z41" i="2"/>
  <c r="Z249" i="4"/>
  <c r="AL15" i="5"/>
  <c r="L15" i="5"/>
  <c r="N15" i="5"/>
  <c r="O15" i="5"/>
  <c r="Z15" i="5"/>
  <c r="AN15" i="5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I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F16" i="5"/>
  <c r="H16" i="5"/>
  <c r="I16" i="5"/>
  <c r="AN16" i="5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I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90" i="4"/>
  <c r="C90" i="4"/>
  <c r="C21" i="5"/>
  <c r="D36" i="2"/>
  <c r="D90" i="4"/>
  <c r="E21" i="5"/>
  <c r="L36" i="2"/>
  <c r="L90" i="4"/>
  <c r="Q21" i="5"/>
  <c r="M36" i="2"/>
  <c r="M90" i="4"/>
  <c r="R21" i="5"/>
  <c r="T21" i="5"/>
  <c r="O36" i="2"/>
  <c r="O90" i="4"/>
  <c r="U21" i="5"/>
  <c r="P36" i="2"/>
  <c r="P90" i="4"/>
  <c r="W21" i="5"/>
  <c r="Q36" i="2"/>
  <c r="Q90" i="4"/>
  <c r="X21" i="5"/>
  <c r="S36" i="2"/>
  <c r="S90" i="4"/>
  <c r="AA21" i="5"/>
  <c r="AI90" i="4"/>
  <c r="T90" i="4" a="1"/>
  <c r="T90" i="4"/>
  <c r="AC21" i="5"/>
  <c r="U90" i="4" a="1"/>
  <c r="U90" i="4"/>
  <c r="AD21" i="5"/>
  <c r="X36" i="2"/>
  <c r="X90" i="4"/>
  <c r="AI21" i="5"/>
  <c r="Y36" i="2"/>
  <c r="Y90" i="4"/>
  <c r="AJ21" i="5"/>
  <c r="Z36" i="2"/>
  <c r="Z90" i="4"/>
  <c r="AL21" i="5"/>
  <c r="L21" i="5"/>
  <c r="N21" i="5"/>
  <c r="O21" i="5"/>
  <c r="F21" i="5"/>
  <c r="H21" i="5"/>
  <c r="I21" i="5"/>
  <c r="Z21" i="5"/>
  <c r="AN21" i="5"/>
  <c r="AG22" i="5"/>
  <c r="AF22" i="5"/>
  <c r="C38" i="2"/>
  <c r="B91" i="4"/>
  <c r="C91" i="4"/>
  <c r="C22" i="5"/>
  <c r="D38" i="2"/>
  <c r="D91" i="4"/>
  <c r="E22" i="5"/>
  <c r="H38" i="2"/>
  <c r="H91" i="4"/>
  <c r="K22" i="5"/>
  <c r="L38" i="2"/>
  <c r="L91" i="4"/>
  <c r="Q22" i="5"/>
  <c r="M38" i="2"/>
  <c r="M91" i="4"/>
  <c r="R22" i="5"/>
  <c r="T22" i="5"/>
  <c r="O38" i="2"/>
  <c r="O91" i="4"/>
  <c r="U22" i="5"/>
  <c r="P38" i="2"/>
  <c r="P91" i="4"/>
  <c r="W22" i="5"/>
  <c r="Q38" i="2"/>
  <c r="Q91" i="4"/>
  <c r="X22" i="5"/>
  <c r="S38" i="2"/>
  <c r="S91" i="4"/>
  <c r="AA22" i="5"/>
  <c r="AI91" i="4"/>
  <c r="T91" i="4" a="1"/>
  <c r="T91" i="4"/>
  <c r="AC22" i="5"/>
  <c r="U91" i="4" a="1"/>
  <c r="U91" i="4"/>
  <c r="AD22" i="5"/>
  <c r="X38" i="2"/>
  <c r="X91" i="4"/>
  <c r="AI22" i="5"/>
  <c r="Y38" i="2"/>
  <c r="Y91" i="4"/>
  <c r="AJ22" i="5"/>
  <c r="Z38" i="2"/>
  <c r="Z91" i="4"/>
  <c r="AL22" i="5"/>
  <c r="L22" i="5"/>
  <c r="N22" i="5"/>
  <c r="O22" i="5"/>
  <c r="F22" i="5"/>
  <c r="H22" i="5"/>
  <c r="I22" i="5"/>
  <c r="Z22" i="5"/>
  <c r="AN22" i="5"/>
  <c r="AG23" i="5"/>
  <c r="AF23" i="5"/>
  <c r="C92" i="4"/>
  <c r="C23" i="5"/>
  <c r="D92" i="4"/>
  <c r="E23" i="5"/>
  <c r="H36" i="2"/>
  <c r="H92" i="4"/>
  <c r="K23" i="5"/>
  <c r="I36" i="2"/>
  <c r="I92" i="4"/>
  <c r="L23" i="5"/>
  <c r="J36" i="2"/>
  <c r="J92" i="4"/>
  <c r="N23" i="5"/>
  <c r="O23" i="5"/>
  <c r="L92" i="4"/>
  <c r="Q23" i="5"/>
  <c r="M92" i="4"/>
  <c r="R23" i="5"/>
  <c r="T23" i="5"/>
  <c r="O92" i="4"/>
  <c r="U23" i="5"/>
  <c r="P92" i="4"/>
  <c r="W23" i="5"/>
  <c r="Q92" i="4"/>
  <c r="X23" i="5"/>
  <c r="S92" i="4"/>
  <c r="AA23" i="5"/>
  <c r="AI92" i="4"/>
  <c r="T92" i="4" a="1"/>
  <c r="T92" i="4"/>
  <c r="AC23" i="5"/>
  <c r="U92" i="4" a="1"/>
  <c r="U92" i="4"/>
  <c r="AD23" i="5"/>
  <c r="X92" i="4"/>
  <c r="AI23" i="5"/>
  <c r="Y92" i="4"/>
  <c r="AJ23" i="5"/>
  <c r="Z92" i="4"/>
  <c r="AL23" i="5"/>
  <c r="F23" i="5"/>
  <c r="H23" i="5"/>
  <c r="I23" i="5"/>
  <c r="Z23" i="5"/>
  <c r="AN23" i="5"/>
  <c r="AG24" i="5"/>
  <c r="AF24" i="5"/>
  <c r="C93" i="4"/>
  <c r="C24" i="5"/>
  <c r="D93" i="4"/>
  <c r="E24" i="5"/>
  <c r="H93" i="4"/>
  <c r="K24" i="5"/>
  <c r="L93" i="4"/>
  <c r="Q24" i="5"/>
  <c r="M93" i="4"/>
  <c r="R24" i="5"/>
  <c r="T24" i="5"/>
  <c r="O93" i="4"/>
  <c r="U24" i="5"/>
  <c r="P93" i="4"/>
  <c r="W24" i="5"/>
  <c r="Q93" i="4"/>
  <c r="X24" i="5"/>
  <c r="S93" i="4"/>
  <c r="AA24" i="5"/>
  <c r="AI93" i="4"/>
  <c r="T93" i="4" a="1"/>
  <c r="T93" i="4"/>
  <c r="AC24" i="5"/>
  <c r="U93" i="4" a="1"/>
  <c r="U93" i="4"/>
  <c r="AD24" i="5"/>
  <c r="X93" i="4"/>
  <c r="AI24" i="5"/>
  <c r="Y93" i="4"/>
  <c r="AJ24" i="5"/>
  <c r="Z93" i="4"/>
  <c r="AL24" i="5"/>
  <c r="L24" i="5"/>
  <c r="N24" i="5"/>
  <c r="O24" i="5"/>
  <c r="F24" i="5"/>
  <c r="H24" i="5"/>
  <c r="I24" i="5"/>
  <c r="Z24" i="5"/>
  <c r="AN24" i="5"/>
  <c r="AG25" i="5"/>
  <c r="AF25" i="5"/>
  <c r="C95" i="4"/>
  <c r="C25" i="5"/>
  <c r="D95" i="4"/>
  <c r="E25" i="5"/>
  <c r="H95" i="4"/>
  <c r="K25" i="5"/>
  <c r="L95" i="4"/>
  <c r="Q25" i="5"/>
  <c r="M95" i="4"/>
  <c r="R25" i="5"/>
  <c r="T25" i="5"/>
  <c r="O95" i="4"/>
  <c r="U25" i="5"/>
  <c r="P95" i="4"/>
  <c r="W25" i="5"/>
  <c r="Q95" i="4"/>
  <c r="X25" i="5"/>
  <c r="S95" i="4"/>
  <c r="AA25" i="5"/>
  <c r="AI95" i="4"/>
  <c r="T95" i="4" a="1"/>
  <c r="T95" i="4"/>
  <c r="AC25" i="5"/>
  <c r="U95" i="4" a="1"/>
  <c r="U95" i="4"/>
  <c r="AD25" i="5"/>
  <c r="X95" i="4"/>
  <c r="AI25" i="5"/>
  <c r="Y95" i="4"/>
  <c r="AJ25" i="5"/>
  <c r="Z95" i="4"/>
  <c r="AL25" i="5"/>
  <c r="L25" i="5"/>
  <c r="N25" i="5"/>
  <c r="O25" i="5"/>
  <c r="F25" i="5"/>
  <c r="H25" i="5"/>
  <c r="I25" i="5"/>
  <c r="Z25" i="5"/>
  <c r="AN25" i="5"/>
  <c r="AG26" i="5"/>
  <c r="AF26" i="5"/>
  <c r="C96" i="4"/>
  <c r="C26" i="5"/>
  <c r="D96" i="4"/>
  <c r="E26" i="5"/>
  <c r="H96" i="4"/>
  <c r="K26" i="5"/>
  <c r="L96" i="4"/>
  <c r="Q26" i="5"/>
  <c r="M96" i="4"/>
  <c r="R26" i="5"/>
  <c r="T26" i="5"/>
  <c r="O96" i="4"/>
  <c r="U26" i="5"/>
  <c r="P96" i="4"/>
  <c r="W26" i="5"/>
  <c r="Q96" i="4"/>
  <c r="X26" i="5"/>
  <c r="S96" i="4"/>
  <c r="AA26" i="5"/>
  <c r="AI96" i="4"/>
  <c r="T96" i="4" a="1"/>
  <c r="T96" i="4"/>
  <c r="AC26" i="5"/>
  <c r="U96" i="4" a="1"/>
  <c r="U96" i="4"/>
  <c r="AD26" i="5"/>
  <c r="X96" i="4"/>
  <c r="AI26" i="5"/>
  <c r="Y96" i="4"/>
  <c r="AJ26" i="5"/>
  <c r="Z96" i="4"/>
  <c r="AL26" i="5"/>
  <c r="L26" i="5"/>
  <c r="N26" i="5"/>
  <c r="O26" i="5"/>
  <c r="F26" i="5"/>
  <c r="H26" i="5"/>
  <c r="I26" i="5"/>
  <c r="Z26" i="5"/>
  <c r="AN26" i="5"/>
  <c r="AG27" i="5"/>
  <c r="AF27" i="5"/>
  <c r="B258" i="4"/>
  <c r="C258" i="4"/>
  <c r="C27" i="5"/>
  <c r="D258" i="4"/>
  <c r="E27" i="5"/>
  <c r="E258" i="4"/>
  <c r="F27" i="5"/>
  <c r="F258" i="4"/>
  <c r="H27" i="5"/>
  <c r="I27" i="5"/>
  <c r="K27" i="5"/>
  <c r="L258" i="4"/>
  <c r="Q27" i="5"/>
  <c r="M258" i="4"/>
  <c r="R27" i="5"/>
  <c r="T27" i="5"/>
  <c r="O258" i="4"/>
  <c r="U27" i="5"/>
  <c r="P258" i="4"/>
  <c r="W27" i="5"/>
  <c r="Q258" i="4"/>
  <c r="X27" i="5"/>
  <c r="S258" i="4"/>
  <c r="AA27" i="5"/>
  <c r="AI258" i="4"/>
  <c r="T258" i="4" a="1"/>
  <c r="T258" i="4"/>
  <c r="AC27" i="5"/>
  <c r="U258" i="4" a="1"/>
  <c r="U258" i="4"/>
  <c r="AD27" i="5"/>
  <c r="X258" i="4"/>
  <c r="AI27" i="5"/>
  <c r="Y258" i="4"/>
  <c r="AJ27" i="5"/>
  <c r="Z258" i="4"/>
  <c r="AL27" i="5"/>
  <c r="L27" i="5"/>
  <c r="N27" i="5"/>
  <c r="O27" i="5"/>
  <c r="Z27" i="5"/>
  <c r="AN27" i="5"/>
  <c r="AG28" i="5"/>
  <c r="AF28" i="5"/>
  <c r="C44" i="2"/>
  <c r="C178" i="4"/>
  <c r="C28" i="5"/>
  <c r="D44" i="2"/>
  <c r="D178" i="4"/>
  <c r="E28" i="5"/>
  <c r="E44" i="2"/>
  <c r="E178" i="4"/>
  <c r="F28" i="5"/>
  <c r="F44" i="2"/>
  <c r="F178" i="4"/>
  <c r="H28" i="5"/>
  <c r="I28" i="5"/>
  <c r="H44" i="2"/>
  <c r="H178" i="4"/>
  <c r="K28" i="5"/>
  <c r="L44" i="2"/>
  <c r="L178" i="4"/>
  <c r="Q28" i="5"/>
  <c r="M44" i="2"/>
  <c r="M178" i="4"/>
  <c r="R28" i="5"/>
  <c r="N178" i="4"/>
  <c r="T28" i="5"/>
  <c r="O44" i="2"/>
  <c r="O178" i="4"/>
  <c r="U28" i="5"/>
  <c r="P44" i="2"/>
  <c r="P178" i="4"/>
  <c r="W28" i="5"/>
  <c r="Q44" i="2"/>
  <c r="Q178" i="4"/>
  <c r="X28" i="5"/>
  <c r="S44" i="2"/>
  <c r="S178" i="4"/>
  <c r="AA28" i="5"/>
  <c r="AI178" i="4"/>
  <c r="T178" i="4" a="1"/>
  <c r="T178" i="4"/>
  <c r="AC28" i="5"/>
  <c r="U178" i="4" a="1"/>
  <c r="U178" i="4"/>
  <c r="AD28" i="5"/>
  <c r="X44" i="2"/>
  <c r="X178" i="4"/>
  <c r="AI28" i="5"/>
  <c r="Y44" i="2"/>
  <c r="Y178" i="4"/>
  <c r="AJ28" i="5"/>
  <c r="Z44" i="2"/>
  <c r="Z178" i="4"/>
  <c r="AL28" i="5"/>
  <c r="L28" i="5"/>
  <c r="N28" i="5"/>
  <c r="O28" i="5"/>
  <c r="Z28" i="5"/>
  <c r="AN28" i="5"/>
  <c r="O29" i="5"/>
  <c r="B49" i="4"/>
  <c r="H49" i="4"/>
  <c r="K29" i="5"/>
  <c r="AG29" i="5"/>
  <c r="AF29" i="5"/>
  <c r="C14" i="2"/>
  <c r="C49" i="4"/>
  <c r="C29" i="5"/>
  <c r="D14" i="2"/>
  <c r="D49" i="4"/>
  <c r="E29" i="5"/>
  <c r="I14" i="2"/>
  <c r="I49" i="4"/>
  <c r="L29" i="5"/>
  <c r="J14" i="2"/>
  <c r="J49" i="4"/>
  <c r="N29" i="5"/>
  <c r="L14" i="2"/>
  <c r="L49" i="4"/>
  <c r="Q29" i="5"/>
  <c r="M14" i="2"/>
  <c r="M49" i="4"/>
  <c r="R29" i="5"/>
  <c r="T29" i="5"/>
  <c r="O14" i="2"/>
  <c r="O49" i="4"/>
  <c r="U29" i="5"/>
  <c r="P14" i="2"/>
  <c r="P49" i="4"/>
  <c r="W29" i="5"/>
  <c r="Q14" i="2"/>
  <c r="Q49" i="4"/>
  <c r="X29" i="5"/>
  <c r="AA29" i="5"/>
  <c r="AI49" i="4"/>
  <c r="T49" i="4" a="1"/>
  <c r="T49" i="4"/>
  <c r="AC29" i="5"/>
  <c r="U49" i="4" a="1"/>
  <c r="U49" i="4"/>
  <c r="AD29" i="5"/>
  <c r="Y14" i="2"/>
  <c r="Y49" i="4"/>
  <c r="AJ29" i="5"/>
  <c r="Z14" i="2"/>
  <c r="Z49" i="4"/>
  <c r="AL29" i="5"/>
  <c r="F29" i="5"/>
  <c r="H29" i="5"/>
  <c r="I29" i="5"/>
  <c r="Z29" i="5"/>
  <c r="AN29" i="5"/>
  <c r="AG30" i="5"/>
  <c r="AF30" i="5"/>
  <c r="B50" i="4"/>
  <c r="C50" i="4"/>
  <c r="C30" i="5"/>
  <c r="D50" i="4"/>
  <c r="E30" i="5"/>
  <c r="H50" i="4"/>
  <c r="K30" i="5"/>
  <c r="L50" i="4"/>
  <c r="Q30" i="5"/>
  <c r="M50" i="4"/>
  <c r="R30" i="5"/>
  <c r="T30" i="5"/>
  <c r="O50" i="4"/>
  <c r="U30" i="5"/>
  <c r="P50" i="4"/>
  <c r="W30" i="5"/>
  <c r="Q50" i="4"/>
  <c r="X30" i="5"/>
  <c r="AA30" i="5"/>
  <c r="AI50" i="4"/>
  <c r="T50" i="4" a="1"/>
  <c r="T50" i="4"/>
  <c r="AC30" i="5"/>
  <c r="U50" i="4" a="1"/>
  <c r="U50" i="4"/>
  <c r="AD30" i="5"/>
  <c r="Y50" i="4"/>
  <c r="AJ30" i="5"/>
  <c r="Z50" i="4"/>
  <c r="AL30" i="5"/>
  <c r="L30" i="5"/>
  <c r="N30" i="5"/>
  <c r="O30" i="5"/>
  <c r="F30" i="5"/>
  <c r="H30" i="5"/>
  <c r="I30" i="5"/>
  <c r="Z30" i="5"/>
  <c r="AN30" i="5"/>
  <c r="S29" i="2"/>
  <c r="S115" i="4"/>
  <c r="AA31" i="5"/>
  <c r="P29" i="2"/>
  <c r="P115" i="4"/>
  <c r="W31" i="5"/>
  <c r="AG31" i="5"/>
  <c r="AF31" i="5"/>
  <c r="C29" i="2"/>
  <c r="C115" i="4"/>
  <c r="C31" i="5"/>
  <c r="D29" i="2"/>
  <c r="D115" i="4"/>
  <c r="E31" i="5"/>
  <c r="K31" i="5"/>
  <c r="L29" i="2"/>
  <c r="L115" i="4"/>
  <c r="Q31" i="5"/>
  <c r="M29" i="2"/>
  <c r="M115" i="4"/>
  <c r="R31" i="5"/>
  <c r="T31" i="5"/>
  <c r="O29" i="2"/>
  <c r="O115" i="4"/>
  <c r="U31" i="5"/>
  <c r="Q115" i="4"/>
  <c r="X31" i="5"/>
  <c r="R29" i="2"/>
  <c r="R115" i="4"/>
  <c r="Z31" i="5"/>
  <c r="AI115" i="4"/>
  <c r="T115" i="4" a="1"/>
  <c r="T115" i="4"/>
  <c r="AC31" i="5"/>
  <c r="U115" i="4" a="1"/>
  <c r="U115" i="4"/>
  <c r="AD31" i="5"/>
  <c r="AI31" i="5"/>
  <c r="Y29" i="2"/>
  <c r="Y115" i="4"/>
  <c r="AJ31" i="5"/>
  <c r="Z29" i="2"/>
  <c r="Z115" i="4"/>
  <c r="AL31" i="5"/>
  <c r="L31" i="5"/>
  <c r="N31" i="5"/>
  <c r="O31" i="5"/>
  <c r="F31" i="5"/>
  <c r="H31" i="5"/>
  <c r="I31" i="5"/>
  <c r="AN31" i="5"/>
  <c r="B116" i="4"/>
  <c r="S116" i="4"/>
  <c r="AA32" i="5"/>
  <c r="P116" i="4"/>
  <c r="W32" i="5"/>
  <c r="AG32" i="5"/>
  <c r="AF32" i="5"/>
  <c r="C116" i="4"/>
  <c r="C32" i="5"/>
  <c r="D116" i="4"/>
  <c r="E32" i="5"/>
  <c r="K32" i="5"/>
  <c r="L116" i="4"/>
  <c r="Q32" i="5"/>
  <c r="M116" i="4"/>
  <c r="R32" i="5"/>
  <c r="T32" i="5"/>
  <c r="O116" i="4"/>
  <c r="U32" i="5"/>
  <c r="Q116" i="4"/>
  <c r="X32" i="5"/>
  <c r="R116" i="4"/>
  <c r="Z32" i="5"/>
  <c r="AI116" i="4"/>
  <c r="T116" i="4" a="1"/>
  <c r="T116" i="4"/>
  <c r="AC32" i="5"/>
  <c r="U116" i="4" a="1"/>
  <c r="U116" i="4"/>
  <c r="AD32" i="5"/>
  <c r="X116" i="4"/>
  <c r="AI32" i="5"/>
  <c r="Y116" i="4"/>
  <c r="AJ32" i="5"/>
  <c r="Z116" i="4"/>
  <c r="AL32" i="5"/>
  <c r="L32" i="5"/>
  <c r="N32" i="5"/>
  <c r="O32" i="5"/>
  <c r="F32" i="5"/>
  <c r="H32" i="5"/>
  <c r="I32" i="5"/>
  <c r="AN32" i="5"/>
  <c r="B117" i="4"/>
  <c r="S117" i="4"/>
  <c r="AA33" i="5"/>
  <c r="P117" i="4"/>
  <c r="W33" i="5"/>
  <c r="AG33" i="5"/>
  <c r="AF33" i="5"/>
  <c r="C117" i="4"/>
  <c r="C33" i="5"/>
  <c r="D117" i="4"/>
  <c r="E33" i="5"/>
  <c r="K33" i="5"/>
  <c r="L117" i="4"/>
  <c r="Q33" i="5"/>
  <c r="M117" i="4"/>
  <c r="R33" i="5"/>
  <c r="T33" i="5"/>
  <c r="O117" i="4"/>
  <c r="U33" i="5"/>
  <c r="Q117" i="4"/>
  <c r="X33" i="5"/>
  <c r="R117" i="4"/>
  <c r="Z33" i="5"/>
  <c r="AI117" i="4"/>
  <c r="T117" i="4" a="1"/>
  <c r="T117" i="4"/>
  <c r="AC33" i="5"/>
  <c r="U117" i="4" a="1"/>
  <c r="U117" i="4"/>
  <c r="AD33" i="5"/>
  <c r="X117" i="4"/>
  <c r="AI33" i="5"/>
  <c r="Y117" i="4"/>
  <c r="AJ33" i="5"/>
  <c r="Z117" i="4"/>
  <c r="AL33" i="5"/>
  <c r="L33" i="5"/>
  <c r="N33" i="5"/>
  <c r="O33" i="5"/>
  <c r="F33" i="5"/>
  <c r="H33" i="5"/>
  <c r="I33" i="5"/>
  <c r="AN33" i="5"/>
  <c r="B118" i="4"/>
  <c r="S118" i="4"/>
  <c r="AA34" i="5"/>
  <c r="P118" i="4"/>
  <c r="W34" i="5"/>
  <c r="AG34" i="5"/>
  <c r="AF34" i="5"/>
  <c r="C118" i="4"/>
  <c r="C34" i="5"/>
  <c r="D118" i="4"/>
  <c r="E34" i="5"/>
  <c r="K34" i="5"/>
  <c r="L118" i="4"/>
  <c r="Q34" i="5"/>
  <c r="M118" i="4"/>
  <c r="R34" i="5"/>
  <c r="T34" i="5"/>
  <c r="O118" i="4"/>
  <c r="U34" i="5"/>
  <c r="Q118" i="4"/>
  <c r="X34" i="5"/>
  <c r="R118" i="4"/>
  <c r="Z34" i="5"/>
  <c r="AI118" i="4"/>
  <c r="T118" i="4" a="1"/>
  <c r="T118" i="4"/>
  <c r="AC34" i="5"/>
  <c r="U118" i="4" a="1"/>
  <c r="U118" i="4"/>
  <c r="AD34" i="5"/>
  <c r="X118" i="4"/>
  <c r="AI34" i="5"/>
  <c r="Y118" i="4"/>
  <c r="AJ34" i="5"/>
  <c r="Z118" i="4"/>
  <c r="AL34" i="5"/>
  <c r="L34" i="5"/>
  <c r="N34" i="5"/>
  <c r="O34" i="5"/>
  <c r="F34" i="5"/>
  <c r="H34" i="5"/>
  <c r="I34" i="5"/>
  <c r="AN34" i="5"/>
  <c r="AG35" i="5"/>
  <c r="AF35" i="5"/>
  <c r="C24" i="2"/>
  <c r="C183" i="4"/>
  <c r="C35" i="5"/>
  <c r="D24" i="2"/>
  <c r="D183" i="4"/>
  <c r="E35" i="5"/>
  <c r="K35" i="5"/>
  <c r="L24" i="2"/>
  <c r="L183" i="4"/>
  <c r="Q35" i="5"/>
  <c r="M183" i="4"/>
  <c r="R35" i="5"/>
  <c r="T35" i="5"/>
  <c r="O16" i="2"/>
  <c r="O183" i="4"/>
  <c r="U35" i="5"/>
  <c r="P24" i="2"/>
  <c r="P183" i="4"/>
  <c r="W35" i="5"/>
  <c r="Q24" i="2"/>
  <c r="Q183" i="4"/>
  <c r="X35" i="5"/>
  <c r="S24" i="2"/>
  <c r="S183" i="4"/>
  <c r="AA35" i="5"/>
  <c r="AI183" i="4"/>
  <c r="T183" i="4" a="1"/>
  <c r="T183" i="4"/>
  <c r="AC35" i="5"/>
  <c r="U183" i="4" a="1"/>
  <c r="U183" i="4"/>
  <c r="AD35" i="5"/>
  <c r="AI35" i="5"/>
  <c r="Y24" i="2"/>
  <c r="Y183" i="4"/>
  <c r="AJ35" i="5"/>
  <c r="Z24" i="2"/>
  <c r="Z183" i="4"/>
  <c r="AL35" i="5"/>
  <c r="L35" i="5"/>
  <c r="F35" i="5"/>
  <c r="H35" i="5"/>
  <c r="I35" i="5"/>
  <c r="N35" i="5"/>
  <c r="O35" i="5"/>
  <c r="Z35" i="5"/>
  <c r="AN35" i="5"/>
  <c r="AG36" i="5"/>
  <c r="AF36" i="5"/>
  <c r="C184" i="4"/>
  <c r="C36" i="5"/>
  <c r="D184" i="4"/>
  <c r="E36" i="5"/>
  <c r="K36" i="5"/>
  <c r="L184" i="4"/>
  <c r="Q36" i="5"/>
  <c r="M184" i="4"/>
  <c r="R36" i="5"/>
  <c r="T36" i="5"/>
  <c r="O184" i="4"/>
  <c r="U36" i="5"/>
  <c r="P184" i="4"/>
  <c r="W36" i="5"/>
  <c r="Q184" i="4"/>
  <c r="X36" i="5"/>
  <c r="S184" i="4"/>
  <c r="AA36" i="5"/>
  <c r="AI184" i="4"/>
  <c r="T184" i="4" a="1"/>
  <c r="T184" i="4"/>
  <c r="AC36" i="5"/>
  <c r="U184" i="4" a="1"/>
  <c r="U184" i="4"/>
  <c r="AD36" i="5"/>
  <c r="X184" i="4"/>
  <c r="AI36" i="5"/>
  <c r="Y184" i="4"/>
  <c r="AJ36" i="5"/>
  <c r="Z184" i="4"/>
  <c r="AL36" i="5"/>
  <c r="L36" i="5"/>
  <c r="F36" i="5"/>
  <c r="H36" i="5"/>
  <c r="I36" i="5"/>
  <c r="N36" i="5"/>
  <c r="O36" i="5"/>
  <c r="Z36" i="5"/>
  <c r="AN36" i="5"/>
  <c r="AG37" i="5"/>
  <c r="AF37" i="5"/>
  <c r="C185" i="4"/>
  <c r="C37" i="5"/>
  <c r="D185" i="4"/>
  <c r="E37" i="5"/>
  <c r="H29" i="2"/>
  <c r="K37" i="5"/>
  <c r="L185" i="4"/>
  <c r="Q37" i="5"/>
  <c r="M185" i="4"/>
  <c r="R37" i="5"/>
  <c r="T37" i="5"/>
  <c r="O185" i="4"/>
  <c r="U37" i="5"/>
  <c r="P185" i="4"/>
  <c r="W37" i="5"/>
  <c r="S185" i="4"/>
  <c r="AA37" i="5"/>
  <c r="AI185" i="4"/>
  <c r="T185" i="4" a="1"/>
  <c r="T185" i="4"/>
  <c r="AC37" i="5"/>
  <c r="U185" i="4" a="1"/>
  <c r="U185" i="4"/>
  <c r="AD37" i="5"/>
  <c r="X185" i="4"/>
  <c r="AI37" i="5"/>
  <c r="Y185" i="4"/>
  <c r="AJ37" i="5"/>
  <c r="Z185" i="4"/>
  <c r="AL37" i="5"/>
  <c r="L37" i="5"/>
  <c r="F37" i="5"/>
  <c r="H37" i="5"/>
  <c r="I37" i="5"/>
  <c r="N37" i="5"/>
  <c r="O37" i="5"/>
  <c r="Z37" i="5"/>
  <c r="AN37" i="5"/>
  <c r="AG38" i="5"/>
  <c r="AF38" i="5"/>
  <c r="B102" i="4"/>
  <c r="C102" i="4"/>
  <c r="C38" i="5"/>
  <c r="D102" i="4"/>
  <c r="E38" i="5"/>
  <c r="H102" i="4"/>
  <c r="K38" i="5"/>
  <c r="L102" i="4"/>
  <c r="Q38" i="5"/>
  <c r="M102" i="4"/>
  <c r="R38" i="5"/>
  <c r="T38" i="5"/>
  <c r="U38" i="5"/>
  <c r="P102" i="4"/>
  <c r="W38" i="5"/>
  <c r="Q102" i="4"/>
  <c r="X38" i="5"/>
  <c r="AA38" i="5"/>
  <c r="AI102" i="4"/>
  <c r="T102" i="4" a="1"/>
  <c r="T102" i="4"/>
  <c r="AC38" i="5"/>
  <c r="U102" i="4" a="1"/>
  <c r="U102" i="4"/>
  <c r="AD38" i="5"/>
  <c r="X102" i="4"/>
  <c r="AI38" i="5"/>
  <c r="Y102" i="4"/>
  <c r="AJ38" i="5"/>
  <c r="Z102" i="4"/>
  <c r="AL38" i="5"/>
  <c r="F38" i="5"/>
  <c r="H38" i="5"/>
  <c r="I38" i="5"/>
  <c r="L38" i="5"/>
  <c r="N38" i="5"/>
  <c r="O38" i="5"/>
  <c r="Z38" i="5"/>
  <c r="AN38" i="5"/>
  <c r="AG39" i="5"/>
  <c r="AF39" i="5"/>
  <c r="B103" i="4"/>
  <c r="C103" i="4"/>
  <c r="C39" i="5"/>
  <c r="D103" i="4"/>
  <c r="E39" i="5"/>
  <c r="H103" i="4"/>
  <c r="K39" i="5"/>
  <c r="L103" i="4"/>
  <c r="Q39" i="5"/>
  <c r="M103" i="4"/>
  <c r="R39" i="5"/>
  <c r="N103" i="4"/>
  <c r="T39" i="5"/>
  <c r="O103" i="4"/>
  <c r="U39" i="5"/>
  <c r="P103" i="4"/>
  <c r="W39" i="5"/>
  <c r="Q103" i="4"/>
  <c r="X39" i="5"/>
  <c r="AA39" i="5"/>
  <c r="AI103" i="4"/>
  <c r="T103" i="4" a="1"/>
  <c r="T103" i="4"/>
  <c r="AC39" i="5"/>
  <c r="U103" i="4" a="1"/>
  <c r="U103" i="4"/>
  <c r="AD39" i="5"/>
  <c r="X103" i="4"/>
  <c r="AI39" i="5"/>
  <c r="Y103" i="4"/>
  <c r="AJ39" i="5"/>
  <c r="Z103" i="4"/>
  <c r="AL39" i="5"/>
  <c r="F39" i="5"/>
  <c r="H39" i="5"/>
  <c r="I39" i="5"/>
  <c r="L39" i="5"/>
  <c r="N39" i="5"/>
  <c r="O39" i="5"/>
  <c r="Z39" i="5"/>
  <c r="AN39" i="5"/>
  <c r="AG40" i="5"/>
  <c r="AF40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I104" i="4"/>
  <c r="T104" i="4" a="1"/>
  <c r="T104" i="4"/>
  <c r="AC40" i="5"/>
  <c r="U104" i="4" a="1"/>
  <c r="U104" i="4"/>
  <c r="AD40" i="5"/>
  <c r="X104" i="4"/>
  <c r="AI40" i="5"/>
  <c r="Y104" i="4"/>
  <c r="AJ40" i="5"/>
  <c r="Z104" i="4"/>
  <c r="AL40" i="5"/>
  <c r="F40" i="5"/>
  <c r="H40" i="5"/>
  <c r="I40" i="5"/>
  <c r="L40" i="5"/>
  <c r="N40" i="5"/>
  <c r="O40" i="5"/>
  <c r="Z40" i="5"/>
  <c r="AN40" i="5"/>
  <c r="AG41" i="5"/>
  <c r="AF41" i="5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I29" i="4"/>
  <c r="T29" i="4" a="1"/>
  <c r="T29" i="4"/>
  <c r="AC41" i="5"/>
  <c r="U29" i="4" a="1"/>
  <c r="U29" i="4"/>
  <c r="AD41" i="5"/>
  <c r="X29" i="4"/>
  <c r="AI41" i="5"/>
  <c r="Y29" i="4"/>
  <c r="AJ41" i="5"/>
  <c r="Z29" i="4"/>
  <c r="AL41" i="5"/>
  <c r="F41" i="5"/>
  <c r="H41" i="5"/>
  <c r="I41" i="5"/>
  <c r="L41" i="5"/>
  <c r="N41" i="5"/>
  <c r="O41" i="5"/>
  <c r="Z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I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F42" i="5"/>
  <c r="H42" i="5"/>
  <c r="I42" i="5"/>
  <c r="L42" i="5"/>
  <c r="N42" i="5"/>
  <c r="O42" i="5"/>
  <c r="Z42" i="5"/>
  <c r="AN42" i="5"/>
  <c r="AG43" i="5"/>
  <c r="AF43" i="5"/>
  <c r="C146" i="4"/>
  <c r="C43" i="5"/>
  <c r="T43" i="5"/>
  <c r="O146" i="4"/>
  <c r="U43" i="5"/>
  <c r="P146" i="4"/>
  <c r="W43" i="5"/>
  <c r="Q146" i="4"/>
  <c r="X43" i="5"/>
  <c r="AA43" i="5"/>
  <c r="AI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F43" i="5"/>
  <c r="H43" i="5"/>
  <c r="I43" i="5"/>
  <c r="L43" i="5"/>
  <c r="N43" i="5"/>
  <c r="O43" i="5"/>
  <c r="Z43" i="5"/>
  <c r="AN43" i="5"/>
  <c r="AG44" i="5"/>
  <c r="AF44" i="5"/>
  <c r="C119" i="4"/>
  <c r="C44" i="5"/>
  <c r="N119" i="4"/>
  <c r="T44" i="5"/>
  <c r="O119" i="4"/>
  <c r="U44" i="5"/>
  <c r="P119" i="4"/>
  <c r="W44" i="5"/>
  <c r="Q119" i="4"/>
  <c r="X44" i="5"/>
  <c r="AA44" i="5"/>
  <c r="AI119" i="4"/>
  <c r="T119" i="4" a="1"/>
  <c r="T119" i="4"/>
  <c r="AC44" i="5"/>
  <c r="U119" i="4" a="1"/>
  <c r="U119" i="4"/>
  <c r="AD44" i="5"/>
  <c r="X119" i="4"/>
  <c r="AI44" i="5"/>
  <c r="Y119" i="4"/>
  <c r="AJ44" i="5"/>
  <c r="Z119" i="4"/>
  <c r="AL44" i="5"/>
  <c r="F44" i="5"/>
  <c r="H44" i="5"/>
  <c r="I44" i="5"/>
  <c r="L44" i="5"/>
  <c r="N44" i="5"/>
  <c r="O44" i="5"/>
  <c r="Z44" i="5"/>
  <c r="AN44" i="5"/>
  <c r="AG45" i="5"/>
  <c r="AF45" i="5"/>
  <c r="C147" i="4"/>
  <c r="C45" i="5"/>
  <c r="T45" i="5"/>
  <c r="O147" i="4"/>
  <c r="U45" i="5"/>
  <c r="P147" i="4"/>
  <c r="W45" i="5"/>
  <c r="Q147" i="4"/>
  <c r="X45" i="5"/>
  <c r="AA45" i="5"/>
  <c r="AI147" i="4"/>
  <c r="T147" i="4" a="1"/>
  <c r="T147" i="4"/>
  <c r="AC45" i="5"/>
  <c r="U147" i="4" a="1"/>
  <c r="U147" i="4"/>
  <c r="AD45" i="5"/>
  <c r="X147" i="4"/>
  <c r="AI45" i="5"/>
  <c r="Y147" i="4"/>
  <c r="AJ45" i="5"/>
  <c r="Z147" i="4"/>
  <c r="AL45" i="5"/>
  <c r="Z45" i="5"/>
  <c r="AN45" i="5"/>
  <c r="AG46" i="5"/>
  <c r="AF46" i="5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I30" i="4"/>
  <c r="T30" i="4" a="1"/>
  <c r="T30" i="4"/>
  <c r="AC46" i="5"/>
  <c r="U30" i="4" a="1"/>
  <c r="U30" i="4"/>
  <c r="AD46" i="5"/>
  <c r="Y30" i="4"/>
  <c r="AJ46" i="5"/>
  <c r="Z30" i="4"/>
  <c r="AL46" i="5"/>
  <c r="F46" i="5"/>
  <c r="H46" i="5"/>
  <c r="I46" i="5"/>
  <c r="L46" i="5"/>
  <c r="N46" i="5"/>
  <c r="O46" i="5"/>
  <c r="Z46" i="5"/>
  <c r="AN46" i="5"/>
  <c r="AG47" i="5"/>
  <c r="AF47" i="5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I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F47" i="5"/>
  <c r="H47" i="5"/>
  <c r="I47" i="5"/>
  <c r="L47" i="5"/>
  <c r="N47" i="5"/>
  <c r="O47" i="5"/>
  <c r="Z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I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F48" i="5"/>
  <c r="H48" i="5"/>
  <c r="I48" i="5"/>
  <c r="L48" i="5"/>
  <c r="N48" i="5"/>
  <c r="O48" i="5"/>
  <c r="Z48" i="5"/>
  <c r="AN48" i="5"/>
  <c r="AG49" i="5"/>
  <c r="AF49" i="5"/>
  <c r="B148" i="4"/>
  <c r="C148" i="4"/>
  <c r="C49" i="5"/>
  <c r="D148" i="4"/>
  <c r="E49" i="5"/>
  <c r="H148" i="4"/>
  <c r="K49" i="5"/>
  <c r="L148" i="4"/>
  <c r="Q49" i="5"/>
  <c r="M148" i="4"/>
  <c r="R49" i="5"/>
  <c r="T49" i="5"/>
  <c r="O148" i="4"/>
  <c r="U49" i="5"/>
  <c r="P148" i="4"/>
  <c r="W49" i="5"/>
  <c r="Q148" i="4"/>
  <c r="X49" i="5"/>
  <c r="AA49" i="5"/>
  <c r="AI148" i="4"/>
  <c r="T148" i="4" a="1"/>
  <c r="T148" i="4"/>
  <c r="AC49" i="5"/>
  <c r="U148" i="4" a="1"/>
  <c r="U148" i="4"/>
  <c r="AD49" i="5"/>
  <c r="X148" i="4"/>
  <c r="AI49" i="5"/>
  <c r="Y148" i="4"/>
  <c r="AJ49" i="5"/>
  <c r="Z148" i="4"/>
  <c r="AL49" i="5"/>
  <c r="F49" i="5"/>
  <c r="H49" i="5"/>
  <c r="I49" i="5"/>
  <c r="L49" i="5"/>
  <c r="N49" i="5"/>
  <c r="O49" i="5"/>
  <c r="Z49" i="5"/>
  <c r="AN49" i="5"/>
  <c r="AG50" i="5"/>
  <c r="AF50" i="5"/>
  <c r="B59" i="4"/>
  <c r="C59" i="4"/>
  <c r="C50" i="5"/>
  <c r="D59" i="4"/>
  <c r="E50" i="5"/>
  <c r="L59" i="4"/>
  <c r="Q50" i="5"/>
  <c r="M59" i="4"/>
  <c r="R50" i="5"/>
  <c r="T50" i="5"/>
  <c r="U50" i="5"/>
  <c r="P59" i="4"/>
  <c r="W50" i="5"/>
  <c r="Q59" i="4"/>
  <c r="X50" i="5"/>
  <c r="S14" i="2"/>
  <c r="S59" i="4"/>
  <c r="AA50" i="5"/>
  <c r="AI59" i="4"/>
  <c r="T59" i="4" a="1"/>
  <c r="T59" i="4"/>
  <c r="AC50" i="5"/>
  <c r="U59" i="4" a="1"/>
  <c r="U59" i="4"/>
  <c r="AD50" i="5"/>
  <c r="X14" i="2"/>
  <c r="X59" i="4"/>
  <c r="AI50" i="5"/>
  <c r="Y59" i="4"/>
  <c r="AJ50" i="5"/>
  <c r="Z59" i="4"/>
  <c r="AL50" i="5"/>
  <c r="L50" i="5"/>
  <c r="F50" i="5"/>
  <c r="H50" i="5"/>
  <c r="I50" i="5"/>
  <c r="N50" i="5"/>
  <c r="O50" i="5"/>
  <c r="Z50" i="5"/>
  <c r="AN50" i="5"/>
  <c r="AG51" i="5"/>
  <c r="AF51" i="5"/>
  <c r="C15" i="2"/>
  <c r="B105" i="4"/>
  <c r="C105" i="4"/>
  <c r="C51" i="5"/>
  <c r="D15" i="2"/>
  <c r="D105" i="4"/>
  <c r="E51" i="5"/>
  <c r="L15" i="2"/>
  <c r="L105" i="4"/>
  <c r="Q51" i="5"/>
  <c r="M15" i="2"/>
  <c r="M105" i="4"/>
  <c r="R51" i="5"/>
  <c r="N15" i="2"/>
  <c r="N105" i="4"/>
  <c r="T51" i="5"/>
  <c r="O15" i="2"/>
  <c r="O105" i="4"/>
  <c r="U51" i="5"/>
  <c r="P15" i="2"/>
  <c r="P105" i="4"/>
  <c r="W51" i="5"/>
  <c r="Q15" i="2"/>
  <c r="Q105" i="4"/>
  <c r="X51" i="5"/>
  <c r="S15" i="2"/>
  <c r="S105" i="4"/>
  <c r="AA51" i="5"/>
  <c r="AI105" i="4"/>
  <c r="T105" i="4" a="1"/>
  <c r="T105" i="4"/>
  <c r="AC51" i="5"/>
  <c r="U105" i="4" a="1"/>
  <c r="U105" i="4"/>
  <c r="AD51" i="5"/>
  <c r="X15" i="2"/>
  <c r="X105" i="4"/>
  <c r="AI51" i="5"/>
  <c r="Y15" i="2"/>
  <c r="Y105" i="4"/>
  <c r="AJ51" i="5"/>
  <c r="Z15" i="2"/>
  <c r="Z105" i="4"/>
  <c r="AL51" i="5"/>
  <c r="L51" i="5"/>
  <c r="F51" i="5"/>
  <c r="H51" i="5"/>
  <c r="I51" i="5"/>
  <c r="N51" i="5"/>
  <c r="O51" i="5"/>
  <c r="Z51" i="5"/>
  <c r="AN51" i="5"/>
  <c r="AG52" i="5"/>
  <c r="AF52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I120" i="4"/>
  <c r="T120" i="4" a="1"/>
  <c r="T120" i="4"/>
  <c r="AC52" i="5"/>
  <c r="U120" i="4" a="1"/>
  <c r="U120" i="4"/>
  <c r="AD52" i="5"/>
  <c r="X120" i="4"/>
  <c r="AI52" i="5"/>
  <c r="Y120" i="4"/>
  <c r="AJ52" i="5"/>
  <c r="Z120" i="4"/>
  <c r="AL52" i="5"/>
  <c r="L52" i="5"/>
  <c r="F52" i="5"/>
  <c r="H52" i="5"/>
  <c r="I52" i="5"/>
  <c r="N52" i="5"/>
  <c r="O52" i="5"/>
  <c r="Z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I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F53" i="5"/>
  <c r="H53" i="5"/>
  <c r="I53" i="5"/>
  <c r="N53" i="5"/>
  <c r="O53" i="5"/>
  <c r="Z53" i="5"/>
  <c r="AN53" i="5"/>
  <c r="AG54" i="5"/>
  <c r="AF54" i="5"/>
  <c r="C233" i="4"/>
  <c r="C54" i="5"/>
  <c r="D233" i="4"/>
  <c r="E54" i="5"/>
  <c r="K54" i="5"/>
  <c r="I24" i="2"/>
  <c r="I3" i="2"/>
  <c r="I233" i="4"/>
  <c r="L54" i="5"/>
  <c r="J24" i="2"/>
  <c r="J3" i="2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I233" i="4"/>
  <c r="T233" i="4" a="1"/>
  <c r="T233" i="4"/>
  <c r="AC54" i="5"/>
  <c r="U233" i="4" a="1"/>
  <c r="U233" i="4"/>
  <c r="AD54" i="5"/>
  <c r="X24" i="2"/>
  <c r="X233" i="4"/>
  <c r="AI54" i="5"/>
  <c r="Y233" i="4"/>
  <c r="AJ54" i="5"/>
  <c r="Z233" i="4"/>
  <c r="AL54" i="5"/>
  <c r="F54" i="5"/>
  <c r="H54" i="5"/>
  <c r="I54" i="5"/>
  <c r="Z54" i="5"/>
  <c r="AN54" i="5"/>
  <c r="AG55" i="5"/>
  <c r="AF55" i="5"/>
  <c r="C11" i="2"/>
  <c r="C32" i="4"/>
  <c r="C55" i="5"/>
  <c r="D11" i="2"/>
  <c r="D32" i="4"/>
  <c r="E55" i="5"/>
  <c r="H11" i="2"/>
  <c r="H32" i="4"/>
  <c r="K55" i="5"/>
  <c r="L11" i="2"/>
  <c r="L32" i="4"/>
  <c r="Q55" i="5"/>
  <c r="M11" i="2"/>
  <c r="M32" i="4"/>
  <c r="R55" i="5"/>
  <c r="N11" i="2"/>
  <c r="N32" i="4"/>
  <c r="T55" i="5"/>
  <c r="O11" i="2"/>
  <c r="O32" i="4"/>
  <c r="U55" i="5"/>
  <c r="P11" i="2"/>
  <c r="P32" i="4"/>
  <c r="W55" i="5"/>
  <c r="Q11" i="2"/>
  <c r="Q32" i="4"/>
  <c r="X55" i="5"/>
  <c r="AA55" i="5"/>
  <c r="AI32" i="4"/>
  <c r="T32" i="4" a="1"/>
  <c r="T32" i="4"/>
  <c r="AC55" i="5"/>
  <c r="U32" i="4" a="1"/>
  <c r="U32" i="4"/>
  <c r="AD55" i="5"/>
  <c r="X11" i="2"/>
  <c r="X32" i="4"/>
  <c r="AI55" i="5"/>
  <c r="Y11" i="2"/>
  <c r="Y32" i="4"/>
  <c r="AJ55" i="5"/>
  <c r="Z11" i="2"/>
  <c r="Z32" i="4"/>
  <c r="AL55" i="5"/>
  <c r="L55" i="5"/>
  <c r="N55" i="5"/>
  <c r="O55" i="5"/>
  <c r="F55" i="5"/>
  <c r="H55" i="5"/>
  <c r="I55" i="5"/>
  <c r="Z55" i="5"/>
  <c r="AN55" i="5"/>
  <c r="AG56" i="5"/>
  <c r="AF56" i="5"/>
  <c r="C13" i="2"/>
  <c r="C33" i="4"/>
  <c r="C56" i="5"/>
  <c r="D13" i="2"/>
  <c r="D33" i="4"/>
  <c r="E56" i="5"/>
  <c r="H13" i="2"/>
  <c r="H33" i="4"/>
  <c r="K56" i="5"/>
  <c r="L13" i="2"/>
  <c r="L33" i="4"/>
  <c r="Q56" i="5"/>
  <c r="M13" i="2"/>
  <c r="M33" i="4"/>
  <c r="R56" i="5"/>
  <c r="N13" i="2"/>
  <c r="N33" i="4"/>
  <c r="T56" i="5"/>
  <c r="O13" i="2"/>
  <c r="O33" i="4"/>
  <c r="U56" i="5"/>
  <c r="P13" i="2"/>
  <c r="P33" i="4"/>
  <c r="W56" i="5"/>
  <c r="Q13" i="2"/>
  <c r="Q33" i="4"/>
  <c r="X56" i="5"/>
  <c r="AA56" i="5"/>
  <c r="AI33" i="4"/>
  <c r="T33" i="4" a="1"/>
  <c r="T33" i="4"/>
  <c r="AC56" i="5"/>
  <c r="U33" i="4" a="1"/>
  <c r="U33" i="4"/>
  <c r="AD56" i="5"/>
  <c r="X13" i="2"/>
  <c r="X33" i="4"/>
  <c r="AI56" i="5"/>
  <c r="Y13" i="2"/>
  <c r="Y33" i="4"/>
  <c r="AJ56" i="5"/>
  <c r="Z13" i="2"/>
  <c r="Z33" i="4"/>
  <c r="AL56" i="5"/>
  <c r="L56" i="5"/>
  <c r="N56" i="5"/>
  <c r="O56" i="5"/>
  <c r="F56" i="5"/>
  <c r="H56" i="5"/>
  <c r="I56" i="5"/>
  <c r="Z56" i="5"/>
  <c r="AN56" i="5"/>
  <c r="AG57" i="5"/>
  <c r="AF57" i="5"/>
  <c r="C12" i="2"/>
  <c r="C34" i="4"/>
  <c r="C57" i="5"/>
  <c r="D12" i="2"/>
  <c r="D34" i="4"/>
  <c r="E57" i="5"/>
  <c r="H12" i="2"/>
  <c r="H34" i="4"/>
  <c r="K57" i="5"/>
  <c r="L12" i="2"/>
  <c r="L34" i="4"/>
  <c r="Q57" i="5"/>
  <c r="M12" i="2"/>
  <c r="M34" i="4"/>
  <c r="R57" i="5"/>
  <c r="T57" i="5"/>
  <c r="U57" i="5"/>
  <c r="P12" i="2"/>
  <c r="P34" i="4"/>
  <c r="W57" i="5"/>
  <c r="Q12" i="2"/>
  <c r="Q34" i="4"/>
  <c r="X57" i="5"/>
  <c r="AA57" i="5"/>
  <c r="AI34" i="4"/>
  <c r="T34" i="4" a="1"/>
  <c r="T34" i="4"/>
  <c r="AC57" i="5"/>
  <c r="U34" i="4" a="1"/>
  <c r="U34" i="4"/>
  <c r="AD57" i="5"/>
  <c r="X34" i="4"/>
  <c r="AI57" i="5"/>
  <c r="Y12" i="2"/>
  <c r="Y34" i="4"/>
  <c r="AJ57" i="5"/>
  <c r="Z12" i="2"/>
  <c r="Z34" i="4"/>
  <c r="AL57" i="5"/>
  <c r="L57" i="5"/>
  <c r="N57" i="5"/>
  <c r="O57" i="5"/>
  <c r="F57" i="5"/>
  <c r="H57" i="5"/>
  <c r="I57" i="5"/>
  <c r="Z57" i="5"/>
  <c r="AN57" i="5"/>
  <c r="AG58" i="5"/>
  <c r="AF58" i="5"/>
  <c r="C35" i="4"/>
  <c r="C58" i="5"/>
  <c r="D35" i="4"/>
  <c r="E58" i="5"/>
  <c r="H35" i="4"/>
  <c r="K58" i="5"/>
  <c r="I12" i="2"/>
  <c r="I35" i="4"/>
  <c r="L58" i="5"/>
  <c r="J12" i="2"/>
  <c r="J35" i="4"/>
  <c r="N58" i="5"/>
  <c r="O58" i="5"/>
  <c r="L35" i="4"/>
  <c r="Q58" i="5"/>
  <c r="M35" i="4"/>
  <c r="R58" i="5"/>
  <c r="N12" i="2"/>
  <c r="N35" i="4"/>
  <c r="T58" i="5"/>
  <c r="O12" i="2"/>
  <c r="O35" i="4"/>
  <c r="U58" i="5"/>
  <c r="P35" i="4"/>
  <c r="W58" i="5"/>
  <c r="Q35" i="4"/>
  <c r="X58" i="5"/>
  <c r="AA58" i="5"/>
  <c r="AI35" i="4"/>
  <c r="T35" i="4" a="1"/>
  <c r="T35" i="4"/>
  <c r="AC58" i="5"/>
  <c r="U35" i="4" a="1"/>
  <c r="U35" i="4"/>
  <c r="AD58" i="5"/>
  <c r="X35" i="4"/>
  <c r="AI58" i="5"/>
  <c r="Y35" i="4"/>
  <c r="AJ58" i="5"/>
  <c r="Z35" i="4"/>
  <c r="AL58" i="5"/>
  <c r="F58" i="5"/>
  <c r="H58" i="5"/>
  <c r="I58" i="5"/>
  <c r="Z58" i="5"/>
  <c r="AN58" i="5"/>
  <c r="AG59" i="5"/>
  <c r="AF59" i="5"/>
  <c r="C10" i="2"/>
  <c r="C36" i="4"/>
  <c r="C59" i="5"/>
  <c r="D10" i="2"/>
  <c r="D36" i="4"/>
  <c r="E59" i="5"/>
  <c r="H10" i="2"/>
  <c r="H36" i="4"/>
  <c r="K59" i="5"/>
  <c r="L10" i="2"/>
  <c r="L36" i="4"/>
  <c r="Q59" i="5"/>
  <c r="M10" i="2"/>
  <c r="M36" i="4"/>
  <c r="R59" i="5"/>
  <c r="N10" i="2"/>
  <c r="N36" i="4"/>
  <c r="T59" i="5"/>
  <c r="O10" i="2"/>
  <c r="O36" i="4"/>
  <c r="U59" i="5"/>
  <c r="P10" i="2"/>
  <c r="P36" i="4"/>
  <c r="W59" i="5"/>
  <c r="Q10" i="2"/>
  <c r="Q36" i="4"/>
  <c r="X59" i="5"/>
  <c r="AA59" i="5"/>
  <c r="AI36" i="4"/>
  <c r="T36" i="4" a="1"/>
  <c r="T36" i="4"/>
  <c r="AC59" i="5"/>
  <c r="U36" i="4" a="1"/>
  <c r="U36" i="4"/>
  <c r="AD59" i="5"/>
  <c r="X10" i="2"/>
  <c r="X36" i="4"/>
  <c r="AI59" i="5"/>
  <c r="Y10" i="2"/>
  <c r="Y36" i="4"/>
  <c r="AJ59" i="5"/>
  <c r="Z10" i="2"/>
  <c r="Z36" i="4"/>
  <c r="AL59" i="5"/>
  <c r="L59" i="5"/>
  <c r="N59" i="5"/>
  <c r="O59" i="5"/>
  <c r="F59" i="5"/>
  <c r="H59" i="5"/>
  <c r="I59" i="5"/>
  <c r="Z59" i="5"/>
  <c r="AN59" i="5"/>
  <c r="AG60" i="5"/>
  <c r="AF60" i="5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I37" i="4"/>
  <c r="T37" i="4" a="1"/>
  <c r="T37" i="4"/>
  <c r="AC60" i="5"/>
  <c r="U37" i="4" a="1"/>
  <c r="U37" i="4"/>
  <c r="AD60" i="5"/>
  <c r="X37" i="4"/>
  <c r="AI60" i="5"/>
  <c r="Y37" i="4"/>
  <c r="AJ60" i="5"/>
  <c r="Z37" i="4"/>
  <c r="AL60" i="5"/>
  <c r="L60" i="5"/>
  <c r="N60" i="5"/>
  <c r="O60" i="5"/>
  <c r="F60" i="5"/>
  <c r="H60" i="5"/>
  <c r="I60" i="5"/>
  <c r="Z60" i="5"/>
  <c r="AN60" i="5"/>
  <c r="AA61" i="5"/>
  <c r="P149" i="4"/>
  <c r="W61" i="5"/>
  <c r="O61" i="5"/>
  <c r="K61" i="5"/>
  <c r="AG61" i="5"/>
  <c r="AF61" i="5"/>
  <c r="C149" i="4"/>
  <c r="C61" i="5"/>
  <c r="D149" i="4"/>
  <c r="E61" i="5"/>
  <c r="L61" i="5"/>
  <c r="N61" i="5"/>
  <c r="L149" i="4"/>
  <c r="Q61" i="5"/>
  <c r="O149" i="4"/>
  <c r="U61" i="5"/>
  <c r="Q149" i="4"/>
  <c r="X61" i="5"/>
  <c r="R149" i="4"/>
  <c r="Z61" i="5"/>
  <c r="AI149" i="4"/>
  <c r="T149" i="4" a="1"/>
  <c r="T149" i="4"/>
  <c r="AC61" i="5"/>
  <c r="U149" i="4" a="1"/>
  <c r="U149" i="4"/>
  <c r="AD61" i="5"/>
  <c r="X149" i="4"/>
  <c r="AI61" i="5"/>
  <c r="Y149" i="4"/>
  <c r="AJ61" i="5"/>
  <c r="Z149" i="4"/>
  <c r="AL61" i="5"/>
  <c r="R61" i="5"/>
  <c r="T61" i="5"/>
  <c r="F61" i="5"/>
  <c r="H61" i="5"/>
  <c r="I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I60" i="4"/>
  <c r="T60" i="4" a="1"/>
  <c r="T60" i="4"/>
  <c r="AC62" i="5"/>
  <c r="U60" i="4" a="1"/>
  <c r="U60" i="4"/>
  <c r="AD62" i="5"/>
  <c r="AI62" i="5"/>
  <c r="Y60" i="4"/>
  <c r="AJ62" i="5"/>
  <c r="Z60" i="4"/>
  <c r="AL62" i="5"/>
  <c r="F62" i="5"/>
  <c r="H62" i="5"/>
  <c r="I62" i="5"/>
  <c r="L62" i="5"/>
  <c r="N62" i="5"/>
  <c r="O62" i="5"/>
  <c r="Z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I61" i="4"/>
  <c r="T61" i="4" a="1"/>
  <c r="T61" i="4"/>
  <c r="AC63" i="5"/>
  <c r="U61" i="4" a="1"/>
  <c r="U61" i="4"/>
  <c r="AD63" i="5"/>
  <c r="Y61" i="4"/>
  <c r="AJ63" i="5"/>
  <c r="Z61" i="4"/>
  <c r="AL63" i="5"/>
  <c r="F63" i="5"/>
  <c r="H63" i="5"/>
  <c r="I63" i="5"/>
  <c r="L63" i="5"/>
  <c r="N63" i="5"/>
  <c r="O63" i="5"/>
  <c r="Z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I62" i="4"/>
  <c r="T62" i="4" a="1"/>
  <c r="T62" i="4"/>
  <c r="AC64" i="5"/>
  <c r="U62" i="4" a="1"/>
  <c r="U62" i="4"/>
  <c r="AD64" i="5"/>
  <c r="Y62" i="4"/>
  <c r="AJ64" i="5"/>
  <c r="Z62" i="4"/>
  <c r="AL64" i="5"/>
  <c r="F64" i="5"/>
  <c r="H64" i="5"/>
  <c r="I64" i="5"/>
  <c r="L64" i="5"/>
  <c r="N64" i="5"/>
  <c r="O64" i="5"/>
  <c r="Z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I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F65" i="5"/>
  <c r="H65" i="5"/>
  <c r="I65" i="5"/>
  <c r="L65" i="5"/>
  <c r="N65" i="5"/>
  <c r="O65" i="5"/>
  <c r="Z65" i="5"/>
  <c r="AN65" i="5"/>
  <c r="AG66" i="5"/>
  <c r="AF66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I38" i="4"/>
  <c r="T38" i="4" a="1"/>
  <c r="T38" i="4"/>
  <c r="AC68" i="5"/>
  <c r="U38" i="4" a="1"/>
  <c r="U38" i="4"/>
  <c r="AD68" i="5"/>
  <c r="Y38" i="4"/>
  <c r="AJ68" i="5"/>
  <c r="Z38" i="4"/>
  <c r="AL68" i="5"/>
  <c r="F68" i="5"/>
  <c r="H68" i="5"/>
  <c r="I68" i="5"/>
  <c r="L68" i="5"/>
  <c r="N68" i="5"/>
  <c r="O68" i="5"/>
  <c r="Z68" i="5"/>
  <c r="AN68" i="5"/>
  <c r="AG69" i="5"/>
  <c r="AF69" i="5"/>
  <c r="C17" i="2"/>
  <c r="C39" i="4"/>
  <c r="C69" i="5"/>
  <c r="D17" i="2"/>
  <c r="D39" i="4"/>
  <c r="E69" i="5"/>
  <c r="H17" i="2"/>
  <c r="H39" i="4"/>
  <c r="K69" i="5"/>
  <c r="I17" i="2"/>
  <c r="I39" i="4"/>
  <c r="L69" i="5"/>
  <c r="J17" i="2"/>
  <c r="J39" i="4"/>
  <c r="N69" i="5"/>
  <c r="O69" i="5"/>
  <c r="L17" i="2"/>
  <c r="L39" i="4"/>
  <c r="Q69" i="5"/>
  <c r="M17" i="2"/>
  <c r="M39" i="4"/>
  <c r="R69" i="5"/>
  <c r="N17" i="2"/>
  <c r="N39" i="4"/>
  <c r="T69" i="5"/>
  <c r="O17" i="2"/>
  <c r="O39" i="4"/>
  <c r="U69" i="5"/>
  <c r="P17" i="2"/>
  <c r="P39" i="4"/>
  <c r="W69" i="5"/>
  <c r="Q17" i="2"/>
  <c r="Q39" i="4"/>
  <c r="X69" i="5"/>
  <c r="AA69" i="5"/>
  <c r="AI39" i="4"/>
  <c r="T39" i="4" a="1"/>
  <c r="T39" i="4"/>
  <c r="AC69" i="5"/>
  <c r="AD69" i="5"/>
  <c r="X17" i="2"/>
  <c r="X39" i="4"/>
  <c r="AI69" i="5"/>
  <c r="Y17" i="2"/>
  <c r="Y39" i="4"/>
  <c r="AJ69" i="5"/>
  <c r="Z17" i="2"/>
  <c r="Z39" i="4"/>
  <c r="AL69" i="5"/>
  <c r="F69" i="5"/>
  <c r="H69" i="5"/>
  <c r="I69" i="5"/>
  <c r="Z69" i="5"/>
  <c r="AN69" i="5"/>
  <c r="AG70" i="5"/>
  <c r="AF70" i="5"/>
  <c r="C40" i="4"/>
  <c r="C70" i="5"/>
  <c r="D40" i="4"/>
  <c r="E70" i="5"/>
  <c r="H40" i="4"/>
  <c r="K70" i="5"/>
  <c r="L40" i="4"/>
  <c r="Q70" i="5"/>
  <c r="M40" i="4"/>
  <c r="R70" i="5"/>
  <c r="N40" i="4"/>
  <c r="T70" i="5"/>
  <c r="O40" i="4"/>
  <c r="U70" i="5"/>
  <c r="P40" i="4"/>
  <c r="W70" i="5"/>
  <c r="Q40" i="4"/>
  <c r="X70" i="5"/>
  <c r="AA70" i="5"/>
  <c r="AI40" i="4"/>
  <c r="T40" i="4" a="1"/>
  <c r="T40" i="4"/>
  <c r="AC70" i="5"/>
  <c r="U40" i="4" a="1"/>
  <c r="U40" i="4"/>
  <c r="AD70" i="5"/>
  <c r="Y40" i="4"/>
  <c r="AJ70" i="5"/>
  <c r="Z40" i="4"/>
  <c r="AL70" i="5"/>
  <c r="F70" i="5"/>
  <c r="H70" i="5"/>
  <c r="I70" i="5"/>
  <c r="L70" i="5"/>
  <c r="N70" i="5"/>
  <c r="O70" i="5"/>
  <c r="Z70" i="5"/>
  <c r="AN70" i="5"/>
  <c r="AG71" i="5"/>
  <c r="AF71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I63" i="4"/>
  <c r="T63" i="4" a="1"/>
  <c r="T63" i="4"/>
  <c r="AC71" i="5"/>
  <c r="U63" i="4" a="1"/>
  <c r="U63" i="4"/>
  <c r="AD71" i="5"/>
  <c r="Y63" i="4"/>
  <c r="AJ71" i="5"/>
  <c r="Z63" i="4"/>
  <c r="AL71" i="5"/>
  <c r="F71" i="5"/>
  <c r="H71" i="5"/>
  <c r="I71" i="5"/>
  <c r="L71" i="5"/>
  <c r="N71" i="5"/>
  <c r="O71" i="5"/>
  <c r="Z71" i="5"/>
  <c r="AN71" i="5"/>
  <c r="AG72" i="5"/>
  <c r="AF72" i="5"/>
  <c r="C18" i="2"/>
  <c r="C234" i="4"/>
  <c r="C72" i="5"/>
  <c r="D234" i="4"/>
  <c r="E72" i="5"/>
  <c r="H234" i="4"/>
  <c r="K72" i="5"/>
  <c r="L234" i="4"/>
  <c r="Q72" i="5"/>
  <c r="M234" i="4"/>
  <c r="R72" i="5"/>
  <c r="T72" i="5"/>
  <c r="O18" i="2"/>
  <c r="O234" i="4"/>
  <c r="U72" i="5"/>
  <c r="P18" i="2"/>
  <c r="P234" i="4"/>
  <c r="W72" i="5"/>
  <c r="Q18" i="2"/>
  <c r="Q234" i="4"/>
  <c r="X72" i="5"/>
  <c r="S18" i="2"/>
  <c r="S234" i="4"/>
  <c r="AA72" i="5"/>
  <c r="AI234" i="4"/>
  <c r="T234" i="4" a="1"/>
  <c r="T234" i="4"/>
  <c r="AC72" i="5"/>
  <c r="U234" i="4" a="1"/>
  <c r="U234" i="4"/>
  <c r="AD72" i="5"/>
  <c r="X18" i="2"/>
  <c r="X234" i="4"/>
  <c r="AI72" i="5"/>
  <c r="Y18" i="2"/>
  <c r="Y234" i="4"/>
  <c r="AJ72" i="5"/>
  <c r="Z18" i="2"/>
  <c r="Z234" i="4"/>
  <c r="AL72" i="5"/>
  <c r="F72" i="5"/>
  <c r="H72" i="5"/>
  <c r="I72" i="5"/>
  <c r="L72" i="5"/>
  <c r="N72" i="5"/>
  <c r="O72" i="5"/>
  <c r="Z72" i="5"/>
  <c r="AN72" i="5"/>
  <c r="AG73" i="5"/>
  <c r="AF73" i="5"/>
  <c r="C20" i="2"/>
  <c r="C219" i="4"/>
  <c r="C73" i="5"/>
  <c r="D20" i="2"/>
  <c r="D219" i="4"/>
  <c r="E73" i="5"/>
  <c r="E20" i="2"/>
  <c r="E219" i="4"/>
  <c r="F73" i="5"/>
  <c r="F20" i="2"/>
  <c r="F219" i="4"/>
  <c r="H73" i="5"/>
  <c r="I73" i="5"/>
  <c r="H20" i="2"/>
  <c r="H219" i="4"/>
  <c r="K73" i="5"/>
  <c r="L20" i="2"/>
  <c r="L219" i="4"/>
  <c r="Q73" i="5"/>
  <c r="M20" i="2"/>
  <c r="M219" i="4"/>
  <c r="R73" i="5"/>
  <c r="T73" i="5"/>
  <c r="U73" i="5"/>
  <c r="P20" i="2"/>
  <c r="P219" i="4"/>
  <c r="W73" i="5"/>
  <c r="Q20" i="2"/>
  <c r="Q219" i="4"/>
  <c r="X73" i="5"/>
  <c r="S20" i="2"/>
  <c r="S219" i="4"/>
  <c r="AA73" i="5"/>
  <c r="AI219" i="4"/>
  <c r="T219" i="4" a="1"/>
  <c r="T219" i="4"/>
  <c r="AC73" i="5"/>
  <c r="U219" i="4" a="1"/>
  <c r="U219" i="4"/>
  <c r="AD73" i="5"/>
  <c r="X20" i="2"/>
  <c r="X219" i="4"/>
  <c r="AI73" i="5"/>
  <c r="Y20" i="2"/>
  <c r="Y219" i="4"/>
  <c r="AJ73" i="5"/>
  <c r="Z20" i="2"/>
  <c r="Z219" i="4"/>
  <c r="AL73" i="5"/>
  <c r="L73" i="5"/>
  <c r="N73" i="5"/>
  <c r="O73" i="5"/>
  <c r="Z73" i="5"/>
  <c r="AN73" i="5"/>
  <c r="AG74" i="5"/>
  <c r="AF74" i="5"/>
  <c r="C236" i="4"/>
  <c r="C74" i="5"/>
  <c r="D236" i="4"/>
  <c r="E74" i="5"/>
  <c r="H236" i="4"/>
  <c r="K74" i="5"/>
  <c r="L236" i="4"/>
  <c r="Q74" i="5"/>
  <c r="M236" i="4"/>
  <c r="R74" i="5"/>
  <c r="T74" i="5"/>
  <c r="U74" i="5"/>
  <c r="P236" i="4"/>
  <c r="W74" i="5"/>
  <c r="Q236" i="4"/>
  <c r="X74" i="5"/>
  <c r="S236" i="4"/>
  <c r="AA74" i="5"/>
  <c r="AI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H74" i="5"/>
  <c r="I74" i="5"/>
  <c r="L74" i="5"/>
  <c r="N74" i="5"/>
  <c r="O74" i="5"/>
  <c r="Z74" i="5"/>
  <c r="AN74" i="5"/>
  <c r="AG75" i="5"/>
  <c r="AF75" i="5"/>
  <c r="C237" i="4"/>
  <c r="C75" i="5"/>
  <c r="D237" i="4"/>
  <c r="E75" i="5"/>
  <c r="H237" i="4"/>
  <c r="K75" i="5"/>
  <c r="L237" i="4"/>
  <c r="Q75" i="5"/>
  <c r="R75" i="5"/>
  <c r="T75" i="5"/>
  <c r="O237" i="4"/>
  <c r="U75" i="5"/>
  <c r="P237" i="4"/>
  <c r="W75" i="5"/>
  <c r="Q237" i="4"/>
  <c r="X75" i="5"/>
  <c r="S237" i="4"/>
  <c r="AA75" i="5"/>
  <c r="AI237" i="4"/>
  <c r="T237" i="4" a="1"/>
  <c r="T237" i="4"/>
  <c r="AC75" i="5"/>
  <c r="U237" i="4" a="1"/>
  <c r="U237" i="4"/>
  <c r="AD75" i="5"/>
  <c r="X237" i="4"/>
  <c r="AI75" i="5"/>
  <c r="Y237" i="4"/>
  <c r="AJ75" i="5"/>
  <c r="Z237" i="4"/>
  <c r="AL75" i="5"/>
  <c r="F75" i="5"/>
  <c r="H75" i="5"/>
  <c r="I75" i="5"/>
  <c r="L75" i="5"/>
  <c r="N75" i="5"/>
  <c r="O75" i="5"/>
  <c r="Z75" i="5"/>
  <c r="AN75" i="5"/>
  <c r="AG76" i="5"/>
  <c r="AF76" i="5"/>
  <c r="C25" i="2"/>
  <c r="B202" i="4"/>
  <c r="C202" i="4"/>
  <c r="C76" i="5"/>
  <c r="D25" i="2"/>
  <c r="D202" i="4"/>
  <c r="E76" i="5"/>
  <c r="H25" i="2"/>
  <c r="H202" i="4"/>
  <c r="K76" i="5"/>
  <c r="L25" i="2"/>
  <c r="L202" i="4"/>
  <c r="Q76" i="5"/>
  <c r="M25" i="2"/>
  <c r="M202" i="4"/>
  <c r="R76" i="5"/>
  <c r="T76" i="5"/>
  <c r="U76" i="5"/>
  <c r="P25" i="2"/>
  <c r="P202" i="4"/>
  <c r="W76" i="5"/>
  <c r="Q25" i="2"/>
  <c r="Q202" i="4"/>
  <c r="X76" i="5"/>
  <c r="S25" i="2"/>
  <c r="S202" i="4"/>
  <c r="AA76" i="5"/>
  <c r="AI202" i="4"/>
  <c r="T202" i="4" a="1"/>
  <c r="T202" i="4"/>
  <c r="AC76" i="5"/>
  <c r="U202" i="4" a="1"/>
  <c r="U202" i="4"/>
  <c r="AD76" i="5"/>
  <c r="X25" i="2"/>
  <c r="X202" i="4"/>
  <c r="AI76" i="5"/>
  <c r="Y25" i="2"/>
  <c r="Y202" i="4"/>
  <c r="AJ76" i="5"/>
  <c r="Z25" i="2"/>
  <c r="Z202" i="4"/>
  <c r="AL76" i="5"/>
  <c r="F76" i="5"/>
  <c r="H76" i="5"/>
  <c r="I76" i="5"/>
  <c r="L76" i="5"/>
  <c r="N76" i="5"/>
  <c r="O76" i="5"/>
  <c r="Z76" i="5"/>
  <c r="AN76" i="5"/>
  <c r="AG77" i="5"/>
  <c r="AF77" i="5"/>
  <c r="B186" i="4"/>
  <c r="C32" i="2"/>
  <c r="C186" i="4"/>
  <c r="C77" i="5"/>
  <c r="D32" i="2"/>
  <c r="D186" i="4"/>
  <c r="E77" i="5"/>
  <c r="E32" i="2"/>
  <c r="E186" i="4"/>
  <c r="F77" i="5"/>
  <c r="F32" i="2"/>
  <c r="F186" i="4"/>
  <c r="H77" i="5"/>
  <c r="I77" i="5"/>
  <c r="H32" i="2"/>
  <c r="H186" i="4"/>
  <c r="K77" i="5"/>
  <c r="L32" i="2"/>
  <c r="L186" i="4"/>
  <c r="Q77" i="5"/>
  <c r="M32" i="2"/>
  <c r="M186" i="4"/>
  <c r="R77" i="5"/>
  <c r="T77" i="5"/>
  <c r="U77" i="5"/>
  <c r="P32" i="2"/>
  <c r="P186" i="4"/>
  <c r="W77" i="5"/>
  <c r="Q32" i="2"/>
  <c r="Q186" i="4"/>
  <c r="X77" i="5"/>
  <c r="S32" i="2"/>
  <c r="S186" i="4"/>
  <c r="AA77" i="5"/>
  <c r="AI186" i="4"/>
  <c r="T186" i="4" a="1"/>
  <c r="T186" i="4"/>
  <c r="AC77" i="5"/>
  <c r="AD77" i="5"/>
  <c r="X32" i="2"/>
  <c r="X186" i="4"/>
  <c r="AI77" i="5"/>
  <c r="Y32" i="2"/>
  <c r="Y186" i="4"/>
  <c r="AJ77" i="5"/>
  <c r="Z32" i="2"/>
  <c r="Z186" i="4"/>
  <c r="AL77" i="5"/>
  <c r="L77" i="5"/>
  <c r="N77" i="5"/>
  <c r="O77" i="5"/>
  <c r="Z77" i="5"/>
  <c r="AN77" i="5"/>
  <c r="AG78" i="5"/>
  <c r="AF78" i="5"/>
  <c r="C187" i="4"/>
  <c r="C78" i="5"/>
  <c r="T78" i="5"/>
  <c r="U78" i="5"/>
  <c r="P187" i="4"/>
  <c r="W78" i="5"/>
  <c r="Q187" i="4"/>
  <c r="X78" i="5"/>
  <c r="S187" i="4"/>
  <c r="AA78" i="5"/>
  <c r="X187" i="4"/>
  <c r="AI78" i="5"/>
  <c r="Y187" i="4"/>
  <c r="AJ78" i="5"/>
  <c r="Z187" i="4"/>
  <c r="AL78" i="5"/>
  <c r="Z78" i="5"/>
  <c r="AN78" i="5"/>
  <c r="AG79" i="5"/>
  <c r="AF79" i="5"/>
  <c r="B188" i="4"/>
  <c r="C188" i="4"/>
  <c r="C79" i="5"/>
  <c r="D188" i="4"/>
  <c r="E79" i="5"/>
  <c r="E188" i="4"/>
  <c r="F79" i="5"/>
  <c r="F188" i="4"/>
  <c r="H79" i="5"/>
  <c r="I79" i="5"/>
  <c r="H188" i="4"/>
  <c r="K79" i="5"/>
  <c r="L188" i="4"/>
  <c r="Q79" i="5"/>
  <c r="M188" i="4"/>
  <c r="R79" i="5"/>
  <c r="T79" i="5"/>
  <c r="U79" i="5"/>
  <c r="P188" i="4"/>
  <c r="W79" i="5"/>
  <c r="Q188" i="4"/>
  <c r="X79" i="5"/>
  <c r="S188" i="4"/>
  <c r="AA79" i="5"/>
  <c r="AI188" i="4"/>
  <c r="T188" i="4" a="1"/>
  <c r="T188" i="4"/>
  <c r="AC79" i="5"/>
  <c r="AD79" i="5"/>
  <c r="X188" i="4"/>
  <c r="AI79" i="5"/>
  <c r="Y188" i="4"/>
  <c r="AJ79" i="5"/>
  <c r="Z188" i="4"/>
  <c r="AL79" i="5"/>
  <c r="L79" i="5"/>
  <c r="N79" i="5"/>
  <c r="O79" i="5"/>
  <c r="Z79" i="5"/>
  <c r="AN79" i="5"/>
  <c r="AG80" i="5"/>
  <c r="AF80" i="5"/>
  <c r="C150" i="4"/>
  <c r="C80" i="5"/>
  <c r="D150" i="4"/>
  <c r="E80" i="5"/>
  <c r="H150" i="4"/>
  <c r="K80" i="5"/>
  <c r="L150" i="4"/>
  <c r="Q80" i="5"/>
  <c r="M150" i="4"/>
  <c r="R80" i="5"/>
  <c r="T80" i="5"/>
  <c r="O150" i="4"/>
  <c r="U80" i="5"/>
  <c r="P150" i="4"/>
  <c r="W80" i="5"/>
  <c r="Q150" i="4"/>
  <c r="X80" i="5"/>
  <c r="S150" i="4"/>
  <c r="AA80" i="5"/>
  <c r="AI150" i="4"/>
  <c r="T150" i="4" a="1"/>
  <c r="T150" i="4"/>
  <c r="AC80" i="5"/>
  <c r="U150" i="4" a="1"/>
  <c r="U150" i="4"/>
  <c r="AD80" i="5"/>
  <c r="X150" i="4"/>
  <c r="AI80" i="5"/>
  <c r="Y150" i="4"/>
  <c r="AJ80" i="5"/>
  <c r="Z150" i="4"/>
  <c r="AL80" i="5"/>
  <c r="F80" i="5"/>
  <c r="H80" i="5"/>
  <c r="I80" i="5"/>
  <c r="L80" i="5"/>
  <c r="N80" i="5"/>
  <c r="O80" i="5"/>
  <c r="Z80" i="5"/>
  <c r="AN80" i="5"/>
  <c r="AG81" i="5"/>
  <c r="AF81" i="5"/>
  <c r="C238" i="4"/>
  <c r="C81" i="5"/>
  <c r="D238" i="4"/>
  <c r="E81" i="5"/>
  <c r="K81" i="5"/>
  <c r="L238" i="4"/>
  <c r="Q81" i="5"/>
  <c r="R81" i="5"/>
  <c r="T81" i="5"/>
  <c r="O238" i="4"/>
  <c r="U81" i="5"/>
  <c r="P238" i="4"/>
  <c r="W81" i="5"/>
  <c r="Q238" i="4"/>
  <c r="X81" i="5"/>
  <c r="S238" i="4"/>
  <c r="AA81" i="5"/>
  <c r="AI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F81" i="5"/>
  <c r="H81" i="5"/>
  <c r="I81" i="5"/>
  <c r="L81" i="5"/>
  <c r="N81" i="5"/>
  <c r="O81" i="5"/>
  <c r="Z81" i="5"/>
  <c r="AN81" i="5"/>
  <c r="AG82" i="5"/>
  <c r="AF82" i="5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I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F82" i="5"/>
  <c r="H82" i="5"/>
  <c r="I82" i="5"/>
  <c r="L82" i="5"/>
  <c r="N82" i="5"/>
  <c r="O82" i="5"/>
  <c r="Z82" i="5"/>
  <c r="AN82" i="5"/>
  <c r="AG83" i="5"/>
  <c r="AF83" i="5"/>
  <c r="C240" i="4"/>
  <c r="C83" i="5"/>
  <c r="D240" i="4"/>
  <c r="E83" i="5"/>
  <c r="K83" i="5"/>
  <c r="L240" i="4"/>
  <c r="Q83" i="5"/>
  <c r="M240" i="4"/>
  <c r="R83" i="5"/>
  <c r="T83" i="5"/>
  <c r="O240" i="4"/>
  <c r="U83" i="5"/>
  <c r="P240" i="4"/>
  <c r="W83" i="5"/>
  <c r="Q240" i="4"/>
  <c r="X83" i="5"/>
  <c r="S240" i="4"/>
  <c r="AA83" i="5"/>
  <c r="AI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F83" i="5"/>
  <c r="H83" i="5"/>
  <c r="I83" i="5"/>
  <c r="L83" i="5"/>
  <c r="N83" i="5"/>
  <c r="O83" i="5"/>
  <c r="Z83" i="5"/>
  <c r="AN83" i="5"/>
  <c r="AG84" i="5"/>
  <c r="AF84" i="5"/>
  <c r="C241" i="4"/>
  <c r="C84" i="5"/>
  <c r="D241" i="4"/>
  <c r="E84" i="5"/>
  <c r="K84" i="5"/>
  <c r="L241" i="4"/>
  <c r="Q84" i="5"/>
  <c r="M241" i="4"/>
  <c r="R84" i="5"/>
  <c r="T84" i="5"/>
  <c r="U84" i="5"/>
  <c r="P241" i="4"/>
  <c r="W84" i="5"/>
  <c r="Q241" i="4"/>
  <c r="X84" i="5"/>
  <c r="S241" i="4"/>
  <c r="AA84" i="5"/>
  <c r="AI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F84" i="5"/>
  <c r="H84" i="5"/>
  <c r="I84" i="5"/>
  <c r="L84" i="5"/>
  <c r="N84" i="5"/>
  <c r="O84" i="5"/>
  <c r="Z84" i="5"/>
  <c r="AN84" i="5"/>
  <c r="AG85" i="5"/>
  <c r="AF85" i="5"/>
  <c r="C242" i="4"/>
  <c r="C85" i="5"/>
  <c r="D242" i="4"/>
  <c r="E85" i="5"/>
  <c r="K85" i="5"/>
  <c r="L242" i="4"/>
  <c r="Q85" i="5"/>
  <c r="M242" i="4"/>
  <c r="R85" i="5"/>
  <c r="T85" i="5"/>
  <c r="O242" i="4"/>
  <c r="U85" i="5"/>
  <c r="P242" i="4"/>
  <c r="W85" i="5"/>
  <c r="Q242" i="4"/>
  <c r="X85" i="5"/>
  <c r="S242" i="4"/>
  <c r="AA85" i="5"/>
  <c r="X242" i="4"/>
  <c r="AI85" i="5"/>
  <c r="Y242" i="4"/>
  <c r="AJ85" i="5"/>
  <c r="Z242" i="4"/>
  <c r="AL85" i="5"/>
  <c r="F85" i="5"/>
  <c r="H85" i="5"/>
  <c r="I85" i="5"/>
  <c r="L85" i="5"/>
  <c r="N85" i="5"/>
  <c r="O85" i="5"/>
  <c r="Z85" i="5"/>
  <c r="AN85" i="5"/>
  <c r="AG86" i="5"/>
  <c r="AF86" i="5"/>
  <c r="B244" i="4"/>
  <c r="C244" i="4"/>
  <c r="C86" i="5"/>
  <c r="D244" i="4"/>
  <c r="E86" i="5"/>
  <c r="K86" i="5"/>
  <c r="L244" i="4"/>
  <c r="Q86" i="5"/>
  <c r="M244" i="4"/>
  <c r="R86" i="5"/>
  <c r="T86" i="5"/>
  <c r="U86" i="5"/>
  <c r="P244" i="4"/>
  <c r="W86" i="5"/>
  <c r="Q244" i="4"/>
  <c r="X86" i="5"/>
  <c r="S244" i="4"/>
  <c r="AA86" i="5"/>
  <c r="AI244" i="4"/>
  <c r="T244" i="4" a="1"/>
  <c r="T244" i="4"/>
  <c r="AC86" i="5"/>
  <c r="U244" i="4" a="1"/>
  <c r="U244" i="4"/>
  <c r="AD86" i="5"/>
  <c r="X244" i="4"/>
  <c r="AI86" i="5"/>
  <c r="Y244" i="4"/>
  <c r="AJ86" i="5"/>
  <c r="Z244" i="4"/>
  <c r="AL86" i="5"/>
  <c r="F86" i="5"/>
  <c r="H86" i="5"/>
  <c r="I86" i="5"/>
  <c r="L86" i="5"/>
  <c r="N86" i="5"/>
  <c r="O86" i="5"/>
  <c r="Z86" i="5"/>
  <c r="AN86" i="5"/>
  <c r="AG87" i="5"/>
  <c r="AF87" i="5"/>
  <c r="B246" i="4"/>
  <c r="C246" i="4"/>
  <c r="C87" i="5"/>
  <c r="D246" i="4"/>
  <c r="E87" i="5"/>
  <c r="E246" i="4"/>
  <c r="F87" i="5"/>
  <c r="F246" i="4"/>
  <c r="H87" i="5"/>
  <c r="I87" i="5"/>
  <c r="H41" i="2"/>
  <c r="H246" i="4"/>
  <c r="K87" i="5"/>
  <c r="L246" i="4"/>
  <c r="Q87" i="5"/>
  <c r="M246" i="4"/>
  <c r="R87" i="5"/>
  <c r="T87" i="5"/>
  <c r="O246" i="4"/>
  <c r="U87" i="5"/>
  <c r="P246" i="4"/>
  <c r="W87" i="5"/>
  <c r="Q246" i="4"/>
  <c r="X87" i="5"/>
  <c r="S246" i="4"/>
  <c r="AA87" i="5"/>
  <c r="AI246" i="4"/>
  <c r="T246" i="4" a="1"/>
  <c r="T246" i="4"/>
  <c r="AC87" i="5"/>
  <c r="U246" i="4" a="1"/>
  <c r="U246" i="4"/>
  <c r="AD87" i="5"/>
  <c r="X246" i="4"/>
  <c r="AI87" i="5"/>
  <c r="Y246" i="4"/>
  <c r="AJ87" i="5"/>
  <c r="Z246" i="4"/>
  <c r="AL87" i="5"/>
  <c r="L87" i="5"/>
  <c r="N87" i="5"/>
  <c r="O87" i="5"/>
  <c r="Z87" i="5"/>
  <c r="AN87" i="5"/>
  <c r="AG88" i="5"/>
  <c r="AF88" i="5"/>
  <c r="B189" i="4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O189" i="4"/>
  <c r="U88" i="5"/>
  <c r="P189" i="4"/>
  <c r="W88" i="5"/>
  <c r="Q189" i="4"/>
  <c r="X88" i="5"/>
  <c r="S189" i="4"/>
  <c r="AA88" i="5"/>
  <c r="AI189" i="4"/>
  <c r="T189" i="4" a="1"/>
  <c r="T189" i="4"/>
  <c r="AC88" i="5"/>
  <c r="U189" i="4" a="1"/>
  <c r="U189" i="4"/>
  <c r="AD88" i="5"/>
  <c r="X189" i="4"/>
  <c r="AI88" i="5"/>
  <c r="Y189" i="4"/>
  <c r="AJ88" i="5"/>
  <c r="Z189" i="4"/>
  <c r="AL88" i="5"/>
  <c r="L88" i="5"/>
  <c r="N88" i="5"/>
  <c r="O88" i="5"/>
  <c r="Z88" i="5"/>
  <c r="AN88" i="5"/>
  <c r="AG89" i="5"/>
  <c r="AF89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I121" i="4"/>
  <c r="T121" i="4" a="1"/>
  <c r="T121" i="4"/>
  <c r="AC89" i="5"/>
  <c r="U121" i="4" a="1"/>
  <c r="U121" i="4"/>
  <c r="AD89" i="5"/>
  <c r="X121" i="4"/>
  <c r="AI89" i="5"/>
  <c r="Y121" i="4"/>
  <c r="AJ89" i="5"/>
  <c r="Z121" i="4"/>
  <c r="AL89" i="5"/>
  <c r="L89" i="5"/>
  <c r="N89" i="5"/>
  <c r="O89" i="5"/>
  <c r="Z89" i="5"/>
  <c r="AN89" i="5"/>
  <c r="S21" i="2"/>
  <c r="B64" i="4"/>
  <c r="S64" i="4"/>
  <c r="AA90" i="5"/>
  <c r="P21" i="2"/>
  <c r="P64" i="4"/>
  <c r="W90" i="5"/>
  <c r="K21" i="2"/>
  <c r="K7" i="2"/>
  <c r="K64" i="4"/>
  <c r="O90" i="5"/>
  <c r="H21" i="2"/>
  <c r="H64" i="4"/>
  <c r="K90" i="5"/>
  <c r="W21" i="2"/>
  <c r="W64" i="4"/>
  <c r="AG90" i="5"/>
  <c r="V64" i="4"/>
  <c r="AF90" i="5"/>
  <c r="C21" i="2"/>
  <c r="C64" i="4"/>
  <c r="C90" i="5"/>
  <c r="D21" i="2"/>
  <c r="D64" i="4"/>
  <c r="E90" i="5"/>
  <c r="G21" i="2"/>
  <c r="G7" i="2"/>
  <c r="G64" i="4"/>
  <c r="I90" i="5"/>
  <c r="I21" i="2"/>
  <c r="I64" i="4"/>
  <c r="L90" i="5"/>
  <c r="J21" i="2"/>
  <c r="J64" i="4"/>
  <c r="N90" i="5"/>
  <c r="L21" i="2"/>
  <c r="L64" i="4"/>
  <c r="Q90" i="5"/>
  <c r="O21" i="2"/>
  <c r="O64" i="4"/>
  <c r="U90" i="5"/>
  <c r="Q64" i="4"/>
  <c r="X90" i="5"/>
  <c r="R21" i="2"/>
  <c r="R64" i="4"/>
  <c r="Z90" i="5"/>
  <c r="AI64" i="4"/>
  <c r="T64" i="4" a="1"/>
  <c r="T64" i="4"/>
  <c r="AC90" i="5"/>
  <c r="U64" i="4" a="1"/>
  <c r="U64" i="4"/>
  <c r="AD90" i="5"/>
  <c r="X21" i="2"/>
  <c r="X64" i="4"/>
  <c r="AI90" i="5"/>
  <c r="Y21" i="2"/>
  <c r="Y64" i="4"/>
  <c r="AJ90" i="5"/>
  <c r="Z21" i="2"/>
  <c r="Z64" i="4"/>
  <c r="AL90" i="5"/>
  <c r="R90" i="5"/>
  <c r="T90" i="5"/>
  <c r="F90" i="5"/>
  <c r="H90" i="5"/>
  <c r="AN90" i="5"/>
  <c r="S65" i="4"/>
  <c r="AA91" i="5"/>
  <c r="P65" i="4"/>
  <c r="W91" i="5"/>
  <c r="AG91" i="5"/>
  <c r="AF91" i="5"/>
  <c r="C65" i="4"/>
  <c r="C91" i="5"/>
  <c r="O65" i="4"/>
  <c r="U91" i="5"/>
  <c r="Q65" i="4"/>
  <c r="X91" i="5"/>
  <c r="R65" i="4"/>
  <c r="Z91" i="5"/>
  <c r="AI65" i="4"/>
  <c r="T65" i="4" a="1"/>
  <c r="T65" i="4"/>
  <c r="AC91" i="5"/>
  <c r="U65" i="4" a="1"/>
  <c r="U65" i="4"/>
  <c r="AD91" i="5"/>
  <c r="X65" i="4"/>
  <c r="AI91" i="5"/>
  <c r="Y65" i="4"/>
  <c r="AJ91" i="5"/>
  <c r="Z65" i="4"/>
  <c r="AL91" i="5"/>
  <c r="R91" i="5"/>
  <c r="T91" i="5"/>
  <c r="F91" i="5"/>
  <c r="H91" i="5"/>
  <c r="AN91" i="5"/>
  <c r="O92" i="5"/>
  <c r="K92" i="5"/>
  <c r="AG92" i="5"/>
  <c r="AF92" i="5"/>
  <c r="B247" i="4"/>
  <c r="C247" i="4"/>
  <c r="C92" i="5"/>
  <c r="D247" i="4"/>
  <c r="E92" i="5"/>
  <c r="I247" i="4"/>
  <c r="L92" i="5"/>
  <c r="J247" i="4"/>
  <c r="N92" i="5"/>
  <c r="L247" i="4"/>
  <c r="Q92" i="5"/>
  <c r="M247" i="4"/>
  <c r="R92" i="5"/>
  <c r="T92" i="5"/>
  <c r="U92" i="5"/>
  <c r="P247" i="4"/>
  <c r="W92" i="5"/>
  <c r="Q247" i="4"/>
  <c r="X92" i="5"/>
  <c r="S247" i="4"/>
  <c r="AA92" i="5"/>
  <c r="AI247" i="4"/>
  <c r="T247" i="4" a="1"/>
  <c r="T247" i="4"/>
  <c r="AC92" i="5"/>
  <c r="U247" i="4" a="1"/>
  <c r="U247" i="4"/>
  <c r="AD92" i="5"/>
  <c r="X247" i="4"/>
  <c r="AI92" i="5"/>
  <c r="Y247" i="4"/>
  <c r="AJ92" i="5"/>
  <c r="Z247" i="4"/>
  <c r="AL92" i="5"/>
  <c r="F92" i="5"/>
  <c r="H92" i="5"/>
  <c r="I92" i="5"/>
  <c r="Z92" i="5"/>
  <c r="AN92" i="5"/>
  <c r="AG93" i="5"/>
  <c r="AF93" i="5"/>
  <c r="C22" i="2"/>
  <c r="B271" i="4"/>
  <c r="C271" i="4"/>
  <c r="C93" i="5"/>
  <c r="D22" i="2"/>
  <c r="D271" i="4"/>
  <c r="E93" i="5"/>
  <c r="K93" i="5"/>
  <c r="L22" i="2"/>
  <c r="L271" i="4"/>
  <c r="Q93" i="5"/>
  <c r="M22" i="2"/>
  <c r="M271" i="4"/>
  <c r="R93" i="5"/>
  <c r="T93" i="5"/>
  <c r="U93" i="5"/>
  <c r="P22" i="2"/>
  <c r="P271" i="4"/>
  <c r="W93" i="5"/>
  <c r="Q22" i="2"/>
  <c r="Q271" i="4"/>
  <c r="X93" i="5"/>
  <c r="S22" i="2"/>
  <c r="S271" i="4"/>
  <c r="AA93" i="5"/>
  <c r="AI271" i="4"/>
  <c r="T271" i="4" a="1"/>
  <c r="T271" i="4"/>
  <c r="AC93" i="5"/>
  <c r="U271" i="4" a="1"/>
  <c r="U271" i="4"/>
  <c r="AD93" i="5"/>
  <c r="X22" i="2"/>
  <c r="X271" i="4"/>
  <c r="AI93" i="5"/>
  <c r="Y22" i="2"/>
  <c r="Y271" i="4"/>
  <c r="AJ93" i="5"/>
  <c r="Z22" i="2"/>
  <c r="Z271" i="4"/>
  <c r="AL93" i="5"/>
  <c r="F93" i="5"/>
  <c r="H93" i="5"/>
  <c r="I93" i="5"/>
  <c r="L93" i="5"/>
  <c r="N93" i="5"/>
  <c r="O93" i="5"/>
  <c r="Z93" i="5"/>
  <c r="AN93" i="5"/>
  <c r="AG94" i="5"/>
  <c r="AF94" i="5"/>
  <c r="B272" i="4"/>
  <c r="C272" i="4"/>
  <c r="C94" i="5"/>
  <c r="D272" i="4"/>
  <c r="E94" i="5"/>
  <c r="K94" i="5"/>
  <c r="L272" i="4"/>
  <c r="Q94" i="5"/>
  <c r="M272" i="4"/>
  <c r="R94" i="5"/>
  <c r="N272" i="4"/>
  <c r="T94" i="5"/>
  <c r="O22" i="2"/>
  <c r="O272" i="4"/>
  <c r="U94" i="5"/>
  <c r="P272" i="4"/>
  <c r="W94" i="5"/>
  <c r="Q272" i="4"/>
  <c r="X94" i="5"/>
  <c r="S272" i="4"/>
  <c r="AA94" i="5"/>
  <c r="X272" i="4"/>
  <c r="AI94" i="5"/>
  <c r="Y272" i="4"/>
  <c r="AJ94" i="5"/>
  <c r="Z272" i="4"/>
  <c r="AL94" i="5"/>
  <c r="F94" i="5"/>
  <c r="H94" i="5"/>
  <c r="I94" i="5"/>
  <c r="L94" i="5"/>
  <c r="N94" i="5"/>
  <c r="O94" i="5"/>
  <c r="Z94" i="5"/>
  <c r="AN94" i="5"/>
  <c r="AG95" i="5"/>
  <c r="AF95" i="5"/>
  <c r="B273" i="4"/>
  <c r="C273" i="4"/>
  <c r="C95" i="5"/>
  <c r="D273" i="4"/>
  <c r="E95" i="5"/>
  <c r="K95" i="5"/>
  <c r="L273" i="4"/>
  <c r="Q95" i="5"/>
  <c r="M273" i="4"/>
  <c r="R95" i="5"/>
  <c r="T95" i="5"/>
  <c r="U95" i="5"/>
  <c r="P273" i="4"/>
  <c r="W95" i="5"/>
  <c r="Q273" i="4"/>
  <c r="X95" i="5"/>
  <c r="S273" i="4"/>
  <c r="AA95" i="5"/>
  <c r="AI273" i="4"/>
  <c r="T273" i="4" a="1"/>
  <c r="T273" i="4"/>
  <c r="AC95" i="5"/>
  <c r="U273" i="4" a="1"/>
  <c r="U273" i="4"/>
  <c r="AD95" i="5"/>
  <c r="X273" i="4"/>
  <c r="AI95" i="5"/>
  <c r="Y273" i="4"/>
  <c r="AJ95" i="5"/>
  <c r="Z273" i="4"/>
  <c r="AL95" i="5"/>
  <c r="F95" i="5"/>
  <c r="H95" i="5"/>
  <c r="I95" i="5"/>
  <c r="L95" i="5"/>
  <c r="N95" i="5"/>
  <c r="O95" i="5"/>
  <c r="Z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I203" i="4"/>
  <c r="T203" i="4" a="1"/>
  <c r="T203" i="4"/>
  <c r="AC96" i="5"/>
  <c r="U203" i="4" a="1"/>
  <c r="U203" i="4"/>
  <c r="AD96" i="5"/>
  <c r="Y203" i="4"/>
  <c r="AJ96" i="5"/>
  <c r="Z203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4" i="4"/>
  <c r="C274" i="4"/>
  <c r="C98" i="5"/>
  <c r="D274" i="4"/>
  <c r="E98" i="5"/>
  <c r="K98" i="5"/>
  <c r="L274" i="4"/>
  <c r="Q98" i="5"/>
  <c r="M274" i="4"/>
  <c r="R98" i="5"/>
  <c r="T98" i="5"/>
  <c r="U98" i="5"/>
  <c r="P274" i="4"/>
  <c r="W98" i="5"/>
  <c r="Q274" i="4"/>
  <c r="X98" i="5"/>
  <c r="AA98" i="5"/>
  <c r="AI274" i="4"/>
  <c r="T274" i="4" a="1"/>
  <c r="T274" i="4"/>
  <c r="AC98" i="5"/>
  <c r="U274" i="4" a="1"/>
  <c r="U274" i="4"/>
  <c r="AD98" i="5"/>
  <c r="Y274" i="4"/>
  <c r="AJ98" i="5"/>
  <c r="Z274" i="4"/>
  <c r="AL98" i="5"/>
  <c r="F98" i="5"/>
  <c r="H98" i="5"/>
  <c r="I98" i="5"/>
  <c r="L98" i="5"/>
  <c r="N98" i="5"/>
  <c r="O98" i="5"/>
  <c r="Z98" i="5"/>
  <c r="AN98" i="5"/>
  <c r="AG99" i="5"/>
  <c r="AF99" i="5"/>
  <c r="B275" i="4"/>
  <c r="C275" i="4"/>
  <c r="C99" i="5"/>
  <c r="D275" i="4"/>
  <c r="E99" i="5"/>
  <c r="K99" i="5"/>
  <c r="L275" i="4"/>
  <c r="Q99" i="5"/>
  <c r="M275" i="4"/>
  <c r="R99" i="5"/>
  <c r="T99" i="5"/>
  <c r="O25" i="2"/>
  <c r="O275" i="4"/>
  <c r="U99" i="5"/>
  <c r="P275" i="4"/>
  <c r="W99" i="5"/>
  <c r="Q275" i="4"/>
  <c r="X99" i="5"/>
  <c r="S275" i="4"/>
  <c r="AA99" i="5"/>
  <c r="AI275" i="4"/>
  <c r="T275" i="4" a="1"/>
  <c r="T275" i="4"/>
  <c r="AC99" i="5"/>
  <c r="U275" i="4" a="1"/>
  <c r="U275" i="4"/>
  <c r="AD99" i="5"/>
  <c r="X275" i="4"/>
  <c r="AI99" i="5"/>
  <c r="Y275" i="4"/>
  <c r="AJ99" i="5"/>
  <c r="Z275" i="4"/>
  <c r="AL99" i="5"/>
  <c r="F99" i="5"/>
  <c r="I99" i="5"/>
  <c r="L99" i="5"/>
  <c r="N99" i="5"/>
  <c r="O99" i="5"/>
  <c r="Z99" i="5"/>
  <c r="AN99" i="5"/>
  <c r="AG100" i="5"/>
  <c r="AF100" i="5"/>
  <c r="B276" i="4"/>
  <c r="C276" i="4"/>
  <c r="C100" i="5"/>
  <c r="D276" i="4"/>
  <c r="E100" i="5"/>
  <c r="H276" i="4"/>
  <c r="K100" i="5"/>
  <c r="L276" i="4"/>
  <c r="Q100" i="5"/>
  <c r="M276" i="4"/>
  <c r="R100" i="5"/>
  <c r="N276" i="4"/>
  <c r="T100" i="5"/>
  <c r="O276" i="4"/>
  <c r="U100" i="5"/>
  <c r="P276" i="4"/>
  <c r="W100" i="5"/>
  <c r="Q276" i="4"/>
  <c r="X100" i="5"/>
  <c r="S276" i="4"/>
  <c r="AA100" i="5"/>
  <c r="AI276" i="4"/>
  <c r="T276" i="4" a="1"/>
  <c r="T276" i="4"/>
  <c r="AC100" i="5"/>
  <c r="U276" i="4" a="1"/>
  <c r="U276" i="4"/>
  <c r="AD100" i="5"/>
  <c r="X276" i="4"/>
  <c r="AI100" i="5"/>
  <c r="Y276" i="4"/>
  <c r="AJ100" i="5"/>
  <c r="Z276" i="4"/>
  <c r="AL100" i="5"/>
  <c r="F100" i="5"/>
  <c r="I100" i="5"/>
  <c r="L100" i="5"/>
  <c r="N100" i="5"/>
  <c r="O100" i="5"/>
  <c r="Z100" i="5"/>
  <c r="AN100" i="5"/>
  <c r="O101" i="5"/>
  <c r="H152" i="4"/>
  <c r="K101" i="5"/>
  <c r="AG101" i="5"/>
  <c r="AF101" i="5"/>
  <c r="C152" i="4"/>
  <c r="C101" i="5"/>
  <c r="D152" i="4"/>
  <c r="E101" i="5"/>
  <c r="I25" i="2"/>
  <c r="I152" i="4"/>
  <c r="L101" i="5"/>
  <c r="J25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I152" i="4"/>
  <c r="T152" i="4" a="1"/>
  <c r="T152" i="4"/>
  <c r="AC101" i="5"/>
  <c r="U152" i="4" a="1"/>
  <c r="U152" i="4"/>
  <c r="AD101" i="5"/>
  <c r="X152" i="4"/>
  <c r="AI101" i="5"/>
  <c r="Y152" i="4"/>
  <c r="AJ101" i="5"/>
  <c r="Z152" i="4"/>
  <c r="AL101" i="5"/>
  <c r="H101" i="5"/>
  <c r="I101" i="5"/>
  <c r="F101" i="5"/>
  <c r="Z101" i="5"/>
  <c r="AN101" i="5"/>
  <c r="AG102" i="5"/>
  <c r="AF102" i="5"/>
  <c r="C26" i="2"/>
  <c r="B16" i="4"/>
  <c r="C16" i="4"/>
  <c r="C102" i="5"/>
  <c r="D26" i="2"/>
  <c r="D16" i="4"/>
  <c r="E102" i="5"/>
  <c r="E26" i="2"/>
  <c r="E16" i="4"/>
  <c r="F102" i="5"/>
  <c r="F26" i="2"/>
  <c r="F16" i="4"/>
  <c r="H102" i="5"/>
  <c r="I102" i="5"/>
  <c r="H26" i="2"/>
  <c r="H16" i="4"/>
  <c r="K102" i="5"/>
  <c r="L26" i="2"/>
  <c r="L16" i="4"/>
  <c r="Q102" i="5"/>
  <c r="M26" i="2"/>
  <c r="M16" i="4"/>
  <c r="R102" i="5"/>
  <c r="N26" i="2"/>
  <c r="N16" i="4"/>
  <c r="T102" i="5"/>
  <c r="O26" i="2"/>
  <c r="O16" i="4"/>
  <c r="U102" i="5"/>
  <c r="P26" i="2"/>
  <c r="P16" i="4"/>
  <c r="W102" i="5"/>
  <c r="Q26" i="2"/>
  <c r="Q16" i="4"/>
  <c r="X102" i="5"/>
  <c r="S26" i="2"/>
  <c r="S16" i="4"/>
  <c r="AA102" i="5"/>
  <c r="AI16" i="4"/>
  <c r="T16" i="4" a="1"/>
  <c r="T16" i="4"/>
  <c r="AC102" i="5"/>
  <c r="U16" i="4" a="1"/>
  <c r="U16" i="4"/>
  <c r="AD102" i="5"/>
  <c r="X26" i="2"/>
  <c r="X16" i="4"/>
  <c r="AI102" i="5"/>
  <c r="Y26" i="2"/>
  <c r="Y16" i="4"/>
  <c r="AJ102" i="5"/>
  <c r="Z26" i="2"/>
  <c r="Z16" i="4"/>
  <c r="AL102" i="5"/>
  <c r="L102" i="5"/>
  <c r="N102" i="5"/>
  <c r="O102" i="5"/>
  <c r="Z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I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L103" i="5"/>
  <c r="N103" i="5"/>
  <c r="O103" i="5"/>
  <c r="Z103" i="5"/>
  <c r="AN103" i="5"/>
  <c r="AG104" i="5"/>
  <c r="AF104" i="5"/>
  <c r="C43" i="2"/>
  <c r="B9" i="4"/>
  <c r="C9" i="4"/>
  <c r="C104" i="5"/>
  <c r="D43" i="2"/>
  <c r="D9" i="4"/>
  <c r="E104" i="5"/>
  <c r="E43" i="2"/>
  <c r="E9" i="4"/>
  <c r="F104" i="5"/>
  <c r="F43" i="2"/>
  <c r="F9" i="4"/>
  <c r="H104" i="5"/>
  <c r="I104" i="5"/>
  <c r="H43" i="2"/>
  <c r="H9" i="4"/>
  <c r="K104" i="5"/>
  <c r="L43" i="2"/>
  <c r="L9" i="4"/>
  <c r="Q104" i="5"/>
  <c r="M43" i="2"/>
  <c r="M9" i="4"/>
  <c r="R104" i="5"/>
  <c r="T104" i="5"/>
  <c r="O43" i="2"/>
  <c r="O9" i="4"/>
  <c r="U104" i="5"/>
  <c r="P43" i="2"/>
  <c r="P9" i="4"/>
  <c r="W104" i="5"/>
  <c r="Q43" i="2"/>
  <c r="Q9" i="4"/>
  <c r="X104" i="5"/>
  <c r="S43" i="2"/>
  <c r="S9" i="4"/>
  <c r="AA104" i="5"/>
  <c r="AI9" i="4"/>
  <c r="T9" i="4" a="1"/>
  <c r="T9" i="4"/>
  <c r="AC104" i="5"/>
  <c r="U9" i="4" a="1"/>
  <c r="U9" i="4"/>
  <c r="AD104" i="5"/>
  <c r="X43" i="2"/>
  <c r="X9" i="4"/>
  <c r="AI104" i="5"/>
  <c r="Y43" i="2"/>
  <c r="Y9" i="4"/>
  <c r="AJ104" i="5"/>
  <c r="Z43" i="2"/>
  <c r="Z9" i="4"/>
  <c r="AL104" i="5"/>
  <c r="L104" i="5"/>
  <c r="N104" i="5"/>
  <c r="O104" i="5"/>
  <c r="Z104" i="5"/>
  <c r="AN104" i="5"/>
  <c r="AG105" i="5"/>
  <c r="AF105" i="5"/>
  <c r="C153" i="4"/>
  <c r="C105" i="5"/>
  <c r="D153" i="4"/>
  <c r="E105" i="5"/>
  <c r="E39" i="2"/>
  <c r="E153" i="4"/>
  <c r="F105" i="5"/>
  <c r="F39" i="2"/>
  <c r="F153" i="4"/>
  <c r="H105" i="5"/>
  <c r="I105" i="5"/>
  <c r="K105" i="5"/>
  <c r="L153" i="4"/>
  <c r="Q105" i="5"/>
  <c r="M153" i="4"/>
  <c r="R105" i="5"/>
  <c r="T105" i="5"/>
  <c r="O153" i="4"/>
  <c r="U105" i="5"/>
  <c r="P153" i="4"/>
  <c r="W105" i="5"/>
  <c r="Q153" i="4"/>
  <c r="X105" i="5"/>
  <c r="S153" i="4"/>
  <c r="AA105" i="5"/>
  <c r="AI153" i="4"/>
  <c r="T153" i="4" a="1"/>
  <c r="T153" i="4"/>
  <c r="AC105" i="5"/>
  <c r="U153" i="4" a="1"/>
  <c r="U153" i="4"/>
  <c r="AD105" i="5"/>
  <c r="X153" i="4"/>
  <c r="AI105" i="5"/>
  <c r="Y153" i="4"/>
  <c r="AJ105" i="5"/>
  <c r="Z153" i="4"/>
  <c r="AL105" i="5"/>
  <c r="L105" i="5"/>
  <c r="N105" i="5"/>
  <c r="O105" i="5"/>
  <c r="Z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I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L106" i="5"/>
  <c r="N106" i="5"/>
  <c r="O106" i="5"/>
  <c r="Z106" i="5"/>
  <c r="AN106" i="5"/>
  <c r="AG107" i="5"/>
  <c r="AF107" i="5"/>
  <c r="C220" i="4"/>
  <c r="C107" i="5"/>
  <c r="D220" i="4"/>
  <c r="E107" i="5"/>
  <c r="E22" i="2"/>
  <c r="E220" i="4"/>
  <c r="F107" i="5"/>
  <c r="F22" i="2"/>
  <c r="F220" i="4"/>
  <c r="H107" i="5"/>
  <c r="I107" i="5"/>
  <c r="H22" i="2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I220" i="4"/>
  <c r="T220" i="4" a="1"/>
  <c r="T220" i="4"/>
  <c r="AC107" i="5"/>
  <c r="U220" i="4" a="1"/>
  <c r="U220" i="4"/>
  <c r="AD107" i="5"/>
  <c r="AI107" i="5"/>
  <c r="Y220" i="4"/>
  <c r="AJ107" i="5"/>
  <c r="Z220" i="4"/>
  <c r="AL107" i="5"/>
  <c r="L107" i="5"/>
  <c r="N107" i="5"/>
  <c r="O107" i="5"/>
  <c r="Z107" i="5"/>
  <c r="AN107" i="5"/>
  <c r="AG108" i="5"/>
  <c r="AF108" i="5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I221" i="4"/>
  <c r="T221" i="4" a="1"/>
  <c r="T221" i="4"/>
  <c r="AC108" i="5"/>
  <c r="U221" i="4" a="1"/>
  <c r="U221" i="4"/>
  <c r="AD108" i="5"/>
  <c r="AI108" i="5"/>
  <c r="Y221" i="4"/>
  <c r="AJ108" i="5"/>
  <c r="Z221" i="4"/>
  <c r="AL108" i="5"/>
  <c r="L108" i="5"/>
  <c r="N108" i="5"/>
  <c r="O108" i="5"/>
  <c r="Z108" i="5"/>
  <c r="AN108" i="5"/>
  <c r="AG109" i="5"/>
  <c r="AF109" i="5"/>
  <c r="B68" i="4"/>
  <c r="C68" i="4"/>
  <c r="C109" i="5"/>
  <c r="D68" i="4"/>
  <c r="E109" i="5"/>
  <c r="H15" i="2"/>
  <c r="H68" i="4"/>
  <c r="K109" i="5"/>
  <c r="L68" i="4"/>
  <c r="Q109" i="5"/>
  <c r="M68" i="4"/>
  <c r="R109" i="5"/>
  <c r="T109" i="5"/>
  <c r="O68" i="4"/>
  <c r="U109" i="5"/>
  <c r="P68" i="4"/>
  <c r="W109" i="5"/>
  <c r="Q68" i="4"/>
  <c r="X109" i="5"/>
  <c r="S68" i="4"/>
  <c r="AA109" i="5"/>
  <c r="AI68" i="4"/>
  <c r="T68" i="4" a="1"/>
  <c r="T68" i="4"/>
  <c r="AC109" i="5"/>
  <c r="U68" i="4" a="1"/>
  <c r="U68" i="4"/>
  <c r="AD109" i="5"/>
  <c r="X68" i="4"/>
  <c r="AI109" i="5"/>
  <c r="Y68" i="4"/>
  <c r="AJ109" i="5"/>
  <c r="Z68" i="4"/>
  <c r="AL109" i="5"/>
  <c r="F109" i="5"/>
  <c r="H109" i="5"/>
  <c r="I109" i="5"/>
  <c r="L109" i="5"/>
  <c r="N109" i="5"/>
  <c r="O109" i="5"/>
  <c r="Z109" i="5"/>
  <c r="AN109" i="5"/>
  <c r="AG110" i="5"/>
  <c r="AF110" i="5"/>
  <c r="C122" i="4"/>
  <c r="C110" i="5"/>
  <c r="D122" i="4"/>
  <c r="E110" i="5"/>
  <c r="E40" i="2"/>
  <c r="E122" i="4"/>
  <c r="F110" i="5"/>
  <c r="F40" i="2"/>
  <c r="F122" i="4"/>
  <c r="H110" i="5"/>
  <c r="I110" i="5"/>
  <c r="H122" i="4"/>
  <c r="K110" i="5"/>
  <c r="L122" i="4"/>
  <c r="Q110" i="5"/>
  <c r="M122" i="4"/>
  <c r="R110" i="5"/>
  <c r="T110" i="5"/>
  <c r="O32" i="2"/>
  <c r="O122" i="4"/>
  <c r="U110" i="5"/>
  <c r="P122" i="4"/>
  <c r="W110" i="5"/>
  <c r="Q122" i="4"/>
  <c r="X110" i="5"/>
  <c r="S122" i="4"/>
  <c r="AA110" i="5"/>
  <c r="AI122" i="4"/>
  <c r="T122" i="4" a="1"/>
  <c r="T122" i="4"/>
  <c r="AC110" i="5"/>
  <c r="U122" i="4" a="1"/>
  <c r="U122" i="4"/>
  <c r="AD110" i="5"/>
  <c r="X122" i="4"/>
  <c r="AI110" i="5"/>
  <c r="Y122" i="4"/>
  <c r="AJ110" i="5"/>
  <c r="Z122" i="4"/>
  <c r="AL110" i="5"/>
  <c r="L110" i="5"/>
  <c r="N110" i="5"/>
  <c r="O110" i="5"/>
  <c r="Z110" i="5"/>
  <c r="AN110" i="5"/>
  <c r="AG111" i="5"/>
  <c r="AF111" i="5"/>
  <c r="C123" i="4"/>
  <c r="C111" i="5"/>
  <c r="D123" i="4"/>
  <c r="E111" i="5"/>
  <c r="H123" i="4"/>
  <c r="K111" i="5"/>
  <c r="L123" i="4"/>
  <c r="Q111" i="5"/>
  <c r="M123" i="4"/>
  <c r="R111" i="5"/>
  <c r="T111" i="5"/>
  <c r="O123" i="4"/>
  <c r="U111" i="5"/>
  <c r="P123" i="4"/>
  <c r="W111" i="5"/>
  <c r="Q123" i="4"/>
  <c r="X111" i="5"/>
  <c r="S123" i="4"/>
  <c r="AA111" i="5"/>
  <c r="AI123" i="4"/>
  <c r="T123" i="4" a="1"/>
  <c r="T123" i="4"/>
  <c r="AC111" i="5"/>
  <c r="U123" i="4" a="1"/>
  <c r="U123" i="4"/>
  <c r="AD111" i="5"/>
  <c r="X123" i="4"/>
  <c r="AI111" i="5"/>
  <c r="Y123" i="4"/>
  <c r="AJ111" i="5"/>
  <c r="Z123" i="4"/>
  <c r="AL111" i="5"/>
  <c r="F111" i="5"/>
  <c r="H111" i="5"/>
  <c r="I111" i="5"/>
  <c r="L111" i="5"/>
  <c r="N111" i="5"/>
  <c r="O111" i="5"/>
  <c r="Z111" i="5"/>
  <c r="AN111" i="5"/>
  <c r="AG112" i="5"/>
  <c r="AF112" i="5"/>
  <c r="C124" i="4"/>
  <c r="C112" i="5"/>
  <c r="D124" i="4"/>
  <c r="E112" i="5"/>
  <c r="H124" i="4"/>
  <c r="K112" i="5"/>
  <c r="L124" i="4"/>
  <c r="Q112" i="5"/>
  <c r="M124" i="4"/>
  <c r="R112" i="5"/>
  <c r="T112" i="5"/>
  <c r="O124" i="4"/>
  <c r="U112" i="5"/>
  <c r="P124" i="4"/>
  <c r="W112" i="5"/>
  <c r="Q124" i="4"/>
  <c r="X112" i="5"/>
  <c r="S124" i="4"/>
  <c r="AA112" i="5"/>
  <c r="AI124" i="4"/>
  <c r="T124" i="4" a="1"/>
  <c r="T124" i="4"/>
  <c r="AC112" i="5"/>
  <c r="U124" i="4" a="1"/>
  <c r="U124" i="4"/>
  <c r="AD112" i="5"/>
  <c r="X124" i="4"/>
  <c r="AI112" i="5"/>
  <c r="Y124" i="4"/>
  <c r="AJ112" i="5"/>
  <c r="Z124" i="4"/>
  <c r="AL112" i="5"/>
  <c r="F112" i="5"/>
  <c r="H112" i="5"/>
  <c r="I112" i="5"/>
  <c r="L112" i="5"/>
  <c r="N112" i="5"/>
  <c r="O112" i="5"/>
  <c r="Z112" i="5"/>
  <c r="AN112" i="5"/>
  <c r="AG113" i="5"/>
  <c r="AF113" i="5"/>
  <c r="C154" i="4"/>
  <c r="C113" i="5"/>
  <c r="D154" i="4"/>
  <c r="E113" i="5"/>
  <c r="H154" i="4"/>
  <c r="K113" i="5"/>
  <c r="L154" i="4"/>
  <c r="Q113" i="5"/>
  <c r="M154" i="4"/>
  <c r="R113" i="5"/>
  <c r="T113" i="5"/>
  <c r="O154" i="4"/>
  <c r="U113" i="5"/>
  <c r="P154" i="4"/>
  <c r="W113" i="5"/>
  <c r="Q154" i="4"/>
  <c r="X113" i="5"/>
  <c r="S154" i="4"/>
  <c r="AA113" i="5"/>
  <c r="AI154" i="4"/>
  <c r="T154" i="4" a="1"/>
  <c r="T154" i="4"/>
  <c r="AC113" i="5"/>
  <c r="U154" i="4" a="1"/>
  <c r="U154" i="4"/>
  <c r="AD113" i="5"/>
  <c r="X154" i="4"/>
  <c r="AI113" i="5"/>
  <c r="Y154" i="4"/>
  <c r="AJ113" i="5"/>
  <c r="Z154" i="4"/>
  <c r="AL113" i="5"/>
  <c r="F113" i="5"/>
  <c r="H113" i="5"/>
  <c r="I113" i="5"/>
  <c r="L113" i="5"/>
  <c r="N113" i="5"/>
  <c r="O113" i="5"/>
  <c r="Z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I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H114" i="5"/>
  <c r="I114" i="5"/>
  <c r="L114" i="5"/>
  <c r="N114" i="5"/>
  <c r="O114" i="5"/>
  <c r="Z114" i="5"/>
  <c r="AN114" i="5"/>
  <c r="AG115" i="5"/>
  <c r="AF115" i="5"/>
  <c r="B108" i="4"/>
  <c r="C108" i="4"/>
  <c r="C115" i="5"/>
  <c r="D108" i="4"/>
  <c r="E115" i="5"/>
  <c r="H24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I108" i="4"/>
  <c r="T108" i="4" a="1"/>
  <c r="T108" i="4"/>
  <c r="AC115" i="5"/>
  <c r="U108" i="4" a="1"/>
  <c r="U108" i="4"/>
  <c r="AD115" i="5"/>
  <c r="X108" i="4"/>
  <c r="AI115" i="5"/>
  <c r="Y108" i="4"/>
  <c r="AJ115" i="5"/>
  <c r="Z108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69" i="4"/>
  <c r="C69" i="4"/>
  <c r="C116" i="5"/>
  <c r="D69" i="4"/>
  <c r="E116" i="5"/>
  <c r="E14" i="2"/>
  <c r="E11" i="2"/>
  <c r="E69" i="4"/>
  <c r="F116" i="5"/>
  <c r="F14" i="2"/>
  <c r="F11" i="2"/>
  <c r="F69" i="4"/>
  <c r="H116" i="5"/>
  <c r="I116" i="5"/>
  <c r="I11" i="2"/>
  <c r="I69" i="4"/>
  <c r="L116" i="5"/>
  <c r="J11" i="2"/>
  <c r="J69" i="4"/>
  <c r="N116" i="5"/>
  <c r="L69" i="4"/>
  <c r="Q116" i="5"/>
  <c r="M69" i="4"/>
  <c r="R116" i="5"/>
  <c r="T116" i="5"/>
  <c r="U116" i="5"/>
  <c r="P69" i="4"/>
  <c r="W116" i="5"/>
  <c r="AA116" i="5"/>
  <c r="AI69" i="4"/>
  <c r="T69" i="4" a="1"/>
  <c r="T69" i="4"/>
  <c r="AC116" i="5"/>
  <c r="U69" i="4" a="1"/>
  <c r="U69" i="4"/>
  <c r="AD116" i="5"/>
  <c r="Y69" i="4"/>
  <c r="AJ116" i="5"/>
  <c r="Z69" i="4"/>
  <c r="AL116" i="5"/>
  <c r="X116" i="5"/>
  <c r="Z116" i="5"/>
  <c r="AN116" i="5"/>
  <c r="AG117" i="5"/>
  <c r="AF117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I190" i="4"/>
  <c r="T190" i="4" a="1"/>
  <c r="T190" i="4"/>
  <c r="AC117" i="5"/>
  <c r="U190" i="4" a="1"/>
  <c r="U190" i="4"/>
  <c r="AD117" i="5"/>
  <c r="X190" i="4"/>
  <c r="AI117" i="5"/>
  <c r="F117" i="5"/>
  <c r="H117" i="5"/>
  <c r="I117" i="5"/>
  <c r="L117" i="5"/>
  <c r="N117" i="5"/>
  <c r="O117" i="5"/>
  <c r="Z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20" i="2"/>
  <c r="R14" i="2"/>
  <c r="R2" i="4"/>
  <c r="Z118" i="5"/>
  <c r="AI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L118" i="5"/>
  <c r="N118" i="5"/>
  <c r="O118" i="5"/>
  <c r="AN118" i="5"/>
  <c r="AG119" i="5"/>
  <c r="AF119" i="5"/>
  <c r="B191" i="4"/>
  <c r="C191" i="4"/>
  <c r="C119" i="5"/>
  <c r="D191" i="4"/>
  <c r="E119" i="5"/>
  <c r="E191" i="4"/>
  <c r="F119" i="5"/>
  <c r="F191" i="4"/>
  <c r="H119" i="5"/>
  <c r="I119" i="5"/>
  <c r="K119" i="5"/>
  <c r="L191" i="4"/>
  <c r="Q119" i="5"/>
  <c r="M191" i="4"/>
  <c r="R119" i="5"/>
  <c r="T119" i="5"/>
  <c r="O191" i="4"/>
  <c r="U119" i="5"/>
  <c r="P191" i="4"/>
  <c r="W119" i="5"/>
  <c r="Q191" i="4"/>
  <c r="X119" i="5"/>
  <c r="AA119" i="5"/>
  <c r="AI191" i="4"/>
  <c r="T191" i="4" a="1"/>
  <c r="T191" i="4"/>
  <c r="AC119" i="5"/>
  <c r="U191" i="4" a="1"/>
  <c r="U191" i="4"/>
  <c r="AD119" i="5"/>
  <c r="X191" i="4"/>
  <c r="AI119" i="5"/>
  <c r="Y191" i="4"/>
  <c r="AJ119" i="5"/>
  <c r="Z191" i="4"/>
  <c r="AL119" i="5"/>
  <c r="L119" i="5"/>
  <c r="N119" i="5"/>
  <c r="O119" i="5"/>
  <c r="Z119" i="5"/>
  <c r="AN119" i="5"/>
  <c r="AG120" i="5"/>
  <c r="AF120" i="5"/>
  <c r="B18" i="4"/>
  <c r="C18" i="4"/>
  <c r="C120" i="5"/>
  <c r="D18" i="4"/>
  <c r="E120" i="5"/>
  <c r="H18" i="4"/>
  <c r="K120" i="5"/>
  <c r="L18" i="4"/>
  <c r="Q120" i="5"/>
  <c r="M18" i="4"/>
  <c r="R120" i="5"/>
  <c r="T120" i="5"/>
  <c r="O18" i="4"/>
  <c r="U120" i="5"/>
  <c r="W120" i="5"/>
  <c r="Q18" i="4"/>
  <c r="X120" i="5"/>
  <c r="AA120" i="5"/>
  <c r="AI18" i="4"/>
  <c r="T18" i="4" a="1"/>
  <c r="T18" i="4"/>
  <c r="AC120" i="5"/>
  <c r="U18" i="4" a="1"/>
  <c r="U18" i="4"/>
  <c r="AD120" i="5"/>
  <c r="Y18" i="4"/>
  <c r="AJ120" i="5"/>
  <c r="Z18" i="4"/>
  <c r="AL120" i="5"/>
  <c r="F120" i="5"/>
  <c r="H120" i="5"/>
  <c r="I120" i="5"/>
  <c r="L120" i="5"/>
  <c r="N120" i="5"/>
  <c r="O120" i="5"/>
  <c r="Z120" i="5"/>
  <c r="AN120" i="5"/>
  <c r="AG121" i="5"/>
  <c r="AF121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I70" i="4"/>
  <c r="T70" i="4" a="1"/>
  <c r="T70" i="4"/>
  <c r="AC121" i="5"/>
  <c r="U70" i="4" a="1"/>
  <c r="U70" i="4"/>
  <c r="AD121" i="5"/>
  <c r="X70" i="4"/>
  <c r="AI121" i="5"/>
  <c r="Y70" i="4"/>
  <c r="AJ121" i="5"/>
  <c r="Z70" i="4"/>
  <c r="AL121" i="5"/>
  <c r="F121" i="5"/>
  <c r="H121" i="5"/>
  <c r="I121" i="5"/>
  <c r="L121" i="5"/>
  <c r="N121" i="5"/>
  <c r="O121" i="5"/>
  <c r="Z121" i="5"/>
  <c r="AN121" i="5"/>
  <c r="AG122" i="5"/>
  <c r="AF122" i="5"/>
  <c r="B19" i="4"/>
  <c r="C19" i="4"/>
  <c r="C122" i="5"/>
  <c r="D19" i="4"/>
  <c r="E122" i="5"/>
  <c r="H19" i="4"/>
  <c r="K122" i="5"/>
  <c r="L19" i="4"/>
  <c r="Q122" i="5"/>
  <c r="R122" i="5"/>
  <c r="T122" i="5"/>
  <c r="O19" i="4"/>
  <c r="U122" i="5"/>
  <c r="P19" i="4"/>
  <c r="W122" i="5"/>
  <c r="Q19" i="4"/>
  <c r="X122" i="5"/>
  <c r="AA122" i="5"/>
  <c r="AI19" i="4"/>
  <c r="T19" i="4" a="1"/>
  <c r="T19" i="4"/>
  <c r="AC122" i="5"/>
  <c r="U19" i="4" a="1"/>
  <c r="U19" i="4"/>
  <c r="AD122" i="5"/>
  <c r="Y19" i="4"/>
  <c r="AJ122" i="5"/>
  <c r="Z19" i="4"/>
  <c r="AL122" i="5"/>
  <c r="F122" i="5"/>
  <c r="H122" i="5"/>
  <c r="I122" i="5"/>
  <c r="L122" i="5"/>
  <c r="N122" i="5"/>
  <c r="O122" i="5"/>
  <c r="Z122" i="5"/>
  <c r="AN122" i="5"/>
  <c r="O123" i="5"/>
  <c r="B248" i="4"/>
  <c r="H248" i="4"/>
  <c r="K123" i="5"/>
  <c r="AG123" i="5"/>
  <c r="AF123" i="5"/>
  <c r="C42" i="2"/>
  <c r="C248" i="4"/>
  <c r="C123" i="5"/>
  <c r="D248" i="4"/>
  <c r="E123" i="5"/>
  <c r="E248" i="4"/>
  <c r="F123" i="5"/>
  <c r="F248" i="4"/>
  <c r="H123" i="5"/>
  <c r="I123" i="5"/>
  <c r="I42" i="2"/>
  <c r="I248" i="4"/>
  <c r="L123" i="5"/>
  <c r="J42" i="2"/>
  <c r="J248" i="4"/>
  <c r="N123" i="5"/>
  <c r="L248" i="4"/>
  <c r="Q123" i="5"/>
  <c r="M248" i="4"/>
  <c r="R123" i="5"/>
  <c r="T123" i="5"/>
  <c r="O42" i="2"/>
  <c r="O248" i="4"/>
  <c r="U123" i="5"/>
  <c r="P42" i="2"/>
  <c r="P248" i="4"/>
  <c r="W123" i="5"/>
  <c r="Q42" i="2"/>
  <c r="Q248" i="4"/>
  <c r="X123" i="5"/>
  <c r="S248" i="4"/>
  <c r="AA123" i="5"/>
  <c r="AI248" i="4"/>
  <c r="T248" i="4" a="1"/>
  <c r="T248" i="4"/>
  <c r="AC123" i="5"/>
  <c r="U248" i="4" a="1"/>
  <c r="U248" i="4"/>
  <c r="AD123" i="5"/>
  <c r="X42" i="2"/>
  <c r="X248" i="4"/>
  <c r="AI123" i="5"/>
  <c r="Y42" i="2"/>
  <c r="Y248" i="4"/>
  <c r="AJ123" i="5"/>
  <c r="Z42" i="2"/>
  <c r="Z248" i="4"/>
  <c r="AL123" i="5"/>
  <c r="Z123" i="5"/>
  <c r="AN123" i="5"/>
  <c r="AG124" i="5"/>
  <c r="AF124" i="5"/>
  <c r="B71" i="4"/>
  <c r="C71" i="4"/>
  <c r="C124" i="5"/>
  <c r="D71" i="4"/>
  <c r="E124" i="5"/>
  <c r="H71" i="4"/>
  <c r="K124" i="5"/>
  <c r="L71" i="4"/>
  <c r="Q124" i="5"/>
  <c r="M71" i="4"/>
  <c r="R124" i="5"/>
  <c r="T124" i="5"/>
  <c r="O71" i="4"/>
  <c r="U124" i="5"/>
  <c r="P71" i="4"/>
  <c r="W124" i="5"/>
  <c r="Q71" i="4"/>
  <c r="X124" i="5"/>
  <c r="AA124" i="5"/>
  <c r="AI71" i="4"/>
  <c r="T71" i="4" a="1"/>
  <c r="T71" i="4"/>
  <c r="AC124" i="5"/>
  <c r="U71" i="4" a="1"/>
  <c r="U71" i="4"/>
  <c r="AD124" i="5"/>
  <c r="X71" i="4"/>
  <c r="AI124" i="5"/>
  <c r="Y71" i="4"/>
  <c r="AJ124" i="5"/>
  <c r="Z71" i="4"/>
  <c r="AL124" i="5"/>
  <c r="F124" i="5"/>
  <c r="H124" i="5"/>
  <c r="I124" i="5"/>
  <c r="L124" i="5"/>
  <c r="N124" i="5"/>
  <c r="O124" i="5"/>
  <c r="Z124" i="5"/>
  <c r="AN124" i="5"/>
  <c r="AG125" i="5"/>
  <c r="AF125" i="5"/>
  <c r="B250" i="4"/>
  <c r="C250" i="4"/>
  <c r="C125" i="5"/>
  <c r="D250" i="4"/>
  <c r="E125" i="5"/>
  <c r="H250" i="4"/>
  <c r="K125" i="5"/>
  <c r="L250" i="4"/>
  <c r="Q125" i="5"/>
  <c r="M250" i="4"/>
  <c r="R125" i="5"/>
  <c r="T125" i="5"/>
  <c r="U125" i="5"/>
  <c r="P250" i="4"/>
  <c r="W125" i="5"/>
  <c r="Q250" i="4"/>
  <c r="X125" i="5"/>
  <c r="S250" i="4"/>
  <c r="AA125" i="5"/>
  <c r="AI250" i="4"/>
  <c r="T250" i="4" a="1"/>
  <c r="T250" i="4"/>
  <c r="AC125" i="5"/>
  <c r="U250" i="4" a="1"/>
  <c r="U250" i="4"/>
  <c r="AD125" i="5"/>
  <c r="X250" i="4"/>
  <c r="AI125" i="5"/>
  <c r="Y250" i="4"/>
  <c r="AJ125" i="5"/>
  <c r="Z250" i="4"/>
  <c r="AL125" i="5"/>
  <c r="F125" i="5"/>
  <c r="H125" i="5"/>
  <c r="I125" i="5"/>
  <c r="L125" i="5"/>
  <c r="N125" i="5"/>
  <c r="O125" i="5"/>
  <c r="Z125" i="5"/>
  <c r="AN125" i="5"/>
  <c r="AG126" i="5"/>
  <c r="AF126" i="5"/>
  <c r="B289" i="4"/>
  <c r="C289" i="4"/>
  <c r="C126" i="5"/>
  <c r="D289" i="4"/>
  <c r="E126" i="5"/>
  <c r="H289" i="4"/>
  <c r="K126" i="5"/>
  <c r="L289" i="4"/>
  <c r="Q126" i="5"/>
  <c r="M289" i="4"/>
  <c r="R126" i="5"/>
  <c r="T126" i="5"/>
  <c r="O289" i="4"/>
  <c r="U126" i="5"/>
  <c r="P289" i="4"/>
  <c r="W126" i="5"/>
  <c r="Q289" i="4"/>
  <c r="X126" i="5"/>
  <c r="S289" i="4"/>
  <c r="AA126" i="5"/>
  <c r="AI289" i="4"/>
  <c r="T289" i="4" a="1"/>
  <c r="T289" i="4"/>
  <c r="AC126" i="5"/>
  <c r="U289" i="4" a="1"/>
  <c r="U289" i="4"/>
  <c r="AD126" i="5"/>
  <c r="X289" i="4"/>
  <c r="AI126" i="5"/>
  <c r="Y289" i="4"/>
  <c r="AJ126" i="5"/>
  <c r="Z289" i="4"/>
  <c r="AL126" i="5"/>
  <c r="F126" i="5"/>
  <c r="H126" i="5"/>
  <c r="I126" i="5"/>
  <c r="L126" i="5"/>
  <c r="N126" i="5"/>
  <c r="O126" i="5"/>
  <c r="Z126" i="5"/>
  <c r="AN126" i="5"/>
  <c r="AG127" i="5"/>
  <c r="AF127" i="5"/>
  <c r="B295" i="4"/>
  <c r="C295" i="4"/>
  <c r="C127" i="5"/>
  <c r="D295" i="4"/>
  <c r="E127" i="5"/>
  <c r="K127" i="5"/>
  <c r="L295" i="4"/>
  <c r="Q127" i="5"/>
  <c r="M295" i="4"/>
  <c r="R127" i="5"/>
  <c r="T127" i="5"/>
  <c r="O295" i="4"/>
  <c r="U127" i="5"/>
  <c r="P295" i="4"/>
  <c r="W127" i="5"/>
  <c r="Q295" i="4"/>
  <c r="X127" i="5"/>
  <c r="AA127" i="5"/>
  <c r="AI295" i="4"/>
  <c r="T295" i="4" a="1"/>
  <c r="T295" i="4"/>
  <c r="AC127" i="5"/>
  <c r="U295" i="4" a="1"/>
  <c r="U295" i="4"/>
  <c r="AD127" i="5"/>
  <c r="X295" i="4"/>
  <c r="AI127" i="5"/>
  <c r="Y295" i="4"/>
  <c r="AJ127" i="5"/>
  <c r="Z295" i="4"/>
  <c r="AL127" i="5"/>
  <c r="F127" i="5"/>
  <c r="H127" i="5"/>
  <c r="I127" i="5"/>
  <c r="L127" i="5"/>
  <c r="N127" i="5"/>
  <c r="O127" i="5"/>
  <c r="Z127" i="5"/>
  <c r="AN127" i="5"/>
  <c r="AG128" i="5"/>
  <c r="AF128" i="5"/>
  <c r="B192" i="4"/>
  <c r="C192" i="4"/>
  <c r="C128" i="5"/>
  <c r="D192" i="4"/>
  <c r="E128" i="5"/>
  <c r="E192" i="4"/>
  <c r="F128" i="5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I192" i="4"/>
  <c r="T192" i="4" a="1"/>
  <c r="T192" i="4"/>
  <c r="AC128" i="5"/>
  <c r="U192" i="4" a="1"/>
  <c r="U192" i="4"/>
  <c r="AD128" i="5"/>
  <c r="X192" i="4"/>
  <c r="AI128" i="5"/>
  <c r="Y192" i="4"/>
  <c r="AJ128" i="5"/>
  <c r="Z192" i="4"/>
  <c r="AL128" i="5"/>
  <c r="L128" i="5"/>
  <c r="N128" i="5"/>
  <c r="O128" i="5"/>
  <c r="Z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I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L129" i="5"/>
  <c r="N129" i="5"/>
  <c r="O129" i="5"/>
  <c r="AN129" i="5"/>
  <c r="AG130" i="5"/>
  <c r="AF130" i="5"/>
  <c r="C222" i="4"/>
  <c r="C130" i="5"/>
  <c r="D222" i="4"/>
  <c r="E130" i="5"/>
  <c r="E222" i="4"/>
  <c r="F130" i="5"/>
  <c r="F222" i="4"/>
  <c r="H130" i="5"/>
  <c r="I130" i="5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I222" i="4"/>
  <c r="T222" i="4" a="1"/>
  <c r="T222" i="4"/>
  <c r="AC130" i="5"/>
  <c r="U222" i="4" a="1"/>
  <c r="U222" i="4"/>
  <c r="AD130" i="5"/>
  <c r="X222" i="4"/>
  <c r="AI130" i="5"/>
  <c r="Y222" i="4"/>
  <c r="AJ130" i="5"/>
  <c r="Z222" i="4"/>
  <c r="AL130" i="5"/>
  <c r="Z130" i="5"/>
  <c r="L130" i="5"/>
  <c r="N130" i="5"/>
  <c r="O130" i="5"/>
  <c r="AN130" i="5"/>
  <c r="AG131" i="5"/>
  <c r="AF131" i="5"/>
  <c r="B251" i="4"/>
  <c r="C251" i="4"/>
  <c r="C131" i="5"/>
  <c r="D251" i="4"/>
  <c r="E131" i="5"/>
  <c r="E251" i="4"/>
  <c r="F131" i="5"/>
  <c r="F251" i="4"/>
  <c r="H131" i="5"/>
  <c r="I131" i="5"/>
  <c r="H251" i="4"/>
  <c r="K131" i="5"/>
  <c r="L251" i="4"/>
  <c r="Q131" i="5"/>
  <c r="M251" i="4"/>
  <c r="R131" i="5"/>
  <c r="T131" i="5"/>
  <c r="O20" i="2"/>
  <c r="O251" i="4"/>
  <c r="U131" i="5"/>
  <c r="P251" i="4"/>
  <c r="W131" i="5"/>
  <c r="Q251" i="4"/>
  <c r="X131" i="5"/>
  <c r="S251" i="4"/>
  <c r="AA131" i="5"/>
  <c r="AI251" i="4"/>
  <c r="T251" i="4" a="1"/>
  <c r="T251" i="4"/>
  <c r="AC131" i="5"/>
  <c r="U251" i="4" a="1"/>
  <c r="U251" i="4"/>
  <c r="AD131" i="5"/>
  <c r="X251" i="4"/>
  <c r="AI131" i="5"/>
  <c r="Y251" i="4"/>
  <c r="AJ131" i="5"/>
  <c r="Z251" i="4"/>
  <c r="AL131" i="5"/>
  <c r="Z131" i="5"/>
  <c r="L131" i="5"/>
  <c r="N131" i="5"/>
  <c r="O131" i="5"/>
  <c r="AN131" i="5"/>
  <c r="AG132" i="5"/>
  <c r="AF132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I73" i="4"/>
  <c r="T73" i="4" a="1"/>
  <c r="T73" i="4"/>
  <c r="AC132" i="5"/>
  <c r="U73" i="4" a="1"/>
  <c r="U73" i="4"/>
  <c r="AD132" i="5"/>
  <c r="X73" i="4"/>
  <c r="AI132" i="5"/>
  <c r="Y73" i="4"/>
  <c r="AJ132" i="5"/>
  <c r="Z73" i="4"/>
  <c r="AL132" i="5"/>
  <c r="Z132" i="5"/>
  <c r="L132" i="5"/>
  <c r="N132" i="5"/>
  <c r="O132" i="5"/>
  <c r="AN132" i="5"/>
  <c r="AA133" i="5"/>
  <c r="P129" i="4"/>
  <c r="W133" i="5"/>
  <c r="O133" i="5"/>
  <c r="K133" i="5"/>
  <c r="AG133" i="5"/>
  <c r="AF133" i="5"/>
  <c r="C129" i="4"/>
  <c r="C133" i="5"/>
  <c r="D129" i="4"/>
  <c r="E133" i="5"/>
  <c r="I32" i="2"/>
  <c r="I44" i="2"/>
  <c r="I129" i="4"/>
  <c r="L133" i="5"/>
  <c r="J32" i="2"/>
  <c r="J129" i="4"/>
  <c r="N133" i="5"/>
  <c r="L129" i="4"/>
  <c r="Q133" i="5"/>
  <c r="M129" i="4"/>
  <c r="R133" i="5"/>
  <c r="T133" i="5"/>
  <c r="U133" i="5"/>
  <c r="Q129" i="4"/>
  <c r="X133" i="5"/>
  <c r="R32" i="2"/>
  <c r="R44" i="2"/>
  <c r="R129" i="4"/>
  <c r="Z133" i="5"/>
  <c r="AI129" i="4"/>
  <c r="T129" i="4" a="1"/>
  <c r="T129" i="4"/>
  <c r="AC133" i="5"/>
  <c r="U129" i="4" a="1"/>
  <c r="U129" i="4"/>
  <c r="AD133" i="5"/>
  <c r="X129" i="4"/>
  <c r="AI133" i="5"/>
  <c r="Y129" i="4"/>
  <c r="AJ133" i="5"/>
  <c r="Z129" i="4"/>
  <c r="AL133" i="5"/>
  <c r="F133" i="5"/>
  <c r="H133" i="5"/>
  <c r="I133" i="5"/>
  <c r="AN133" i="5"/>
  <c r="O134" i="5"/>
  <c r="K134" i="5"/>
  <c r="AG134" i="5"/>
  <c r="AF134" i="5"/>
  <c r="B20" i="4"/>
  <c r="C20" i="4"/>
  <c r="C134" i="5"/>
  <c r="D20" i="4"/>
  <c r="E134" i="5"/>
  <c r="I20" i="4"/>
  <c r="L134" i="5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I20" i="4"/>
  <c r="T20" i="4" a="1"/>
  <c r="T20" i="4"/>
  <c r="AC134" i="5"/>
  <c r="U20" i="4" a="1"/>
  <c r="U20" i="4"/>
  <c r="AD134" i="5"/>
  <c r="X20" i="4"/>
  <c r="AI134" i="5"/>
  <c r="Y20" i="4"/>
  <c r="AJ134" i="5"/>
  <c r="Z20" i="4"/>
  <c r="AL134" i="5"/>
  <c r="Z134" i="5"/>
  <c r="F134" i="5"/>
  <c r="H134" i="5"/>
  <c r="I134" i="5"/>
  <c r="AN134" i="5"/>
  <c r="AG135" i="5"/>
  <c r="AF135" i="5"/>
  <c r="B278" i="4"/>
  <c r="C278" i="4"/>
  <c r="C135" i="5"/>
  <c r="D278" i="4"/>
  <c r="E135" i="5"/>
  <c r="H278" i="4"/>
  <c r="K135" i="5"/>
  <c r="L278" i="4"/>
  <c r="Q135" i="5"/>
  <c r="M278" i="4"/>
  <c r="R135" i="5"/>
  <c r="T135" i="5"/>
  <c r="O278" i="4"/>
  <c r="U135" i="5"/>
  <c r="P278" i="4"/>
  <c r="W135" i="5"/>
  <c r="Q278" i="4"/>
  <c r="X135" i="5"/>
  <c r="S278" i="4"/>
  <c r="AA135" i="5"/>
  <c r="AI278" i="4"/>
  <c r="T278" i="4" a="1"/>
  <c r="T278" i="4"/>
  <c r="AC135" i="5"/>
  <c r="U278" i="4" a="1"/>
  <c r="U278" i="4"/>
  <c r="AD135" i="5"/>
  <c r="X278" i="4"/>
  <c r="AI135" i="5"/>
  <c r="Y278" i="4"/>
  <c r="AJ135" i="5"/>
  <c r="Z278" i="4"/>
  <c r="AL135" i="5"/>
  <c r="L135" i="5"/>
  <c r="N135" i="5"/>
  <c r="O135" i="5"/>
  <c r="Z135" i="5"/>
  <c r="F135" i="5"/>
  <c r="H135" i="5"/>
  <c r="I135" i="5"/>
  <c r="AN135" i="5"/>
  <c r="O136" i="5"/>
  <c r="B43" i="4"/>
  <c r="H43" i="4"/>
  <c r="K136" i="5"/>
  <c r="AG136" i="5"/>
  <c r="AF136" i="5"/>
  <c r="C43" i="4"/>
  <c r="C136" i="5"/>
  <c r="D43" i="4"/>
  <c r="E136" i="5"/>
  <c r="I39" i="2"/>
  <c r="I43" i="4"/>
  <c r="L136" i="5"/>
  <c r="J39" i="2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I43" i="4"/>
  <c r="T43" i="4" a="1"/>
  <c r="T43" i="4"/>
  <c r="AC136" i="5"/>
  <c r="U43" i="4" a="1"/>
  <c r="U43" i="4"/>
  <c r="AD136" i="5"/>
  <c r="X43" i="4"/>
  <c r="AI136" i="5"/>
  <c r="Y43" i="4"/>
  <c r="AJ136" i="5"/>
  <c r="Z43" i="4"/>
  <c r="AL136" i="5"/>
  <c r="Z136" i="5"/>
  <c r="F136" i="5"/>
  <c r="H136" i="5"/>
  <c r="I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I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212" i="4"/>
  <c r="C31" i="2"/>
  <c r="C212" i="4"/>
  <c r="C138" i="5"/>
  <c r="D35" i="2"/>
  <c r="D31" i="2"/>
  <c r="D212" i="4"/>
  <c r="E138" i="5"/>
  <c r="H35" i="2"/>
  <c r="H31" i="2"/>
  <c r="H212" i="4"/>
  <c r="K138" i="5"/>
  <c r="L35" i="2"/>
  <c r="L31" i="2"/>
  <c r="L212" i="4"/>
  <c r="Q138" i="5"/>
  <c r="M35" i="2"/>
  <c r="M31" i="2"/>
  <c r="M212" i="4"/>
  <c r="R138" i="5"/>
  <c r="T138" i="5"/>
  <c r="O35" i="2"/>
  <c r="O31" i="2"/>
  <c r="O212" i="4"/>
  <c r="U138" i="5"/>
  <c r="P35" i="2"/>
  <c r="P31" i="2"/>
  <c r="P212" i="4"/>
  <c r="W138" i="5"/>
  <c r="Q35" i="2"/>
  <c r="Q31" i="2"/>
  <c r="Q212" i="4"/>
  <c r="X138" i="5"/>
  <c r="S35" i="2"/>
  <c r="S31" i="2"/>
  <c r="S212" i="4"/>
  <c r="AA138" i="5"/>
  <c r="AI212" i="4"/>
  <c r="T212" i="4" a="1"/>
  <c r="T212" i="4"/>
  <c r="AC138" i="5"/>
  <c r="U212" i="4" a="1"/>
  <c r="U212" i="4"/>
  <c r="AD138" i="5"/>
  <c r="X35" i="2"/>
  <c r="X31" i="2"/>
  <c r="X212" i="4"/>
  <c r="AI138" i="5"/>
  <c r="Y35" i="2"/>
  <c r="Y31" i="2"/>
  <c r="Y212" i="4"/>
  <c r="AJ138" i="5"/>
  <c r="Z35" i="2"/>
  <c r="Z31" i="2"/>
  <c r="Z212" i="4"/>
  <c r="AL138" i="5"/>
  <c r="L138" i="5"/>
  <c r="N138" i="5"/>
  <c r="O138" i="5"/>
  <c r="F138" i="5"/>
  <c r="H138" i="5"/>
  <c r="I138" i="5"/>
  <c r="Z138" i="5"/>
  <c r="AN138" i="5"/>
  <c r="AG139" i="5"/>
  <c r="AF139" i="5"/>
  <c r="B213" i="4"/>
  <c r="C213" i="4"/>
  <c r="C139" i="5"/>
  <c r="D213" i="4"/>
  <c r="E139" i="5"/>
  <c r="E35" i="2"/>
  <c r="E213" i="4"/>
  <c r="F139" i="5"/>
  <c r="F35" i="2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I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Z139" i="5"/>
  <c r="AN139" i="5"/>
  <c r="AG140" i="5"/>
  <c r="AF140" i="5"/>
  <c r="B77" i="4"/>
  <c r="C77" i="4"/>
  <c r="C140" i="5"/>
  <c r="D77" i="4"/>
  <c r="E140" i="5"/>
  <c r="E77" i="4"/>
  <c r="F140" i="5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I77" i="4"/>
  <c r="T77" i="4" a="1"/>
  <c r="T77" i="4"/>
  <c r="AC140" i="5"/>
  <c r="U77" i="4" a="1"/>
  <c r="U77" i="4"/>
  <c r="AD140" i="5"/>
  <c r="X77" i="4"/>
  <c r="AI140" i="5"/>
  <c r="Y77" i="4"/>
  <c r="AJ140" i="5"/>
  <c r="Z77" i="4"/>
  <c r="AL140" i="5"/>
  <c r="L140" i="5"/>
  <c r="N140" i="5"/>
  <c r="O140" i="5"/>
  <c r="Z140" i="5"/>
  <c r="AN140" i="5"/>
  <c r="AG141" i="5"/>
  <c r="AF141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O223" i="4"/>
  <c r="U141" i="5"/>
  <c r="P223" i="4"/>
  <c r="W141" i="5"/>
  <c r="Q223" i="4"/>
  <c r="X141" i="5"/>
  <c r="S223" i="4"/>
  <c r="AA141" i="5"/>
  <c r="AI223" i="4"/>
  <c r="T223" i="4" a="1"/>
  <c r="T223" i="4"/>
  <c r="AC141" i="5"/>
  <c r="U223" i="4" a="1"/>
  <c r="U223" i="4"/>
  <c r="AD141" i="5"/>
  <c r="X223" i="4"/>
  <c r="AI141" i="5"/>
  <c r="Y223" i="4"/>
  <c r="AJ141" i="5"/>
  <c r="Z223" i="4"/>
  <c r="AL141" i="5"/>
  <c r="L141" i="5"/>
  <c r="N141" i="5"/>
  <c r="O141" i="5"/>
  <c r="Z141" i="5"/>
  <c r="AN141" i="5"/>
  <c r="O142" i="5"/>
  <c r="K142" i="5"/>
  <c r="AG142" i="5"/>
  <c r="AF142" i="5"/>
  <c r="B204" i="4"/>
  <c r="C204" i="4"/>
  <c r="C142" i="5"/>
  <c r="D204" i="4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I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Z142" i="5"/>
  <c r="AN142" i="5"/>
  <c r="AG143" i="5"/>
  <c r="AF143" i="5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I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252" i="4"/>
  <c r="C252" i="4"/>
  <c r="C145" i="5"/>
  <c r="D252" i="4"/>
  <c r="E145" i="5"/>
  <c r="E252" i="4"/>
  <c r="F145" i="5"/>
  <c r="F252" i="4"/>
  <c r="H145" i="5"/>
  <c r="I145" i="5"/>
  <c r="H252" i="4"/>
  <c r="K145" i="5"/>
  <c r="L252" i="4"/>
  <c r="Q145" i="5"/>
  <c r="M252" i="4"/>
  <c r="R145" i="5"/>
  <c r="T145" i="5"/>
  <c r="O252" i="4"/>
  <c r="U145" i="5"/>
  <c r="P252" i="4"/>
  <c r="W145" i="5"/>
  <c r="Q252" i="4"/>
  <c r="X145" i="5"/>
  <c r="S252" i="4"/>
  <c r="AA145" i="5"/>
  <c r="AI252" i="4"/>
  <c r="T252" i="4" a="1"/>
  <c r="T252" i="4"/>
  <c r="AC145" i="5"/>
  <c r="U252" i="4" a="1"/>
  <c r="U252" i="4"/>
  <c r="AD145" i="5"/>
  <c r="X252" i="4"/>
  <c r="AI145" i="5"/>
  <c r="Y252" i="4"/>
  <c r="AJ145" i="5"/>
  <c r="Z252" i="4"/>
  <c r="AL145" i="5"/>
  <c r="L145" i="5"/>
  <c r="N145" i="5"/>
  <c r="O145" i="5"/>
  <c r="Z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I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Z146" i="5"/>
  <c r="AN146" i="5"/>
  <c r="O147" i="5"/>
  <c r="K147" i="5"/>
  <c r="AG147" i="5"/>
  <c r="AF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I21" i="4"/>
  <c r="T21" i="4" a="1"/>
  <c r="T21" i="4"/>
  <c r="AC147" i="5"/>
  <c r="U21" i="4" a="1"/>
  <c r="U21" i="4"/>
  <c r="AD147" i="5"/>
  <c r="X21" i="4"/>
  <c r="AI147" i="5"/>
  <c r="Y21" i="4"/>
  <c r="AJ147" i="5"/>
  <c r="Z21" i="4"/>
  <c r="AL147" i="5"/>
  <c r="F147" i="5"/>
  <c r="H147" i="5"/>
  <c r="I147" i="5"/>
  <c r="Z147" i="5"/>
  <c r="AN147" i="5"/>
  <c r="O148" i="5"/>
  <c r="K148" i="5"/>
  <c r="AG148" i="5"/>
  <c r="AF148" i="5"/>
  <c r="B253" i="4"/>
  <c r="C253" i="4"/>
  <c r="C148" i="5"/>
  <c r="D253" i="4"/>
  <c r="E148" i="5"/>
  <c r="E253" i="4"/>
  <c r="F148" i="5"/>
  <c r="F253" i="4"/>
  <c r="H148" i="5"/>
  <c r="I148" i="5"/>
  <c r="I253" i="4"/>
  <c r="L148" i="5"/>
  <c r="J253" i="4"/>
  <c r="N148" i="5"/>
  <c r="L253" i="4"/>
  <c r="Q148" i="5"/>
  <c r="M253" i="4"/>
  <c r="R148" i="5"/>
  <c r="T148" i="5"/>
  <c r="U148" i="5"/>
  <c r="P253" i="4"/>
  <c r="W148" i="5"/>
  <c r="Q253" i="4"/>
  <c r="X148" i="5"/>
  <c r="S253" i="4"/>
  <c r="AA148" i="5"/>
  <c r="AI253" i="4"/>
  <c r="T253" i="4" a="1"/>
  <c r="T253" i="4"/>
  <c r="AC148" i="5"/>
  <c r="U253" i="4" a="1"/>
  <c r="U253" i="4"/>
  <c r="AD148" i="5"/>
  <c r="X253" i="4"/>
  <c r="AI148" i="5"/>
  <c r="Y253" i="4"/>
  <c r="AJ148" i="5"/>
  <c r="Z253" i="4"/>
  <c r="AL148" i="5"/>
  <c r="Z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I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8" i="4"/>
  <c r="C78" i="4"/>
  <c r="C150" i="5"/>
  <c r="D78" i="4"/>
  <c r="E150" i="5"/>
  <c r="E78" i="4"/>
  <c r="F150" i="5"/>
  <c r="F78" i="4"/>
  <c r="H150" i="5"/>
  <c r="I150" i="5"/>
  <c r="H78" i="4"/>
  <c r="K150" i="5"/>
  <c r="L78" i="4"/>
  <c r="Q150" i="5"/>
  <c r="M78" i="4"/>
  <c r="R150" i="5"/>
  <c r="T150" i="5"/>
  <c r="O78" i="4"/>
  <c r="U150" i="5"/>
  <c r="P78" i="4"/>
  <c r="W150" i="5"/>
  <c r="Q78" i="4"/>
  <c r="X150" i="5"/>
  <c r="AA150" i="5"/>
  <c r="AI78" i="4"/>
  <c r="T78" i="4" a="1"/>
  <c r="T78" i="4"/>
  <c r="AC150" i="5"/>
  <c r="U78" i="4" a="1"/>
  <c r="U78" i="4"/>
  <c r="AD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AG151" i="5"/>
  <c r="AF151" i="5"/>
  <c r="C44" i="4"/>
  <c r="C151" i="5"/>
  <c r="D44" i="4"/>
  <c r="E151" i="5"/>
  <c r="I40" i="2"/>
  <c r="I44" i="4"/>
  <c r="L151" i="5"/>
  <c r="J40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I44" i="4"/>
  <c r="T44" i="4" a="1"/>
  <c r="T44" i="4"/>
  <c r="AC151" i="5"/>
  <c r="U44" i="4" a="1"/>
  <c r="U44" i="4"/>
  <c r="AD151" i="5"/>
  <c r="X44" i="4"/>
  <c r="AI151" i="5"/>
  <c r="Y44" i="4"/>
  <c r="AJ151" i="5"/>
  <c r="Z44" i="4"/>
  <c r="AL151" i="5"/>
  <c r="F151" i="5"/>
  <c r="H151" i="5"/>
  <c r="I151" i="5"/>
  <c r="Z151" i="5"/>
  <c r="AN151" i="5"/>
  <c r="S34" i="2"/>
  <c r="B214" i="4"/>
  <c r="S214" i="4"/>
  <c r="AA152" i="5"/>
  <c r="P34" i="2"/>
  <c r="P214" i="4"/>
  <c r="W152" i="5"/>
  <c r="AG152" i="5"/>
  <c r="AF152" i="5"/>
  <c r="C34" i="2"/>
  <c r="C214" i="4"/>
  <c r="C152" i="5"/>
  <c r="D34" i="2"/>
  <c r="D214" i="4"/>
  <c r="E152" i="5"/>
  <c r="E34" i="2"/>
  <c r="E214" i="4"/>
  <c r="F152" i="5"/>
  <c r="F34" i="2"/>
  <c r="F214" i="4"/>
  <c r="H152" i="5"/>
  <c r="I152" i="5"/>
  <c r="K152" i="5"/>
  <c r="L34" i="2"/>
  <c r="L214" i="4"/>
  <c r="Q152" i="5"/>
  <c r="M34" i="2"/>
  <c r="M214" i="4"/>
  <c r="R152" i="5"/>
  <c r="T152" i="5"/>
  <c r="O34" i="2"/>
  <c r="O214" i="4"/>
  <c r="U152" i="5"/>
  <c r="Q34" i="2"/>
  <c r="Q214" i="4"/>
  <c r="X152" i="5"/>
  <c r="R34" i="2"/>
  <c r="R35" i="2"/>
  <c r="R214" i="4"/>
  <c r="Z152" i="5"/>
  <c r="AI214" i="4"/>
  <c r="T214" i="4" a="1"/>
  <c r="T214" i="4"/>
  <c r="AC152" i="5"/>
  <c r="U214" i="4" a="1"/>
  <c r="U214" i="4"/>
  <c r="AD152" i="5"/>
  <c r="X34" i="2"/>
  <c r="X214" i="4"/>
  <c r="AI152" i="5"/>
  <c r="Y34" i="2"/>
  <c r="Y214" i="4"/>
  <c r="AJ152" i="5"/>
  <c r="Z34" i="2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I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9" i="4"/>
  <c r="C79" i="4"/>
  <c r="C154" i="5"/>
  <c r="D79" i="4"/>
  <c r="E154" i="5"/>
  <c r="H79" i="4"/>
  <c r="K154" i="5"/>
  <c r="L79" i="4"/>
  <c r="Q154" i="5"/>
  <c r="M79" i="4"/>
  <c r="R154" i="5"/>
  <c r="T154" i="5"/>
  <c r="O79" i="4"/>
  <c r="U154" i="5"/>
  <c r="P79" i="4"/>
  <c r="W154" i="5"/>
  <c r="Q79" i="4"/>
  <c r="X154" i="5"/>
  <c r="AA154" i="5"/>
  <c r="AI79" i="4"/>
  <c r="T79" i="4" a="1"/>
  <c r="T79" i="4"/>
  <c r="AC154" i="5"/>
  <c r="U79" i="4" a="1"/>
  <c r="U79" i="4"/>
  <c r="AD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AG155" i="5"/>
  <c r="AF155" i="5"/>
  <c r="B254" i="4"/>
  <c r="C254" i="4"/>
  <c r="C155" i="5"/>
  <c r="D254" i="4"/>
  <c r="E155" i="5"/>
  <c r="E254" i="4"/>
  <c r="F155" i="5"/>
  <c r="F254" i="4"/>
  <c r="H155" i="5"/>
  <c r="I155" i="5"/>
  <c r="H254" i="4"/>
  <c r="K155" i="5"/>
  <c r="L254" i="4"/>
  <c r="Q155" i="5"/>
  <c r="M254" i="4"/>
  <c r="R155" i="5"/>
  <c r="T155" i="5"/>
  <c r="O254" i="4"/>
  <c r="U155" i="5"/>
  <c r="P254" i="4"/>
  <c r="W155" i="5"/>
  <c r="Q254" i="4"/>
  <c r="X155" i="5"/>
  <c r="S254" i="4"/>
  <c r="AA155" i="5"/>
  <c r="AI254" i="4"/>
  <c r="T254" i="4" a="1"/>
  <c r="T254" i="4"/>
  <c r="AC155" i="5"/>
  <c r="U254" i="4" a="1"/>
  <c r="U254" i="4"/>
  <c r="AD155" i="5"/>
  <c r="X254" i="4"/>
  <c r="AI155" i="5"/>
  <c r="Y254" i="4"/>
  <c r="AJ155" i="5"/>
  <c r="Z254" i="4"/>
  <c r="AL155" i="5"/>
  <c r="L155" i="5"/>
  <c r="N155" i="5"/>
  <c r="O155" i="5"/>
  <c r="Z155" i="5"/>
  <c r="AN155" i="5"/>
  <c r="AA156" i="5"/>
  <c r="B22" i="4"/>
  <c r="P22" i="4"/>
  <c r="W156" i="5"/>
  <c r="O156" i="5"/>
  <c r="H22" i="4"/>
  <c r="K156" i="5"/>
  <c r="AG156" i="5"/>
  <c r="AF156" i="5"/>
  <c r="C22" i="4"/>
  <c r="C156" i="5"/>
  <c r="D22" i="4"/>
  <c r="E156" i="5"/>
  <c r="I22" i="4"/>
  <c r="L156" i="5"/>
  <c r="J22" i="4"/>
  <c r="N156" i="5"/>
  <c r="L22" i="4"/>
  <c r="Q156" i="5"/>
  <c r="M22" i="4"/>
  <c r="R156" i="5"/>
  <c r="T156" i="5"/>
  <c r="O22" i="4"/>
  <c r="U156" i="5"/>
  <c r="Q22" i="4"/>
  <c r="X156" i="5"/>
  <c r="R40" i="2"/>
  <c r="R22" i="4"/>
  <c r="Z156" i="5"/>
  <c r="AI22" i="4"/>
  <c r="T22" i="4" a="1"/>
  <c r="T22" i="4"/>
  <c r="AC156" i="5"/>
  <c r="U22" i="4" a="1"/>
  <c r="U22" i="4"/>
  <c r="AD156" i="5"/>
  <c r="X22" i="4"/>
  <c r="AI156" i="5"/>
  <c r="Y22" i="4"/>
  <c r="AJ156" i="5"/>
  <c r="Z22" i="4"/>
  <c r="AL156" i="5"/>
  <c r="F156" i="5"/>
  <c r="H156" i="5"/>
  <c r="I156" i="5"/>
  <c r="AN156" i="5"/>
  <c r="AG157" i="5"/>
  <c r="AF157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I193" i="4"/>
  <c r="T193" i="4" a="1"/>
  <c r="T193" i="4"/>
  <c r="AC157" i="5"/>
  <c r="U193" i="4" a="1"/>
  <c r="U193" i="4"/>
  <c r="AD157" i="5"/>
  <c r="X193" i="4"/>
  <c r="AI157" i="5"/>
  <c r="Y193" i="4"/>
  <c r="AJ157" i="5"/>
  <c r="Z193" i="4"/>
  <c r="AL157" i="5"/>
  <c r="F157" i="5"/>
  <c r="H157" i="5"/>
  <c r="I157" i="5"/>
  <c r="L157" i="5"/>
  <c r="N157" i="5"/>
  <c r="O157" i="5"/>
  <c r="Z157" i="5"/>
  <c r="AN157" i="5"/>
  <c r="AG158" i="5"/>
  <c r="AF158" i="5"/>
  <c r="B194" i="4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O194" i="4"/>
  <c r="U158" i="5"/>
  <c r="P194" i="4"/>
  <c r="W158" i="5"/>
  <c r="Q194" i="4"/>
  <c r="X158" i="5"/>
  <c r="S194" i="4"/>
  <c r="AA158" i="5"/>
  <c r="AI194" i="4"/>
  <c r="T194" i="4" a="1"/>
  <c r="T194" i="4"/>
  <c r="AC158" i="5"/>
  <c r="U194" i="4" a="1"/>
  <c r="U194" i="4"/>
  <c r="AD158" i="5"/>
  <c r="X194" i="4"/>
  <c r="AI158" i="5"/>
  <c r="Y194" i="4"/>
  <c r="AJ158" i="5"/>
  <c r="Z194" i="4"/>
  <c r="AL158" i="5"/>
  <c r="L158" i="5"/>
  <c r="N158" i="5"/>
  <c r="O158" i="5"/>
  <c r="Z158" i="5"/>
  <c r="AN158" i="5"/>
  <c r="AG159" i="5"/>
  <c r="AF159" i="5"/>
  <c r="B279" i="4"/>
  <c r="C279" i="4"/>
  <c r="C159" i="5"/>
  <c r="D279" i="4"/>
  <c r="E159" i="5"/>
  <c r="E279" i="4"/>
  <c r="F159" i="5"/>
  <c r="F279" i="4"/>
  <c r="H159" i="5"/>
  <c r="I159" i="5"/>
  <c r="H279" i="4"/>
  <c r="K159" i="5"/>
  <c r="L279" i="4"/>
  <c r="Q159" i="5"/>
  <c r="M279" i="4"/>
  <c r="R159" i="5"/>
  <c r="T159" i="5"/>
  <c r="O279" i="4"/>
  <c r="U159" i="5"/>
  <c r="P279" i="4"/>
  <c r="W159" i="5"/>
  <c r="Q279" i="4"/>
  <c r="X159" i="5"/>
  <c r="S279" i="4"/>
  <c r="AA159" i="5"/>
  <c r="AI279" i="4"/>
  <c r="T279" i="4" a="1"/>
  <c r="T279" i="4"/>
  <c r="AC159" i="5"/>
  <c r="U279" i="4" a="1"/>
  <c r="U279" i="4"/>
  <c r="AD159" i="5"/>
  <c r="X279" i="4"/>
  <c r="AI159" i="5"/>
  <c r="Y279" i="4"/>
  <c r="AJ159" i="5"/>
  <c r="Z279" i="4"/>
  <c r="AL159" i="5"/>
  <c r="L159" i="5"/>
  <c r="N159" i="5"/>
  <c r="O159" i="5"/>
  <c r="Z159" i="5"/>
  <c r="AN159" i="5"/>
  <c r="AG160" i="5"/>
  <c r="AF160" i="5"/>
  <c r="B280" i="4"/>
  <c r="C280" i="4"/>
  <c r="C160" i="5"/>
  <c r="D280" i="4"/>
  <c r="E160" i="5"/>
  <c r="E280" i="4"/>
  <c r="F160" i="5"/>
  <c r="F280" i="4"/>
  <c r="H160" i="5"/>
  <c r="I160" i="5"/>
  <c r="H280" i="4"/>
  <c r="K160" i="5"/>
  <c r="L280" i="4"/>
  <c r="Q160" i="5"/>
  <c r="M280" i="4"/>
  <c r="R160" i="5"/>
  <c r="T160" i="5"/>
  <c r="O280" i="4"/>
  <c r="U160" i="5"/>
  <c r="P280" i="4"/>
  <c r="W160" i="5"/>
  <c r="Q280" i="4"/>
  <c r="X160" i="5"/>
  <c r="S280" i="4"/>
  <c r="AA160" i="5"/>
  <c r="AI280" i="4"/>
  <c r="T280" i="4" a="1"/>
  <c r="T280" i="4"/>
  <c r="AC160" i="5"/>
  <c r="U280" i="4" a="1"/>
  <c r="U280" i="4"/>
  <c r="AD160" i="5"/>
  <c r="X280" i="4"/>
  <c r="AI160" i="5"/>
  <c r="Y280" i="4"/>
  <c r="AJ160" i="5"/>
  <c r="Z280" i="4"/>
  <c r="AL160" i="5"/>
  <c r="L160" i="5"/>
  <c r="N160" i="5"/>
  <c r="O160" i="5"/>
  <c r="Z160" i="5"/>
  <c r="AN160" i="5"/>
  <c r="AG161" i="5"/>
  <c r="AF161" i="5"/>
  <c r="B46" i="4"/>
  <c r="C46" i="4"/>
  <c r="C161" i="5"/>
  <c r="D46" i="4"/>
  <c r="E161" i="5"/>
  <c r="H46" i="4"/>
  <c r="K161" i="5"/>
  <c r="L46" i="4"/>
  <c r="Q161" i="5"/>
  <c r="M46" i="4"/>
  <c r="R161" i="5"/>
  <c r="N27" i="2"/>
  <c r="N46" i="4"/>
  <c r="T161" i="5"/>
  <c r="O46" i="4"/>
  <c r="U161" i="5"/>
  <c r="P46" i="4"/>
  <c r="W161" i="5"/>
  <c r="Q46" i="4"/>
  <c r="X161" i="5"/>
  <c r="AA161" i="5"/>
  <c r="AI46" i="4"/>
  <c r="T46" i="4" a="1"/>
  <c r="T46" i="4"/>
  <c r="AC161" i="5"/>
  <c r="U46" i="4" a="1"/>
  <c r="U46" i="4"/>
  <c r="AD161" i="5"/>
  <c r="X46" i="4"/>
  <c r="AI161" i="5"/>
  <c r="Y46" i="4"/>
  <c r="AJ161" i="5"/>
  <c r="Z46" i="4"/>
  <c r="AL161" i="5"/>
  <c r="F161" i="5"/>
  <c r="H161" i="5"/>
  <c r="I161" i="5"/>
  <c r="L161" i="5"/>
  <c r="N161" i="5"/>
  <c r="O161" i="5"/>
  <c r="Z161" i="5"/>
  <c r="AN161" i="5"/>
  <c r="AG162" i="5"/>
  <c r="AF162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I80" i="4"/>
  <c r="T80" i="4" a="1"/>
  <c r="T80" i="4"/>
  <c r="AC162" i="5"/>
  <c r="U80" i="4" a="1"/>
  <c r="U80" i="4"/>
  <c r="AD162" i="5"/>
  <c r="Y80" i="4"/>
  <c r="AJ162" i="5"/>
  <c r="Z80" i="4"/>
  <c r="AL162" i="5"/>
  <c r="F162" i="5"/>
  <c r="H162" i="5"/>
  <c r="I162" i="5"/>
  <c r="L162" i="5"/>
  <c r="N162" i="5"/>
  <c r="O162" i="5"/>
  <c r="Z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I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82" i="4"/>
  <c r="C82" i="4"/>
  <c r="C164" i="5"/>
  <c r="D82" i="4"/>
  <c r="E164" i="5"/>
  <c r="E82" i="4"/>
  <c r="F164" i="5"/>
  <c r="F82" i="4"/>
  <c r="H164" i="5"/>
  <c r="I164" i="5"/>
  <c r="I18" i="2"/>
  <c r="I82" i="4"/>
  <c r="L164" i="5"/>
  <c r="J18" i="2"/>
  <c r="J82" i="4"/>
  <c r="N164" i="5"/>
  <c r="L82" i="4"/>
  <c r="Q164" i="5"/>
  <c r="M82" i="4"/>
  <c r="R164" i="5"/>
  <c r="T164" i="5"/>
  <c r="O82" i="4"/>
  <c r="U164" i="5"/>
  <c r="P82" i="4"/>
  <c r="W164" i="5"/>
  <c r="Q82" i="4"/>
  <c r="X164" i="5"/>
  <c r="S82" i="4"/>
  <c r="AA164" i="5"/>
  <c r="AI82" i="4"/>
  <c r="T82" i="4" a="1"/>
  <c r="T82" i="4"/>
  <c r="AC164" i="5"/>
  <c r="U82" i="4" a="1"/>
  <c r="U82" i="4"/>
  <c r="AD164" i="5"/>
  <c r="X82" i="4"/>
  <c r="AI164" i="5"/>
  <c r="Y82" i="4"/>
  <c r="AJ164" i="5"/>
  <c r="Z82" i="4"/>
  <c r="AL164" i="5"/>
  <c r="Z164" i="5"/>
  <c r="AN164" i="5"/>
  <c r="O165" i="5"/>
  <c r="B83" i="4"/>
  <c r="H83" i="4"/>
  <c r="K165" i="5"/>
  <c r="AG165" i="5"/>
  <c r="AF165" i="5"/>
  <c r="C83" i="4"/>
  <c r="C165" i="5"/>
  <c r="D83" i="4"/>
  <c r="E165" i="5"/>
  <c r="E15" i="2"/>
  <c r="E83" i="4"/>
  <c r="F165" i="5"/>
  <c r="F15" i="2"/>
  <c r="F83" i="4"/>
  <c r="H165" i="5"/>
  <c r="I165" i="5"/>
  <c r="L165" i="5"/>
  <c r="J15" i="2"/>
  <c r="J83" i="4"/>
  <c r="N165" i="5"/>
  <c r="L83" i="4"/>
  <c r="Q165" i="5"/>
  <c r="M83" i="4"/>
  <c r="R165" i="5"/>
  <c r="T165" i="5"/>
  <c r="O83" i="4"/>
  <c r="U165" i="5"/>
  <c r="P83" i="4"/>
  <c r="W165" i="5"/>
  <c r="Q83" i="4"/>
  <c r="X165" i="5"/>
  <c r="S83" i="4"/>
  <c r="AA165" i="5"/>
  <c r="AI83" i="4"/>
  <c r="T83" i="4" a="1"/>
  <c r="T83" i="4"/>
  <c r="AC165" i="5"/>
  <c r="U83" i="4" a="1"/>
  <c r="U83" i="4"/>
  <c r="AD165" i="5"/>
  <c r="X83" i="4"/>
  <c r="AI165" i="5"/>
  <c r="Y83" i="4"/>
  <c r="AJ165" i="5"/>
  <c r="Z83" i="4"/>
  <c r="AL165" i="5"/>
  <c r="Z165" i="5"/>
  <c r="AN165" i="5"/>
  <c r="O166" i="5"/>
  <c r="B84" i="4"/>
  <c r="H84" i="4"/>
  <c r="K166" i="5"/>
  <c r="AG166" i="5"/>
  <c r="AF166" i="5"/>
  <c r="C84" i="4"/>
  <c r="C166" i="5"/>
  <c r="D84" i="4"/>
  <c r="E166" i="5"/>
  <c r="E84" i="4"/>
  <c r="F166" i="5"/>
  <c r="F84" i="4"/>
  <c r="H166" i="5"/>
  <c r="I166" i="5"/>
  <c r="I16" i="2"/>
  <c r="I84" i="4"/>
  <c r="L166" i="5"/>
  <c r="J16" i="2"/>
  <c r="J84" i="4"/>
  <c r="N166" i="5"/>
  <c r="L84" i="4"/>
  <c r="Q166" i="5"/>
  <c r="M84" i="4"/>
  <c r="R166" i="5"/>
  <c r="T166" i="5"/>
  <c r="O84" i="4"/>
  <c r="U166" i="5"/>
  <c r="P84" i="4"/>
  <c r="W166" i="5"/>
  <c r="Q84" i="4"/>
  <c r="X166" i="5"/>
  <c r="AA166" i="5"/>
  <c r="AI84" i="4"/>
  <c r="T84" i="4" a="1"/>
  <c r="T84" i="4"/>
  <c r="AC166" i="5"/>
  <c r="U84" i="4" a="1"/>
  <c r="U84" i="4"/>
  <c r="AD166" i="5"/>
  <c r="AI166" i="5"/>
  <c r="Y84" i="4"/>
  <c r="AJ166" i="5"/>
  <c r="Z84" i="4"/>
  <c r="AL166" i="5"/>
  <c r="Z166" i="5"/>
  <c r="AN166" i="5"/>
  <c r="AG167" i="5"/>
  <c r="AF167" i="5"/>
  <c r="B255" i="4"/>
  <c r="C255" i="4"/>
  <c r="C167" i="5"/>
  <c r="D255" i="4"/>
  <c r="E167" i="5"/>
  <c r="K167" i="5"/>
  <c r="L255" i="4"/>
  <c r="Q167" i="5"/>
  <c r="M255" i="4"/>
  <c r="R167" i="5"/>
  <c r="T167" i="5"/>
  <c r="U167" i="5"/>
  <c r="P255" i="4"/>
  <c r="W167" i="5"/>
  <c r="Q255" i="4"/>
  <c r="X167" i="5"/>
  <c r="S255" i="4"/>
  <c r="AA167" i="5"/>
  <c r="AI255" i="4"/>
  <c r="T255" i="4" a="1"/>
  <c r="T255" i="4"/>
  <c r="AC167" i="5"/>
  <c r="U255" i="4" a="1"/>
  <c r="U255" i="4"/>
  <c r="AD167" i="5"/>
  <c r="X255" i="4"/>
  <c r="AI167" i="5"/>
  <c r="Y255" i="4"/>
  <c r="AJ167" i="5"/>
  <c r="Z255" i="4"/>
  <c r="AL167" i="5"/>
  <c r="F167" i="5"/>
  <c r="H167" i="5"/>
  <c r="I167" i="5"/>
  <c r="L167" i="5"/>
  <c r="N167" i="5"/>
  <c r="O167" i="5"/>
  <c r="Z167" i="5"/>
  <c r="AN167" i="5"/>
  <c r="AG168" i="5"/>
  <c r="AF168" i="5"/>
  <c r="B281" i="4"/>
  <c r="C281" i="4"/>
  <c r="C168" i="5"/>
  <c r="D281" i="4"/>
  <c r="E168" i="5"/>
  <c r="K168" i="5"/>
  <c r="L281" i="4"/>
  <c r="Q168" i="5"/>
  <c r="M281" i="4"/>
  <c r="R168" i="5"/>
  <c r="T168" i="5"/>
  <c r="U168" i="5"/>
  <c r="P281" i="4"/>
  <c r="W168" i="5"/>
  <c r="Q281" i="4"/>
  <c r="X168" i="5"/>
  <c r="S281" i="4"/>
  <c r="AA168" i="5"/>
  <c r="AI281" i="4"/>
  <c r="T281" i="4" a="1"/>
  <c r="T281" i="4"/>
  <c r="AC168" i="5"/>
  <c r="U281" i="4" a="1"/>
  <c r="U281" i="4"/>
  <c r="AD168" i="5"/>
  <c r="X281" i="4"/>
  <c r="AI168" i="5"/>
  <c r="Y281" i="4"/>
  <c r="AJ168" i="5"/>
  <c r="Z281" i="4"/>
  <c r="AL168" i="5"/>
  <c r="F168" i="5"/>
  <c r="H168" i="5"/>
  <c r="I168" i="5"/>
  <c r="L168" i="5"/>
  <c r="N168" i="5"/>
  <c r="O168" i="5"/>
  <c r="Z168" i="5"/>
  <c r="AN168" i="5"/>
  <c r="AG169" i="5"/>
  <c r="AF169" i="5"/>
  <c r="B256" i="4"/>
  <c r="C256" i="4"/>
  <c r="C169" i="5"/>
  <c r="E169" i="5"/>
  <c r="K169" i="5"/>
  <c r="L256" i="4"/>
  <c r="Q169" i="5"/>
  <c r="M256" i="4"/>
  <c r="R169" i="5"/>
  <c r="T169" i="5"/>
  <c r="O256" i="4"/>
  <c r="U169" i="5"/>
  <c r="P256" i="4"/>
  <c r="W169" i="5"/>
  <c r="Q256" i="4"/>
  <c r="X169" i="5"/>
  <c r="S256" i="4"/>
  <c r="AA169" i="5"/>
  <c r="AI256" i="4"/>
  <c r="T256" i="4" a="1"/>
  <c r="T256" i="4"/>
  <c r="AC169" i="5"/>
  <c r="U256" i="4" a="1"/>
  <c r="U256" i="4"/>
  <c r="AD169" i="5"/>
  <c r="X256" i="4"/>
  <c r="AI169" i="5"/>
  <c r="Y256" i="4"/>
  <c r="AJ169" i="5"/>
  <c r="Z256" i="4"/>
  <c r="AL169" i="5"/>
  <c r="F169" i="5"/>
  <c r="H169" i="5"/>
  <c r="I169" i="5"/>
  <c r="L169" i="5"/>
  <c r="N169" i="5"/>
  <c r="O169" i="5"/>
  <c r="Z169" i="5"/>
  <c r="AN169" i="5"/>
  <c r="AG170" i="5"/>
  <c r="AF170" i="5"/>
  <c r="B87" i="4"/>
  <c r="C87" i="4"/>
  <c r="C170" i="5"/>
  <c r="D87" i="4"/>
  <c r="E170" i="5"/>
  <c r="H87" i="4"/>
  <c r="K170" i="5"/>
  <c r="L87" i="4"/>
  <c r="Q170" i="5"/>
  <c r="M87" i="4"/>
  <c r="R170" i="5"/>
  <c r="T170" i="5"/>
  <c r="O87" i="4"/>
  <c r="U170" i="5"/>
  <c r="P87" i="4"/>
  <c r="W170" i="5"/>
  <c r="Q87" i="4"/>
  <c r="X170" i="5"/>
  <c r="S87" i="4"/>
  <c r="AA170" i="5"/>
  <c r="AI87" i="4"/>
  <c r="T87" i="4" a="1"/>
  <c r="T87" i="4"/>
  <c r="AC170" i="5"/>
  <c r="U87" i="4" a="1"/>
  <c r="U87" i="4"/>
  <c r="AD170" i="5"/>
  <c r="X87" i="4"/>
  <c r="AI170" i="5"/>
  <c r="Y87" i="4"/>
  <c r="AJ170" i="5"/>
  <c r="Z87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291" i="4"/>
  <c r="C291" i="4"/>
  <c r="C172" i="5"/>
  <c r="D291" i="4"/>
  <c r="E172" i="5"/>
  <c r="K172" i="5"/>
  <c r="L291" i="4"/>
  <c r="Q172" i="5"/>
  <c r="M291" i="4"/>
  <c r="R172" i="5"/>
  <c r="T172" i="5"/>
  <c r="U172" i="5"/>
  <c r="P291" i="4"/>
  <c r="W172" i="5"/>
  <c r="Q291" i="4"/>
  <c r="X172" i="5"/>
  <c r="AA172" i="5"/>
  <c r="AI291" i="4"/>
  <c r="T291" i="4" a="1"/>
  <c r="T291" i="4"/>
  <c r="AC172" i="5"/>
  <c r="U291" i="4" a="1"/>
  <c r="U291" i="4"/>
  <c r="AD172" i="5"/>
  <c r="AI172" i="5"/>
  <c r="Y291" i="4"/>
  <c r="AJ172" i="5"/>
  <c r="Z291" i="4"/>
  <c r="AL172" i="5"/>
  <c r="F172" i="5"/>
  <c r="H172" i="5"/>
  <c r="I172" i="5"/>
  <c r="L172" i="5"/>
  <c r="N172" i="5"/>
  <c r="O172" i="5"/>
  <c r="Z172" i="5"/>
  <c r="AN172" i="5"/>
  <c r="B23" i="4"/>
  <c r="S23" i="4"/>
  <c r="AA173" i="5"/>
  <c r="P23" i="4"/>
  <c r="W173" i="5"/>
  <c r="O173" i="5"/>
  <c r="K173" i="5"/>
  <c r="AG173" i="5"/>
  <c r="AF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O23" i="4"/>
  <c r="U173" i="5"/>
  <c r="Q23" i="4"/>
  <c r="X173" i="5"/>
  <c r="R18" i="2"/>
  <c r="R23" i="4"/>
  <c r="Z173" i="5"/>
  <c r="AI23" i="4"/>
  <c r="T23" i="4" a="1"/>
  <c r="T23" i="4"/>
  <c r="AC173" i="5"/>
  <c r="U23" i="4" a="1"/>
  <c r="U23" i="4"/>
  <c r="AD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2" i="2"/>
  <c r="H7" i="4"/>
  <c r="K174" i="5"/>
  <c r="AG174" i="5"/>
  <c r="AF174" i="5"/>
  <c r="C7" i="4"/>
  <c r="C174" i="5"/>
  <c r="D7" i="4"/>
  <c r="E174" i="5"/>
  <c r="E2" i="2"/>
  <c r="E7" i="4"/>
  <c r="F174" i="5"/>
  <c r="F2" i="2"/>
  <c r="F7" i="4"/>
  <c r="H174" i="5"/>
  <c r="I174" i="5"/>
  <c r="I2" i="2"/>
  <c r="I7" i="4"/>
  <c r="L174" i="5"/>
  <c r="J2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I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AG175" i="5"/>
  <c r="AF175" i="5"/>
  <c r="C161" i="4"/>
  <c r="C175" i="5"/>
  <c r="D161" i="4"/>
  <c r="E175" i="5"/>
  <c r="L175" i="5"/>
  <c r="N175" i="5"/>
  <c r="L161" i="4"/>
  <c r="Q175" i="5"/>
  <c r="O161" i="4"/>
  <c r="U175" i="5"/>
  <c r="Q161" i="4"/>
  <c r="X175" i="5"/>
  <c r="R161" i="4"/>
  <c r="Z175" i="5"/>
  <c r="AI161" i="4"/>
  <c r="T161" i="4" a="1"/>
  <c r="T161" i="4"/>
  <c r="AC175" i="5"/>
  <c r="AD175" i="5"/>
  <c r="X161" i="4"/>
  <c r="AI175" i="5"/>
  <c r="Y161" i="4"/>
  <c r="AJ175" i="5"/>
  <c r="Z161" i="4"/>
  <c r="AL175" i="5"/>
  <c r="F175" i="5"/>
  <c r="R175" i="5"/>
  <c r="T175" i="5"/>
  <c r="H175" i="5"/>
  <c r="I175" i="5"/>
  <c r="AN175" i="5"/>
  <c r="AA176" i="5"/>
  <c r="P162" i="4"/>
  <c r="W176" i="5"/>
  <c r="O176" i="5"/>
  <c r="K176" i="5"/>
  <c r="AG176" i="5"/>
  <c r="AF176" i="5"/>
  <c r="C162" i="4"/>
  <c r="C176" i="5"/>
  <c r="D162" i="4"/>
  <c r="E176" i="5"/>
  <c r="L176" i="5"/>
  <c r="N176" i="5"/>
  <c r="L162" i="4"/>
  <c r="Q176" i="5"/>
  <c r="O162" i="4"/>
  <c r="U176" i="5"/>
  <c r="Q162" i="4"/>
  <c r="X176" i="5"/>
  <c r="R162" i="4"/>
  <c r="Z176" i="5"/>
  <c r="AI162" i="4"/>
  <c r="T162" i="4" a="1"/>
  <c r="T162" i="4"/>
  <c r="AC176" i="5"/>
  <c r="AD176" i="5"/>
  <c r="X162" i="4"/>
  <c r="AI176" i="5"/>
  <c r="Y162" i="4"/>
  <c r="AJ176" i="5"/>
  <c r="Z162" i="4"/>
  <c r="AL176" i="5"/>
  <c r="F176" i="5"/>
  <c r="R176" i="5"/>
  <c r="T176" i="5"/>
  <c r="H176" i="5"/>
  <c r="I176" i="5"/>
  <c r="AN176" i="5"/>
  <c r="AA177" i="5"/>
  <c r="P163" i="4"/>
  <c r="W177" i="5"/>
  <c r="O177" i="5"/>
  <c r="H163" i="4"/>
  <c r="K177" i="5"/>
  <c r="AG177" i="5"/>
  <c r="AF177" i="5"/>
  <c r="C163" i="4"/>
  <c r="C177" i="5"/>
  <c r="D163" i="4"/>
  <c r="E177" i="5"/>
  <c r="L177" i="5"/>
  <c r="J163" i="4"/>
  <c r="N177" i="5"/>
  <c r="L163" i="4"/>
  <c r="Q177" i="5"/>
  <c r="M163" i="4"/>
  <c r="R177" i="5"/>
  <c r="T177" i="5"/>
  <c r="O163" i="4"/>
  <c r="U177" i="5"/>
  <c r="Q163" i="4"/>
  <c r="X177" i="5"/>
  <c r="R163" i="4"/>
  <c r="Z177" i="5"/>
  <c r="AI163" i="4"/>
  <c r="T163" i="4" a="1"/>
  <c r="T163" i="4"/>
  <c r="AC177" i="5"/>
  <c r="AD177" i="5"/>
  <c r="X163" i="4"/>
  <c r="AI177" i="5"/>
  <c r="Y163" i="4"/>
  <c r="AJ177" i="5"/>
  <c r="Z163" i="4"/>
  <c r="AL177" i="5"/>
  <c r="F177" i="5"/>
  <c r="H177" i="5"/>
  <c r="I177" i="5"/>
  <c r="AN177" i="5"/>
  <c r="AG178" i="5"/>
  <c r="AF178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I111" i="4"/>
  <c r="T111" i="4" a="1"/>
  <c r="T111" i="4"/>
  <c r="AC178" i="5"/>
  <c r="U111" i="4" a="1"/>
  <c r="U111" i="4"/>
  <c r="AD178" i="5"/>
  <c r="X111" i="4"/>
  <c r="AI178" i="5"/>
  <c r="Y111" i="4"/>
  <c r="AJ178" i="5"/>
  <c r="Z111" i="4"/>
  <c r="AL178" i="5"/>
  <c r="F178" i="5"/>
  <c r="L178" i="5"/>
  <c r="N178" i="5"/>
  <c r="O178" i="5"/>
  <c r="Z178" i="5"/>
  <c r="H178" i="5"/>
  <c r="I178" i="5"/>
  <c r="AN178" i="5"/>
  <c r="AG179" i="5"/>
  <c r="AF179" i="5"/>
  <c r="B112" i="4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O112" i="4"/>
  <c r="U179" i="5"/>
  <c r="P112" i="4"/>
  <c r="W179" i="5"/>
  <c r="Q112" i="4"/>
  <c r="X179" i="5"/>
  <c r="S112" i="4"/>
  <c r="AA179" i="5"/>
  <c r="AI112" i="4"/>
  <c r="T112" i="4" a="1"/>
  <c r="T112" i="4"/>
  <c r="AC179" i="5"/>
  <c r="U112" i="4" a="1"/>
  <c r="U112" i="4"/>
  <c r="AD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AG180" i="5"/>
  <c r="AF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I113" i="4"/>
  <c r="T113" i="4" a="1"/>
  <c r="T113" i="4"/>
  <c r="AC180" i="5"/>
  <c r="U113" i="4" a="1"/>
  <c r="U113" i="4"/>
  <c r="AD180" i="5"/>
  <c r="AI180" i="5"/>
  <c r="Y113" i="4"/>
  <c r="AJ180" i="5"/>
  <c r="Z113" i="4"/>
  <c r="AL180" i="5"/>
  <c r="AN180" i="5"/>
  <c r="B24" i="4"/>
  <c r="S24" i="4"/>
  <c r="AA181" i="5"/>
  <c r="P24" i="4"/>
  <c r="W181" i="5"/>
  <c r="O181" i="5"/>
  <c r="H24" i="4"/>
  <c r="K181" i="5"/>
  <c r="AG181" i="5"/>
  <c r="AF181" i="5"/>
  <c r="C24" i="4"/>
  <c r="C181" i="5"/>
  <c r="D24" i="4"/>
  <c r="E181" i="5"/>
  <c r="E24" i="4"/>
  <c r="F181" i="5"/>
  <c r="F24" i="4"/>
  <c r="H181" i="5"/>
  <c r="I181" i="5"/>
  <c r="I22" i="2"/>
  <c r="I24" i="4"/>
  <c r="L181" i="5"/>
  <c r="J22" i="2"/>
  <c r="J24" i="4"/>
  <c r="N181" i="5"/>
  <c r="L24" i="4"/>
  <c r="Q181" i="5"/>
  <c r="M24" i="4"/>
  <c r="R181" i="5"/>
  <c r="T181" i="5"/>
  <c r="U181" i="5"/>
  <c r="Q24" i="4"/>
  <c r="X181" i="5"/>
  <c r="R22" i="2"/>
  <c r="R24" i="4"/>
  <c r="Z181" i="5"/>
  <c r="AI24" i="4"/>
  <c r="T24" i="4" a="1"/>
  <c r="T24" i="4"/>
  <c r="AC181" i="5"/>
  <c r="U24" i="4" a="1"/>
  <c r="U24" i="4"/>
  <c r="AD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AG182" i="5"/>
  <c r="AF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5" i="4"/>
  <c r="Z182" i="5"/>
  <c r="AI25" i="4"/>
  <c r="T25" i="4" a="1"/>
  <c r="T25" i="4"/>
  <c r="AC182" i="5"/>
  <c r="U25" i="4" a="1"/>
  <c r="U25" i="4"/>
  <c r="AD182" i="5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AG183" i="5"/>
  <c r="AF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I26" i="4"/>
  <c r="T26" i="4" a="1"/>
  <c r="T26" i="4"/>
  <c r="AC183" i="5"/>
  <c r="U26" i="4" a="1"/>
  <c r="U26" i="4"/>
  <c r="AD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AG184" i="5"/>
  <c r="AF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I130" i="4"/>
  <c r="T130" i="4" a="1"/>
  <c r="T130" i="4"/>
  <c r="AC184" i="5"/>
  <c r="U130" i="4" a="1"/>
  <c r="U130" i="4"/>
  <c r="AD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AG185" i="5"/>
  <c r="AF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O131" i="4"/>
  <c r="U185" i="5"/>
  <c r="Q131" i="4"/>
  <c r="X185" i="5"/>
  <c r="R131" i="4"/>
  <c r="Z185" i="5"/>
  <c r="AI131" i="4"/>
  <c r="T131" i="4" a="1"/>
  <c r="T131" i="4"/>
  <c r="AC185" i="5"/>
  <c r="U131" i="4" a="1"/>
  <c r="U131" i="4"/>
  <c r="AD185" i="5"/>
  <c r="AI185" i="5"/>
  <c r="Y131" i="4"/>
  <c r="AJ185" i="5"/>
  <c r="Z131" i="4"/>
  <c r="AL185" i="5"/>
  <c r="AN185" i="5"/>
  <c r="S132" i="4"/>
  <c r="AA186" i="5"/>
  <c r="P132" i="4"/>
  <c r="W186" i="5"/>
  <c r="O186" i="5"/>
  <c r="K186" i="5"/>
  <c r="AG186" i="5"/>
  <c r="AF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132" i="4"/>
  <c r="Z186" i="5"/>
  <c r="AI132" i="4"/>
  <c r="T132" i="4" a="1"/>
  <c r="T132" i="4"/>
  <c r="AC186" i="5"/>
  <c r="U132" i="4" a="1"/>
  <c r="U132" i="4"/>
  <c r="AD186" i="5"/>
  <c r="X132" i="4"/>
  <c r="AI186" i="5"/>
  <c r="Y132" i="4"/>
  <c r="AJ186" i="5"/>
  <c r="Z132" i="4"/>
  <c r="AL186" i="5"/>
  <c r="AN186" i="5"/>
  <c r="S133" i="4"/>
  <c r="AA187" i="5"/>
  <c r="P133" i="4"/>
  <c r="W187" i="5"/>
  <c r="O187" i="5"/>
  <c r="K187" i="5"/>
  <c r="AG187" i="5"/>
  <c r="AF187" i="5"/>
  <c r="C133" i="4"/>
  <c r="C187" i="5"/>
  <c r="D133" i="4"/>
  <c r="E187" i="5"/>
  <c r="E133" i="4"/>
  <c r="F187" i="5"/>
  <c r="F133" i="4"/>
  <c r="H187" i="5"/>
  <c r="I187" i="5"/>
  <c r="I34" i="2"/>
  <c r="I133" i="4"/>
  <c r="L187" i="5"/>
  <c r="J34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I133" i="4"/>
  <c r="T133" i="4" a="1"/>
  <c r="T133" i="4"/>
  <c r="AC187" i="5"/>
  <c r="U133" i="4" a="1"/>
  <c r="U133" i="4"/>
  <c r="AD187" i="5"/>
  <c r="AI187" i="5"/>
  <c r="Y133" i="4"/>
  <c r="AJ187" i="5"/>
  <c r="Z133" i="4"/>
  <c r="AL187" i="5"/>
  <c r="AN187" i="5"/>
  <c r="AA188" i="5"/>
  <c r="P164" i="4"/>
  <c r="W188" i="5"/>
  <c r="O188" i="5"/>
  <c r="K188" i="5"/>
  <c r="AG188" i="5"/>
  <c r="AF188" i="5"/>
  <c r="C164" i="4"/>
  <c r="C188" i="5"/>
  <c r="D164" i="4"/>
  <c r="E188" i="5"/>
  <c r="L188" i="5"/>
  <c r="N188" i="5"/>
  <c r="L164" i="4"/>
  <c r="Q188" i="5"/>
  <c r="O164" i="4"/>
  <c r="U188" i="5"/>
  <c r="Q164" i="4"/>
  <c r="X188" i="5"/>
  <c r="R164" i="4"/>
  <c r="Z188" i="5"/>
  <c r="AI164" i="4"/>
  <c r="T164" i="4" a="1"/>
  <c r="T164" i="4"/>
  <c r="AC188" i="5"/>
  <c r="AD188" i="5"/>
  <c r="X164" i="4"/>
  <c r="AI188" i="5"/>
  <c r="Y164" i="4"/>
  <c r="AJ188" i="5"/>
  <c r="Z164" i="4"/>
  <c r="AL188" i="5"/>
  <c r="R188" i="5"/>
  <c r="T188" i="5"/>
  <c r="F188" i="5"/>
  <c r="H188" i="5"/>
  <c r="I188" i="5"/>
  <c r="AN188" i="5"/>
  <c r="AG189" i="5"/>
  <c r="AF189" i="5"/>
  <c r="C165" i="4"/>
  <c r="C189" i="5"/>
  <c r="D165" i="4"/>
  <c r="E189" i="5"/>
  <c r="K189" i="5"/>
  <c r="L165" i="4"/>
  <c r="Q189" i="5"/>
  <c r="M165" i="4"/>
  <c r="R189" i="5"/>
  <c r="T189" i="5"/>
  <c r="O165" i="4"/>
  <c r="U189" i="5"/>
  <c r="P165" i="4"/>
  <c r="W189" i="5"/>
  <c r="Q165" i="4"/>
  <c r="X189" i="5"/>
  <c r="S165" i="4"/>
  <c r="AA189" i="5"/>
  <c r="AI165" i="4"/>
  <c r="T165" i="4" a="1"/>
  <c r="T165" i="4"/>
  <c r="AC189" i="5"/>
  <c r="U165" i="4" a="1"/>
  <c r="U165" i="4"/>
  <c r="AD189" i="5"/>
  <c r="X165" i="4"/>
  <c r="AI189" i="5"/>
  <c r="Y165" i="4"/>
  <c r="AJ189" i="5"/>
  <c r="Z165" i="4"/>
  <c r="AL189" i="5"/>
  <c r="F189" i="5"/>
  <c r="H189" i="5"/>
  <c r="I189" i="5"/>
  <c r="L189" i="5"/>
  <c r="N189" i="5"/>
  <c r="O189" i="5"/>
  <c r="Z189" i="5"/>
  <c r="AN189" i="5"/>
  <c r="AG190" i="5"/>
  <c r="AF190" i="5"/>
  <c r="C166" i="4"/>
  <c r="C190" i="5"/>
  <c r="T190" i="5"/>
  <c r="O166" i="4"/>
  <c r="U190" i="5"/>
  <c r="P166" i="4"/>
  <c r="W190" i="5"/>
  <c r="Q166" i="4"/>
  <c r="X190" i="5"/>
  <c r="AA190" i="5"/>
  <c r="AI166" i="4"/>
  <c r="T166" i="4" a="1"/>
  <c r="T166" i="4"/>
  <c r="AC190" i="5"/>
  <c r="U166" i="4" a="1"/>
  <c r="U166" i="4"/>
  <c r="AD190" i="5"/>
  <c r="X166" i="4"/>
  <c r="AI190" i="5"/>
  <c r="Y166" i="4"/>
  <c r="AJ190" i="5"/>
  <c r="Z166" i="4"/>
  <c r="AL190" i="5"/>
  <c r="F190" i="5"/>
  <c r="H190" i="5"/>
  <c r="I190" i="5"/>
  <c r="L190" i="5"/>
  <c r="N190" i="5"/>
  <c r="O190" i="5"/>
  <c r="Z190" i="5"/>
  <c r="AN190" i="5"/>
  <c r="AG191" i="5"/>
  <c r="AF191" i="5"/>
  <c r="C167" i="4"/>
  <c r="C191" i="5"/>
  <c r="T191" i="5"/>
  <c r="O167" i="4"/>
  <c r="U191" i="5"/>
  <c r="P167" i="4"/>
  <c r="W191" i="5"/>
  <c r="Q167" i="4"/>
  <c r="X191" i="5"/>
  <c r="AA191" i="5"/>
  <c r="AI167" i="4"/>
  <c r="T167" i="4" a="1"/>
  <c r="T167" i="4"/>
  <c r="AC191" i="5"/>
  <c r="U167" i="4" a="1"/>
  <c r="U167" i="4"/>
  <c r="AD191" i="5"/>
  <c r="X167" i="4"/>
  <c r="AI191" i="5"/>
  <c r="Y167" i="4"/>
  <c r="AJ191" i="5"/>
  <c r="Z167" i="4"/>
  <c r="AL191" i="5"/>
  <c r="F191" i="5"/>
  <c r="H191" i="5"/>
  <c r="I191" i="5"/>
  <c r="L191" i="5"/>
  <c r="N191" i="5"/>
  <c r="O191" i="5"/>
  <c r="Z191" i="5"/>
  <c r="AN191" i="5"/>
  <c r="AG192" i="5"/>
  <c r="AF192" i="5"/>
  <c r="C168" i="4"/>
  <c r="C192" i="5"/>
  <c r="D168" i="4"/>
  <c r="E192" i="5"/>
  <c r="H168" i="4"/>
  <c r="K192" i="5"/>
  <c r="L168" i="4"/>
  <c r="Q192" i="5"/>
  <c r="M168" i="4"/>
  <c r="R192" i="5"/>
  <c r="T192" i="5"/>
  <c r="O168" i="4"/>
  <c r="U192" i="5"/>
  <c r="P168" i="4"/>
  <c r="W192" i="5"/>
  <c r="Q168" i="4"/>
  <c r="X192" i="5"/>
  <c r="AA192" i="5"/>
  <c r="AI168" i="4"/>
  <c r="T168" i="4" a="1"/>
  <c r="T168" i="4"/>
  <c r="AC192" i="5"/>
  <c r="U168" i="4" a="1"/>
  <c r="U168" i="4"/>
  <c r="AD192" i="5"/>
  <c r="X168" i="4"/>
  <c r="AI192" i="5"/>
  <c r="Y168" i="4"/>
  <c r="AJ192" i="5"/>
  <c r="Z168" i="4"/>
  <c r="AL192" i="5"/>
  <c r="F192" i="5"/>
  <c r="H192" i="5"/>
  <c r="I192" i="5"/>
  <c r="L192" i="5"/>
  <c r="N192" i="5"/>
  <c r="O192" i="5"/>
  <c r="Z192" i="5"/>
  <c r="AN192" i="5"/>
  <c r="AG193" i="5"/>
  <c r="AF193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I195" i="4"/>
  <c r="T195" i="4" a="1"/>
  <c r="T195" i="4"/>
  <c r="AC193" i="5"/>
  <c r="U195" i="4" a="1"/>
  <c r="U195" i="4"/>
  <c r="AD193" i="5"/>
  <c r="X195" i="4"/>
  <c r="AI193" i="5"/>
  <c r="Y195" i="4"/>
  <c r="AJ193" i="5"/>
  <c r="Z195" i="4"/>
  <c r="AL193" i="5"/>
  <c r="F193" i="5"/>
  <c r="H193" i="5"/>
  <c r="I193" i="5"/>
  <c r="L193" i="5"/>
  <c r="N193" i="5"/>
  <c r="O193" i="5"/>
  <c r="Z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I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F194" i="5"/>
  <c r="H194" i="5"/>
  <c r="I194" i="5"/>
  <c r="L194" i="5"/>
  <c r="N194" i="5"/>
  <c r="O194" i="5"/>
  <c r="Z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I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F195" i="5"/>
  <c r="H195" i="5"/>
  <c r="I195" i="5"/>
  <c r="L195" i="5"/>
  <c r="N195" i="5"/>
  <c r="O195" i="5"/>
  <c r="Z195" i="5"/>
  <c r="AN195" i="5"/>
  <c r="AG196" i="5"/>
  <c r="AF196" i="5"/>
  <c r="C225" i="4"/>
  <c r="C196" i="5"/>
  <c r="D225" i="4"/>
  <c r="E196" i="5"/>
  <c r="H225" i="4"/>
  <c r="K196" i="5"/>
  <c r="L225" i="4"/>
  <c r="Q196" i="5"/>
  <c r="M225" i="4"/>
  <c r="R196" i="5"/>
  <c r="T196" i="5"/>
  <c r="O225" i="4"/>
  <c r="U196" i="5"/>
  <c r="P225" i="4"/>
  <c r="W196" i="5"/>
  <c r="Q225" i="4"/>
  <c r="X196" i="5"/>
  <c r="S225" i="4"/>
  <c r="AA196" i="5"/>
  <c r="AI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F196" i="5"/>
  <c r="H196" i="5"/>
  <c r="I196" i="5"/>
  <c r="L196" i="5"/>
  <c r="N196" i="5"/>
  <c r="O196" i="5"/>
  <c r="Z196" i="5"/>
  <c r="AN196" i="5"/>
  <c r="AG197" i="5"/>
  <c r="AF197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I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F197" i="5"/>
  <c r="H197" i="5"/>
  <c r="I197" i="5"/>
  <c r="Z197" i="5"/>
  <c r="AN197" i="5"/>
  <c r="AG198" i="5"/>
  <c r="AF198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O227" i="4"/>
  <c r="U198" i="5"/>
  <c r="P227" i="4"/>
  <c r="W198" i="5"/>
  <c r="Q227" i="4"/>
  <c r="X198" i="5"/>
  <c r="S227" i="4"/>
  <c r="AA198" i="5"/>
  <c r="AI227" i="4"/>
  <c r="T227" i="4" a="1"/>
  <c r="T227" i="4"/>
  <c r="AC198" i="5"/>
  <c r="U227" i="4" a="1"/>
  <c r="U227" i="4"/>
  <c r="AD198" i="5"/>
  <c r="X227" i="4"/>
  <c r="AI198" i="5"/>
  <c r="Y227" i="4"/>
  <c r="AJ198" i="5"/>
  <c r="Z227" i="4"/>
  <c r="AL198" i="5"/>
  <c r="L198" i="5"/>
  <c r="N198" i="5"/>
  <c r="O198" i="5"/>
  <c r="Z198" i="5"/>
  <c r="AN198" i="5"/>
  <c r="AG199" i="5"/>
  <c r="AF199" i="5"/>
  <c r="B196" i="4"/>
  <c r="C196" i="4"/>
  <c r="C199" i="5"/>
  <c r="E199" i="5"/>
  <c r="F199" i="5"/>
  <c r="H199" i="5"/>
  <c r="I199" i="5"/>
  <c r="H196" i="4"/>
  <c r="K199" i="5"/>
  <c r="L196" i="4"/>
  <c r="Q199" i="5"/>
  <c r="M196" i="4"/>
  <c r="R199" i="5"/>
  <c r="T199" i="5"/>
  <c r="O196" i="4"/>
  <c r="U199" i="5"/>
  <c r="P196" i="4"/>
  <c r="W199" i="5"/>
  <c r="Q196" i="4"/>
  <c r="X199" i="5"/>
  <c r="S196" i="4"/>
  <c r="AA199" i="5"/>
  <c r="AI196" i="4"/>
  <c r="T196" i="4" a="1"/>
  <c r="T196" i="4"/>
  <c r="AC199" i="5"/>
  <c r="U196" i="4" a="1"/>
  <c r="U196" i="4"/>
  <c r="AD199" i="5"/>
  <c r="X196" i="4"/>
  <c r="AI199" i="5"/>
  <c r="Y196" i="4"/>
  <c r="AJ199" i="5"/>
  <c r="Z196" i="4"/>
  <c r="AL199" i="5"/>
  <c r="L199" i="5"/>
  <c r="N199" i="5"/>
  <c r="O199" i="5"/>
  <c r="Z199" i="5"/>
  <c r="AN199" i="5"/>
  <c r="AG200" i="5"/>
  <c r="AF200" i="5"/>
  <c r="B89" i="4"/>
  <c r="C89" i="4"/>
  <c r="C200" i="5"/>
  <c r="D89" i="4"/>
  <c r="E200" i="5"/>
  <c r="L89" i="4"/>
  <c r="Q200" i="5"/>
  <c r="M89" i="4"/>
  <c r="R200" i="5"/>
  <c r="T200" i="5"/>
  <c r="O89" i="4"/>
  <c r="U200" i="5"/>
  <c r="P89" i="4"/>
  <c r="W200" i="5"/>
  <c r="Q89" i="4"/>
  <c r="X200" i="5"/>
  <c r="S89" i="4"/>
  <c r="AA200" i="5"/>
  <c r="AI89" i="4"/>
  <c r="T89" i="4" a="1"/>
  <c r="T89" i="4"/>
  <c r="AC200" i="5"/>
  <c r="U89" i="4" a="1"/>
  <c r="U89" i="4"/>
  <c r="AD200" i="5"/>
  <c r="X89" i="4"/>
  <c r="AI200" i="5"/>
  <c r="Y89" i="4"/>
  <c r="AJ200" i="5"/>
  <c r="Z89" i="4"/>
  <c r="AL200" i="5"/>
  <c r="L200" i="5"/>
  <c r="N200" i="5"/>
  <c r="O200" i="5"/>
  <c r="F200" i="5"/>
  <c r="H200" i="5"/>
  <c r="I200" i="5"/>
  <c r="Z200" i="5"/>
  <c r="AN200" i="5"/>
  <c r="AG201" i="5"/>
  <c r="AF201" i="5"/>
  <c r="C176" i="4"/>
  <c r="C201" i="5"/>
  <c r="D176" i="4"/>
  <c r="E201" i="5"/>
  <c r="K201" i="5"/>
  <c r="L176" i="4"/>
  <c r="Q201" i="5"/>
  <c r="M176" i="4"/>
  <c r="R201" i="5"/>
  <c r="N35" i="2"/>
  <c r="N176" i="4"/>
  <c r="T201" i="5"/>
  <c r="O176" i="4"/>
  <c r="U201" i="5"/>
  <c r="P176" i="4"/>
  <c r="W201" i="5"/>
  <c r="Q176" i="4"/>
  <c r="X201" i="5"/>
  <c r="S176" i="4"/>
  <c r="AA201" i="5"/>
  <c r="AI176" i="4"/>
  <c r="T176" i="4" a="1"/>
  <c r="T176" i="4"/>
  <c r="AC201" i="5"/>
  <c r="U176" i="4" a="1"/>
  <c r="U176" i="4"/>
  <c r="AD201" i="5"/>
  <c r="X176" i="4"/>
  <c r="AI201" i="5"/>
  <c r="Y176" i="4"/>
  <c r="AJ201" i="5"/>
  <c r="Z176" i="4"/>
  <c r="AL201" i="5"/>
  <c r="L201" i="5"/>
  <c r="N201" i="5"/>
  <c r="O201" i="5"/>
  <c r="F201" i="5"/>
  <c r="H201" i="5"/>
  <c r="I201" i="5"/>
  <c r="Z201" i="5"/>
  <c r="AN201" i="5"/>
  <c r="AG202" i="5"/>
  <c r="AF202" i="5"/>
  <c r="C177" i="4"/>
  <c r="C202" i="5"/>
  <c r="D177" i="4"/>
  <c r="E202" i="5"/>
  <c r="K202" i="5"/>
  <c r="I35" i="2"/>
  <c r="I31" i="2"/>
  <c r="I177" i="4"/>
  <c r="L202" i="5"/>
  <c r="J35" i="2"/>
  <c r="J31" i="2"/>
  <c r="J177" i="4"/>
  <c r="N202" i="5"/>
  <c r="O202" i="5"/>
  <c r="L177" i="4"/>
  <c r="Q202" i="5"/>
  <c r="M177" i="4"/>
  <c r="R202" i="5"/>
  <c r="N31" i="2"/>
  <c r="N177" i="4"/>
  <c r="T202" i="5"/>
  <c r="O177" i="4"/>
  <c r="U202" i="5"/>
  <c r="P177" i="4"/>
  <c r="W202" i="5"/>
  <c r="Q177" i="4"/>
  <c r="X202" i="5"/>
  <c r="S177" i="4"/>
  <c r="AA202" i="5"/>
  <c r="AI177" i="4"/>
  <c r="T177" i="4" a="1"/>
  <c r="T177" i="4"/>
  <c r="AC202" i="5"/>
  <c r="U177" i="4" a="1"/>
  <c r="U177" i="4"/>
  <c r="AD202" i="5"/>
  <c r="X177" i="4"/>
  <c r="AI202" i="5"/>
  <c r="Y177" i="4"/>
  <c r="AJ202" i="5"/>
  <c r="Z177" i="4"/>
  <c r="AL202" i="5"/>
  <c r="F202" i="5"/>
  <c r="H202" i="5"/>
  <c r="I202" i="5"/>
  <c r="Z202" i="5"/>
  <c r="AN202" i="5"/>
  <c r="AG203" i="5"/>
  <c r="AF203" i="5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I137" i="4"/>
  <c r="T137" i="4" a="1"/>
  <c r="T137" i="4"/>
  <c r="AC203" i="5"/>
  <c r="U137" i="4" a="1"/>
  <c r="U137" i="4"/>
  <c r="AD203" i="5"/>
  <c r="X137" i="4"/>
  <c r="AI203" i="5"/>
  <c r="Y137" i="4"/>
  <c r="AJ203" i="5"/>
  <c r="Z137" i="4"/>
  <c r="AL203" i="5"/>
  <c r="L203" i="5"/>
  <c r="N203" i="5"/>
  <c r="O203" i="5"/>
  <c r="F203" i="5"/>
  <c r="H203" i="5"/>
  <c r="I203" i="5"/>
  <c r="Z203" i="5"/>
  <c r="AN203" i="5"/>
  <c r="AG204" i="5"/>
  <c r="AF204" i="5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I138" i="4"/>
  <c r="T138" i="4" a="1"/>
  <c r="T138" i="4"/>
  <c r="AC204" i="5"/>
  <c r="U138" i="4" a="1"/>
  <c r="U138" i="4"/>
  <c r="AD204" i="5"/>
  <c r="X138" i="4"/>
  <c r="AI204" i="5"/>
  <c r="Y138" i="4"/>
  <c r="AJ204" i="5"/>
  <c r="Z138" i="4"/>
  <c r="AL204" i="5"/>
  <c r="L204" i="5"/>
  <c r="N204" i="5"/>
  <c r="O204" i="5"/>
  <c r="F204" i="5"/>
  <c r="H204" i="5"/>
  <c r="I204" i="5"/>
  <c r="Z204" i="5"/>
  <c r="AN204" i="5"/>
  <c r="AG205" i="5"/>
  <c r="AF205" i="5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4" i="2"/>
  <c r="N139" i="4"/>
  <c r="T205" i="5"/>
  <c r="O139" i="4"/>
  <c r="U205" i="5"/>
  <c r="P139" i="4"/>
  <c r="W205" i="5"/>
  <c r="Q139" i="4"/>
  <c r="X205" i="5"/>
  <c r="S139" i="4"/>
  <c r="AA205" i="5"/>
  <c r="AI139" i="4"/>
  <c r="T139" i="4" a="1"/>
  <c r="T139" i="4"/>
  <c r="AC205" i="5"/>
  <c r="U139" i="4" a="1"/>
  <c r="U139" i="4"/>
  <c r="AD205" i="5"/>
  <c r="X139" i="4"/>
  <c r="AI205" i="5"/>
  <c r="Y139" i="4"/>
  <c r="AJ205" i="5"/>
  <c r="Z139" i="4"/>
  <c r="AL205" i="5"/>
  <c r="F205" i="5"/>
  <c r="H205" i="5"/>
  <c r="I205" i="5"/>
  <c r="Z205" i="5"/>
  <c r="AN205" i="5"/>
  <c r="AG206" i="5"/>
  <c r="AF206" i="5"/>
  <c r="C33" i="2"/>
  <c r="C140" i="4"/>
  <c r="C206" i="5"/>
  <c r="D33" i="2"/>
  <c r="D140" i="4"/>
  <c r="E206" i="5"/>
  <c r="K206" i="5"/>
  <c r="L33" i="2"/>
  <c r="L140" i="4"/>
  <c r="Q206" i="5"/>
  <c r="M33" i="2"/>
  <c r="M140" i="4"/>
  <c r="R206" i="5"/>
  <c r="N33" i="2"/>
  <c r="N140" i="4"/>
  <c r="T206" i="5"/>
  <c r="O33" i="2"/>
  <c r="O140" i="4"/>
  <c r="U206" i="5"/>
  <c r="P33" i="2"/>
  <c r="P140" i="4"/>
  <c r="W206" i="5"/>
  <c r="Q33" i="2"/>
  <c r="Q140" i="4"/>
  <c r="X206" i="5"/>
  <c r="S33" i="2"/>
  <c r="S140" i="4"/>
  <c r="AA206" i="5"/>
  <c r="AI140" i="4"/>
  <c r="T140" i="4" a="1"/>
  <c r="T140" i="4"/>
  <c r="AC206" i="5"/>
  <c r="U140" i="4" a="1"/>
  <c r="U140" i="4"/>
  <c r="AD206" i="5"/>
  <c r="X33" i="2"/>
  <c r="X140" i="4"/>
  <c r="AI206" i="5"/>
  <c r="Y33" i="2"/>
  <c r="Y140" i="4"/>
  <c r="AJ206" i="5"/>
  <c r="Z33" i="2"/>
  <c r="Z140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94" i="4"/>
  <c r="C94" i="4"/>
  <c r="C207" i="5"/>
  <c r="D37" i="2"/>
  <c r="D94" i="4"/>
  <c r="E207" i="5"/>
  <c r="H37" i="2"/>
  <c r="H94" i="4"/>
  <c r="K207" i="5"/>
  <c r="I37" i="2"/>
  <c r="I94" i="4"/>
  <c r="L207" i="5"/>
  <c r="J37" i="2"/>
  <c r="J94" i="4"/>
  <c r="N207" i="5"/>
  <c r="O207" i="5"/>
  <c r="L37" i="2"/>
  <c r="L94" i="4"/>
  <c r="Q207" i="5"/>
  <c r="M37" i="2"/>
  <c r="M94" i="4"/>
  <c r="R207" i="5"/>
  <c r="N37" i="2"/>
  <c r="N94" i="4"/>
  <c r="T207" i="5"/>
  <c r="O37" i="2"/>
  <c r="O94" i="4"/>
  <c r="U207" i="5"/>
  <c r="P37" i="2"/>
  <c r="P94" i="4"/>
  <c r="W207" i="5"/>
  <c r="Q37" i="2"/>
  <c r="Q94" i="4"/>
  <c r="X207" i="5"/>
  <c r="S37" i="2"/>
  <c r="S94" i="4"/>
  <c r="AA207" i="5"/>
  <c r="X37" i="2"/>
  <c r="X94" i="4"/>
  <c r="AI207" i="5"/>
  <c r="Y37" i="2"/>
  <c r="Y94" i="4"/>
  <c r="AJ207" i="5"/>
  <c r="Z37" i="2"/>
  <c r="Z94" i="4"/>
  <c r="AL207" i="5"/>
  <c r="F207" i="5"/>
  <c r="H207" i="5"/>
  <c r="I207" i="5"/>
  <c r="Z207" i="5"/>
  <c r="AN207" i="5"/>
  <c r="AG208" i="5"/>
  <c r="AF208" i="5"/>
  <c r="C218" i="4"/>
  <c r="C208" i="5"/>
  <c r="D218" i="4"/>
  <c r="E208" i="5"/>
  <c r="H218" i="4"/>
  <c r="K208" i="5"/>
  <c r="L218" i="4"/>
  <c r="Q208" i="5"/>
  <c r="M218" i="4"/>
  <c r="R208" i="5"/>
  <c r="T208" i="5"/>
  <c r="O218" i="4"/>
  <c r="U208" i="5"/>
  <c r="P218" i="4"/>
  <c r="W208" i="5"/>
  <c r="Q218" i="4"/>
  <c r="X208" i="5"/>
  <c r="S218" i="4"/>
  <c r="AA208" i="5"/>
  <c r="AI218" i="4"/>
  <c r="T218" i="4" a="1"/>
  <c r="T218" i="4"/>
  <c r="AC208" i="5"/>
  <c r="U218" i="4" a="1"/>
  <c r="U218" i="4"/>
  <c r="AD208" i="5"/>
  <c r="X218" i="4"/>
  <c r="AI208" i="5"/>
  <c r="Y218" i="4"/>
  <c r="AJ208" i="5"/>
  <c r="Z218" i="4"/>
  <c r="AL208" i="5"/>
  <c r="F208" i="5"/>
  <c r="H208" i="5"/>
  <c r="I208" i="5"/>
  <c r="L208" i="5"/>
  <c r="N208" i="5"/>
  <c r="O208" i="5"/>
  <c r="Z208" i="5"/>
  <c r="AN208" i="5"/>
  <c r="AG209" i="5"/>
  <c r="AF209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O228" i="4"/>
  <c r="U209" i="5"/>
  <c r="P228" i="4"/>
  <c r="W209" i="5"/>
  <c r="Q228" i="4"/>
  <c r="X209" i="5"/>
  <c r="S228" i="4"/>
  <c r="AA209" i="5"/>
  <c r="AI228" i="4"/>
  <c r="T228" i="4" a="1"/>
  <c r="T228" i="4"/>
  <c r="AC209" i="5"/>
  <c r="U228" i="4" a="1"/>
  <c r="U228" i="4"/>
  <c r="AD209" i="5"/>
  <c r="X228" i="4"/>
  <c r="AI209" i="5"/>
  <c r="Y228" i="4"/>
  <c r="AJ209" i="5"/>
  <c r="Z228" i="4"/>
  <c r="AL209" i="5"/>
  <c r="L209" i="5"/>
  <c r="N209" i="5"/>
  <c r="O209" i="5"/>
  <c r="Z209" i="5"/>
  <c r="AN209" i="5"/>
  <c r="AG210" i="5"/>
  <c r="AF210" i="5"/>
  <c r="B292" i="4"/>
  <c r="C292" i="4"/>
  <c r="C210" i="5"/>
  <c r="D292" i="4"/>
  <c r="E210" i="5"/>
  <c r="E292" i="4"/>
  <c r="F210" i="5"/>
  <c r="F292" i="4"/>
  <c r="H210" i="5"/>
  <c r="I210" i="5"/>
  <c r="H292" i="4"/>
  <c r="K210" i="5"/>
  <c r="L292" i="4"/>
  <c r="Q210" i="5"/>
  <c r="M292" i="4"/>
  <c r="R210" i="5"/>
  <c r="N292" i="4"/>
  <c r="T210" i="5"/>
  <c r="O292" i="4"/>
  <c r="U210" i="5"/>
  <c r="P292" i="4"/>
  <c r="W210" i="5"/>
  <c r="Q292" i="4"/>
  <c r="X210" i="5"/>
  <c r="S292" i="4"/>
  <c r="AA210" i="5"/>
  <c r="AC210" i="5"/>
  <c r="AD210" i="5"/>
  <c r="X292" i="4"/>
  <c r="AI210" i="5"/>
  <c r="Y292" i="4"/>
  <c r="AJ210" i="5"/>
  <c r="Z292" i="4"/>
  <c r="AL210" i="5"/>
  <c r="L210" i="5"/>
  <c r="N210" i="5"/>
  <c r="O210" i="5"/>
  <c r="Z210" i="5"/>
  <c r="AN210" i="5"/>
  <c r="AG211" i="5"/>
  <c r="AF211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O229" i="4"/>
  <c r="U211" i="5"/>
  <c r="P229" i="4"/>
  <c r="W211" i="5"/>
  <c r="Q229" i="4"/>
  <c r="X211" i="5"/>
  <c r="S229" i="4"/>
  <c r="AA211" i="5"/>
  <c r="AI229" i="4"/>
  <c r="T229" i="4" a="1"/>
  <c r="T229" i="4"/>
  <c r="AC211" i="5"/>
  <c r="U229" i="4" a="1"/>
  <c r="U229" i="4"/>
  <c r="AD211" i="5"/>
  <c r="X229" i="4"/>
  <c r="AI211" i="5"/>
  <c r="Y229" i="4"/>
  <c r="AJ211" i="5"/>
  <c r="Z229" i="4"/>
  <c r="AL211" i="5"/>
  <c r="L211" i="5"/>
  <c r="N211" i="5"/>
  <c r="O211" i="5"/>
  <c r="Z211" i="5"/>
  <c r="AN211" i="5"/>
  <c r="AG212" i="5"/>
  <c r="AF212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I230" i="4"/>
  <c r="T230" i="4" a="1"/>
  <c r="T230" i="4"/>
  <c r="AC212" i="5"/>
  <c r="U230" i="4" a="1"/>
  <c r="U230" i="4"/>
  <c r="AD212" i="5"/>
  <c r="X230" i="4"/>
  <c r="AI212" i="5"/>
  <c r="Y230" i="4"/>
  <c r="AJ212" i="5"/>
  <c r="Z230" i="4"/>
  <c r="AL212" i="5"/>
  <c r="L212" i="5"/>
  <c r="N212" i="5"/>
  <c r="O212" i="5"/>
  <c r="Z212" i="5"/>
  <c r="AN212" i="5"/>
  <c r="AG213" i="5"/>
  <c r="AF213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O141" i="4"/>
  <c r="U213" i="5"/>
  <c r="P141" i="4"/>
  <c r="W213" i="5"/>
  <c r="Q141" i="4"/>
  <c r="X213" i="5"/>
  <c r="S141" i="4"/>
  <c r="AA213" i="5"/>
  <c r="AI141" i="4"/>
  <c r="T141" i="4" a="1"/>
  <c r="T141" i="4"/>
  <c r="AC213" i="5"/>
  <c r="U141" i="4" a="1"/>
  <c r="U141" i="4"/>
  <c r="AD213" i="5"/>
  <c r="X141" i="4"/>
  <c r="AI213" i="5"/>
  <c r="Y141" i="4"/>
  <c r="AJ213" i="5"/>
  <c r="Z141" i="4"/>
  <c r="AL213" i="5"/>
  <c r="L213" i="5"/>
  <c r="N213" i="5"/>
  <c r="O213" i="5"/>
  <c r="Z213" i="5"/>
  <c r="AN213" i="5"/>
  <c r="AG214" i="5"/>
  <c r="AF214" i="5"/>
  <c r="B297" i="4"/>
  <c r="C297" i="4"/>
  <c r="C214" i="5"/>
  <c r="D297" i="4"/>
  <c r="E214" i="5"/>
  <c r="E297" i="4"/>
  <c r="F214" i="5"/>
  <c r="F297" i="4"/>
  <c r="H214" i="5"/>
  <c r="I214" i="5"/>
  <c r="H297" i="4"/>
  <c r="K214" i="5"/>
  <c r="L297" i="4"/>
  <c r="Q214" i="5"/>
  <c r="M297" i="4"/>
  <c r="R214" i="5"/>
  <c r="T214" i="5"/>
  <c r="O297" i="4"/>
  <c r="U214" i="5"/>
  <c r="P297" i="4"/>
  <c r="W214" i="5"/>
  <c r="Q297" i="4"/>
  <c r="X214" i="5"/>
  <c r="S297" i="4"/>
  <c r="AA214" i="5"/>
  <c r="AI297" i="4"/>
  <c r="T297" i="4" a="1"/>
  <c r="T297" i="4"/>
  <c r="AC214" i="5"/>
  <c r="U297" i="4" a="1"/>
  <c r="U297" i="4"/>
  <c r="AD214" i="5"/>
  <c r="X297" i="4"/>
  <c r="AI214" i="5"/>
  <c r="Y297" i="4"/>
  <c r="AJ214" i="5"/>
  <c r="Z297" i="4"/>
  <c r="AL214" i="5"/>
  <c r="L214" i="5"/>
  <c r="N214" i="5"/>
  <c r="O214" i="5"/>
  <c r="Z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I259" i="4"/>
  <c r="L215" i="5"/>
  <c r="J259" i="4"/>
  <c r="N215" i="5"/>
  <c r="L259" i="4"/>
  <c r="Q215" i="5"/>
  <c r="M259" i="4"/>
  <c r="R215" i="5"/>
  <c r="N259" i="4"/>
  <c r="T215" i="5"/>
  <c r="O259" i="4"/>
  <c r="U215" i="5"/>
  <c r="P259" i="4"/>
  <c r="W215" i="5"/>
  <c r="Q259" i="4"/>
  <c r="X215" i="5"/>
  <c r="S259" i="4"/>
  <c r="AA215" i="5"/>
  <c r="AI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Z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I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Z216" i="5"/>
  <c r="AN216" i="5"/>
  <c r="O217" i="5"/>
  <c r="B261" i="4"/>
  <c r="H261" i="4"/>
  <c r="K217" i="5"/>
  <c r="AG217" i="5"/>
  <c r="AF217" i="5"/>
  <c r="C261" i="4"/>
  <c r="C217" i="5"/>
  <c r="D261" i="4"/>
  <c r="E217" i="5"/>
  <c r="E261" i="4"/>
  <c r="F217" i="5"/>
  <c r="F261" i="4"/>
  <c r="H217" i="5"/>
  <c r="I217" i="5"/>
  <c r="I261" i="4"/>
  <c r="L217" i="5"/>
  <c r="J261" i="4"/>
  <c r="N217" i="5"/>
  <c r="L261" i="4"/>
  <c r="Q217" i="5"/>
  <c r="M261" i="4"/>
  <c r="R217" i="5"/>
  <c r="T217" i="5"/>
  <c r="O261" i="4"/>
  <c r="U217" i="5"/>
  <c r="P261" i="4"/>
  <c r="W217" i="5"/>
  <c r="Q261" i="4"/>
  <c r="X217" i="5"/>
  <c r="S261" i="4"/>
  <c r="AA217" i="5"/>
  <c r="AI261" i="4"/>
  <c r="T261" i="4" a="1"/>
  <c r="T261" i="4"/>
  <c r="AC217" i="5"/>
  <c r="U261" i="4" a="1"/>
  <c r="U261" i="4"/>
  <c r="AD217" i="5"/>
  <c r="X261" i="4"/>
  <c r="AI217" i="5"/>
  <c r="Y261" i="4"/>
  <c r="AJ217" i="5"/>
  <c r="Z261" i="4"/>
  <c r="AL217" i="5"/>
  <c r="Z217" i="5"/>
  <c r="AN217" i="5"/>
  <c r="AG218" i="5"/>
  <c r="AF218" i="5"/>
  <c r="B197" i="4"/>
  <c r="C197" i="4"/>
  <c r="C218" i="5"/>
  <c r="D197" i="4"/>
  <c r="E218" i="5"/>
  <c r="H197" i="4"/>
  <c r="K218" i="5"/>
  <c r="L197" i="4"/>
  <c r="Q218" i="5"/>
  <c r="M197" i="4"/>
  <c r="R218" i="5"/>
  <c r="N197" i="4"/>
  <c r="T218" i="5"/>
  <c r="O197" i="4"/>
  <c r="U218" i="5"/>
  <c r="P197" i="4"/>
  <c r="W218" i="5"/>
  <c r="Q197" i="4"/>
  <c r="X218" i="5"/>
  <c r="S197" i="4"/>
  <c r="AA218" i="5"/>
  <c r="AI197" i="4"/>
  <c r="T197" i="4" a="1"/>
  <c r="T197" i="4"/>
  <c r="AC218" i="5"/>
  <c r="U197" i="4" a="1"/>
  <c r="U197" i="4"/>
  <c r="AD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Z218" i="5"/>
  <c r="AN218" i="5"/>
  <c r="AG219" i="5"/>
  <c r="AF219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O179" i="4"/>
  <c r="U219" i="5"/>
  <c r="P179" i="4"/>
  <c r="W219" i="5"/>
  <c r="Q179" i="4"/>
  <c r="X219" i="5"/>
  <c r="AA219" i="5"/>
  <c r="AI179" i="4"/>
  <c r="T179" i="4" a="1"/>
  <c r="T179" i="4"/>
  <c r="AC219" i="5"/>
  <c r="U179" i="4" a="1"/>
  <c r="U179" i="4"/>
  <c r="AD219" i="5"/>
  <c r="X179" i="4"/>
  <c r="AI219" i="5"/>
  <c r="L219" i="5"/>
  <c r="N219" i="5"/>
  <c r="O219" i="5"/>
  <c r="Z219" i="5"/>
  <c r="AN219" i="5"/>
  <c r="AG220" i="5"/>
  <c r="AF220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O180" i="4"/>
  <c r="U220" i="5"/>
  <c r="P180" i="4"/>
  <c r="W220" i="5"/>
  <c r="Q180" i="4"/>
  <c r="X220" i="5"/>
  <c r="S180" i="4"/>
  <c r="AA220" i="5"/>
  <c r="AI180" i="4"/>
  <c r="T180" i="4" a="1"/>
  <c r="T180" i="4"/>
  <c r="AC220" i="5"/>
  <c r="U180" i="4" a="1"/>
  <c r="U180" i="4"/>
  <c r="AD220" i="5"/>
  <c r="X180" i="4"/>
  <c r="AI220" i="5"/>
  <c r="Y180" i="4"/>
  <c r="AJ220" i="5"/>
  <c r="Z180" i="4"/>
  <c r="AL220" i="5"/>
  <c r="L220" i="5"/>
  <c r="N220" i="5"/>
  <c r="O220" i="5"/>
  <c r="Z220" i="5"/>
  <c r="AN220" i="5"/>
  <c r="O221" i="5"/>
  <c r="B198" i="4"/>
  <c r="H198" i="4"/>
  <c r="K221" i="5"/>
  <c r="AG221" i="5"/>
  <c r="AF221" i="5"/>
  <c r="C198" i="4"/>
  <c r="C221" i="5"/>
  <c r="D198" i="4"/>
  <c r="E221" i="5"/>
  <c r="E198" i="4"/>
  <c r="F221" i="5"/>
  <c r="F198" i="4"/>
  <c r="H221" i="5"/>
  <c r="I221" i="5"/>
  <c r="I15" i="2"/>
  <c r="I198" i="4"/>
  <c r="L221" i="5"/>
  <c r="J198" i="4"/>
  <c r="N221" i="5"/>
  <c r="L198" i="4"/>
  <c r="Q221" i="5"/>
  <c r="M198" i="4"/>
  <c r="R221" i="5"/>
  <c r="T221" i="5"/>
  <c r="O198" i="4"/>
  <c r="U221" i="5"/>
  <c r="P198" i="4"/>
  <c r="W221" i="5"/>
  <c r="Q198" i="4"/>
  <c r="X221" i="5"/>
  <c r="S198" i="4"/>
  <c r="AA221" i="5"/>
  <c r="AI198" i="4"/>
  <c r="T198" i="4" a="1"/>
  <c r="T198" i="4"/>
  <c r="AC221" i="5"/>
  <c r="U198" i="4" a="1"/>
  <c r="U198" i="4"/>
  <c r="AD221" i="5"/>
  <c r="X198" i="4"/>
  <c r="AI221" i="5"/>
  <c r="Y198" i="4"/>
  <c r="AJ221" i="5"/>
  <c r="Z198" i="4"/>
  <c r="AL221" i="5"/>
  <c r="Z221" i="5"/>
  <c r="AN221" i="5"/>
  <c r="AG222" i="5"/>
  <c r="AF222" i="5"/>
  <c r="C199" i="4"/>
  <c r="C222" i="5"/>
  <c r="T222" i="5"/>
  <c r="O199" i="4"/>
  <c r="U222" i="5"/>
  <c r="P199" i="4"/>
  <c r="W222" i="5"/>
  <c r="Q199" i="4"/>
  <c r="X222" i="5"/>
  <c r="S199" i="4"/>
  <c r="AA222" i="5"/>
  <c r="AI199" i="4"/>
  <c r="T199" i="4" a="1"/>
  <c r="T199" i="4"/>
  <c r="AC222" i="5"/>
  <c r="U199" i="4" a="1"/>
  <c r="U199" i="4"/>
  <c r="AD222" i="5"/>
  <c r="AI222" i="5"/>
  <c r="Y199" i="4"/>
  <c r="AJ222" i="5"/>
  <c r="Z199" i="4"/>
  <c r="AL222" i="5"/>
  <c r="L222" i="5"/>
  <c r="N222" i="5"/>
  <c r="O222" i="5"/>
  <c r="Z222" i="5"/>
  <c r="AN222" i="5"/>
  <c r="AG223" i="5"/>
  <c r="AF223" i="5"/>
  <c r="B98" i="4"/>
  <c r="C98" i="4"/>
  <c r="C223" i="5"/>
  <c r="E223" i="5"/>
  <c r="K223" i="5"/>
  <c r="L98" i="4"/>
  <c r="Q223" i="5"/>
  <c r="M21" i="2"/>
  <c r="M98" i="4"/>
  <c r="R223" i="5"/>
  <c r="T223" i="5"/>
  <c r="O98" i="4"/>
  <c r="U223" i="5"/>
  <c r="P98" i="4"/>
  <c r="W223" i="5"/>
  <c r="X223" i="5"/>
  <c r="AA223" i="5"/>
  <c r="AI98" i="4"/>
  <c r="T98" i="4" a="1"/>
  <c r="T98" i="4"/>
  <c r="AC223" i="5"/>
  <c r="U98" i="4" a="1"/>
  <c r="U98" i="4"/>
  <c r="AD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Z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I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Z224" i="5"/>
  <c r="AN224" i="5"/>
  <c r="AG225" i="5"/>
  <c r="AF225" i="5"/>
  <c r="C293" i="4"/>
  <c r="C225" i="5"/>
  <c r="E29" i="2"/>
  <c r="F29" i="2"/>
  <c r="T225" i="5"/>
  <c r="O293" i="4"/>
  <c r="U225" i="5"/>
  <c r="P293" i="4"/>
  <c r="W225" i="5"/>
  <c r="S293" i="4"/>
  <c r="AA225" i="5"/>
  <c r="AI293" i="4"/>
  <c r="T293" i="4" a="1"/>
  <c r="T293" i="4"/>
  <c r="AC225" i="5"/>
  <c r="U293" i="4" a="1"/>
  <c r="U293" i="4"/>
  <c r="AD225" i="5"/>
  <c r="X293" i="4"/>
  <c r="AI225" i="5"/>
  <c r="Y293" i="4"/>
  <c r="AJ225" i="5"/>
  <c r="Z293" i="4"/>
  <c r="AL225" i="5"/>
  <c r="L225" i="5"/>
  <c r="N225" i="5"/>
  <c r="O225" i="5"/>
  <c r="X225" i="5"/>
  <c r="Z225" i="5"/>
  <c r="AN225" i="5"/>
  <c r="AG226" i="5"/>
  <c r="AF226" i="5"/>
  <c r="C181" i="4"/>
  <c r="C226" i="5"/>
  <c r="T226" i="5"/>
  <c r="U226" i="5"/>
  <c r="P181" i="4"/>
  <c r="W226" i="5"/>
  <c r="Q181" i="4"/>
  <c r="X226" i="5"/>
  <c r="R181" i="4"/>
  <c r="Z226" i="5"/>
  <c r="S181" i="4"/>
  <c r="AA226" i="5"/>
  <c r="AI181" i="4"/>
  <c r="T181" i="4" a="1"/>
  <c r="T181" i="4"/>
  <c r="AC226" i="5"/>
  <c r="U181" i="4" a="1"/>
  <c r="U181" i="4"/>
  <c r="AD226" i="5"/>
  <c r="X181" i="4"/>
  <c r="AI226" i="5"/>
  <c r="Y181" i="4"/>
  <c r="AJ226" i="5"/>
  <c r="Z181" i="4"/>
  <c r="AL226" i="5"/>
  <c r="AN226" i="5"/>
  <c r="AG227" i="5"/>
  <c r="AF227" i="5"/>
  <c r="B114" i="4"/>
  <c r="C114" i="4"/>
  <c r="C227" i="5"/>
  <c r="E227" i="5"/>
  <c r="H114" i="4"/>
  <c r="K227" i="5"/>
  <c r="L114" i="4"/>
  <c r="Q227" i="5"/>
  <c r="M114" i="4"/>
  <c r="R227" i="5"/>
  <c r="T227" i="5"/>
  <c r="O114" i="4"/>
  <c r="U227" i="5"/>
  <c r="P114" i="4"/>
  <c r="W227" i="5"/>
  <c r="X227" i="5"/>
  <c r="AA227" i="5"/>
  <c r="AI114" i="4"/>
  <c r="T114" i="4" a="1"/>
  <c r="T114" i="4"/>
  <c r="AC227" i="5"/>
  <c r="U114" i="4" a="1"/>
  <c r="U114" i="4"/>
  <c r="AD227" i="5"/>
  <c r="AI227" i="5"/>
  <c r="AJ227" i="5"/>
  <c r="Z11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48" i="4"/>
  <c r="C48" i="4"/>
  <c r="C228" i="5"/>
  <c r="D48" i="4"/>
  <c r="E228" i="5"/>
  <c r="E48" i="4"/>
  <c r="F228" i="5"/>
  <c r="F48" i="4"/>
  <c r="H228" i="5"/>
  <c r="I228" i="5"/>
  <c r="I19" i="2"/>
  <c r="I48" i="4"/>
  <c r="L228" i="5"/>
  <c r="J19" i="2"/>
  <c r="J48" i="4"/>
  <c r="N228" i="5"/>
  <c r="L48" i="4"/>
  <c r="Q228" i="5"/>
  <c r="M48" i="4"/>
  <c r="R228" i="5"/>
  <c r="T228" i="5"/>
  <c r="O48" i="4"/>
  <c r="U228" i="5"/>
  <c r="P48" i="4"/>
  <c r="W228" i="5"/>
  <c r="Q48" i="4"/>
  <c r="X228" i="5"/>
  <c r="S48" i="4"/>
  <c r="AA228" i="5"/>
  <c r="AI48" i="4"/>
  <c r="T48" i="4" a="1"/>
  <c r="T48" i="4"/>
  <c r="AC228" i="5"/>
  <c r="U48" i="4" a="1"/>
  <c r="U48" i="4"/>
  <c r="AD228" i="5"/>
  <c r="AI228" i="5"/>
  <c r="Y48" i="4"/>
  <c r="AJ228" i="5"/>
  <c r="Z48" i="4"/>
  <c r="AL228" i="5"/>
  <c r="Z228" i="5"/>
  <c r="AN228" i="5"/>
  <c r="AG229" i="5"/>
  <c r="AF229" i="5"/>
  <c r="B294" i="4"/>
  <c r="C294" i="4"/>
  <c r="C229" i="5"/>
  <c r="D294" i="4"/>
  <c r="E229" i="5"/>
  <c r="E294" i="4"/>
  <c r="F229" i="5"/>
  <c r="F294" i="4"/>
  <c r="H229" i="5"/>
  <c r="I229" i="5"/>
  <c r="H294" i="4"/>
  <c r="K229" i="5"/>
  <c r="L294" i="4"/>
  <c r="Q229" i="5"/>
  <c r="M294" i="4"/>
  <c r="R229" i="5"/>
  <c r="T229" i="5"/>
  <c r="O294" i="4"/>
  <c r="U229" i="5"/>
  <c r="P294" i="4"/>
  <c r="W229" i="5"/>
  <c r="Q294" i="4"/>
  <c r="X229" i="5"/>
  <c r="S294" i="4"/>
  <c r="AA229" i="5"/>
  <c r="AI294" i="4"/>
  <c r="T294" i="4" a="1"/>
  <c r="T294" i="4"/>
  <c r="AC229" i="5"/>
  <c r="U294" i="4" a="1"/>
  <c r="U294" i="4"/>
  <c r="AD229" i="5"/>
  <c r="X294" i="4"/>
  <c r="AI229" i="5"/>
  <c r="Y294" i="4"/>
  <c r="AJ229" i="5"/>
  <c r="Z294" i="4"/>
  <c r="AL229" i="5"/>
  <c r="L229" i="5"/>
  <c r="N229" i="5"/>
  <c r="O229" i="5"/>
  <c r="Z229" i="5"/>
  <c r="AN229" i="5"/>
  <c r="AG230" i="5"/>
  <c r="AF230" i="5"/>
  <c r="C231" i="4"/>
  <c r="C230" i="5"/>
  <c r="E24" i="2"/>
  <c r="F24" i="2"/>
  <c r="T230" i="5"/>
  <c r="U230" i="5"/>
  <c r="P231" i="4"/>
  <c r="W230" i="5"/>
  <c r="Q231" i="4"/>
  <c r="X230" i="5"/>
  <c r="S231" i="4"/>
  <c r="AA230" i="5"/>
  <c r="AI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Z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I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F231" i="5"/>
  <c r="H231" i="5"/>
  <c r="I231" i="5"/>
  <c r="Z231" i="5"/>
  <c r="AN231" i="5"/>
  <c r="AG232" i="5"/>
  <c r="AF232" i="5"/>
  <c r="B284" i="4"/>
  <c r="C284" i="4"/>
  <c r="C232" i="5"/>
  <c r="D284" i="4"/>
  <c r="E232" i="5"/>
  <c r="H284" i="4"/>
  <c r="K232" i="5"/>
  <c r="L284" i="4"/>
  <c r="Q232" i="5"/>
  <c r="M284" i="4"/>
  <c r="R232" i="5"/>
  <c r="T232" i="5"/>
  <c r="O284" i="4"/>
  <c r="U232" i="5"/>
  <c r="P284" i="4"/>
  <c r="W232" i="5"/>
  <c r="Q284" i="4"/>
  <c r="X232" i="5"/>
  <c r="S284" i="4"/>
  <c r="AA232" i="5"/>
  <c r="AI284" i="4"/>
  <c r="T284" i="4" a="1"/>
  <c r="T284" i="4"/>
  <c r="AC232" i="5"/>
  <c r="U284" i="4" a="1"/>
  <c r="U284" i="4"/>
  <c r="AD232" i="5"/>
  <c r="X284" i="4"/>
  <c r="AI232" i="5"/>
  <c r="Y284" i="4"/>
  <c r="AJ232" i="5"/>
  <c r="Z284" i="4"/>
  <c r="AL232" i="5"/>
  <c r="L232" i="5"/>
  <c r="N232" i="5"/>
  <c r="O232" i="5"/>
  <c r="F232" i="5"/>
  <c r="H232" i="5"/>
  <c r="I232" i="5"/>
  <c r="Z232" i="5"/>
  <c r="AN232" i="5"/>
  <c r="S142" i="4"/>
  <c r="AA233" i="5"/>
  <c r="P142" i="4"/>
  <c r="W233" i="5"/>
  <c r="AG233" i="5"/>
  <c r="AF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I142" i="4"/>
  <c r="T142" i="4" a="1"/>
  <c r="T142" i="4"/>
  <c r="AC233" i="5"/>
  <c r="U142" i="4" a="1"/>
  <c r="U142" i="4"/>
  <c r="AD233" i="5"/>
  <c r="X142" i="4"/>
  <c r="AI233" i="5"/>
  <c r="Y142" i="4"/>
  <c r="AJ233" i="5"/>
  <c r="Z142" i="4"/>
  <c r="AL233" i="5"/>
  <c r="L233" i="5"/>
  <c r="N233" i="5"/>
  <c r="O233" i="5"/>
  <c r="F233" i="5"/>
  <c r="H233" i="5"/>
  <c r="I233" i="5"/>
  <c r="AN233" i="5"/>
  <c r="AG234" i="5"/>
  <c r="AF234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I27" i="4"/>
  <c r="T27" i="4" a="1"/>
  <c r="T27" i="4"/>
  <c r="AC234" i="5"/>
  <c r="U27" i="4" a="1"/>
  <c r="U27" i="4"/>
  <c r="AD234" i="5"/>
  <c r="X27" i="4"/>
  <c r="AI234" i="5"/>
  <c r="Y27" i="4"/>
  <c r="AJ234" i="5"/>
  <c r="Z27" i="4"/>
  <c r="AL234" i="5"/>
  <c r="F234" i="5"/>
  <c r="H234" i="5"/>
  <c r="I234" i="5"/>
  <c r="L234" i="5"/>
  <c r="N234" i="5"/>
  <c r="O234" i="5"/>
  <c r="Z234" i="5"/>
  <c r="AN234" i="5"/>
  <c r="AG235" i="5"/>
  <c r="AF235" i="5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I143" i="4"/>
  <c r="T143" i="4" a="1"/>
  <c r="T143" i="4"/>
  <c r="AC235" i="5"/>
  <c r="U143" i="4" a="1"/>
  <c r="U143" i="4"/>
  <c r="AD235" i="5"/>
  <c r="X143" i="4"/>
  <c r="AI235" i="5"/>
  <c r="Y143" i="4"/>
  <c r="AJ235" i="5"/>
  <c r="Z143" i="4"/>
  <c r="AL235" i="5"/>
  <c r="F235" i="5"/>
  <c r="H235" i="5"/>
  <c r="I235" i="5"/>
  <c r="L235" i="5"/>
  <c r="N235" i="5"/>
  <c r="O235" i="5"/>
  <c r="Z235" i="5"/>
  <c r="AN235" i="5"/>
  <c r="AG236" i="5"/>
  <c r="AF236" i="5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I144" i="4"/>
  <c r="T144" i="4" a="1"/>
  <c r="T144" i="4"/>
  <c r="AC236" i="5"/>
  <c r="U144" i="4" a="1"/>
  <c r="U144" i="4"/>
  <c r="AD236" i="5"/>
  <c r="X144" i="4"/>
  <c r="AI236" i="5"/>
  <c r="Y144" i="4"/>
  <c r="AJ236" i="5"/>
  <c r="Z144" i="4"/>
  <c r="AL236" i="5"/>
  <c r="F236" i="5"/>
  <c r="H236" i="5"/>
  <c r="I236" i="5"/>
  <c r="L236" i="5"/>
  <c r="N236" i="5"/>
  <c r="O236" i="5"/>
  <c r="Z236" i="5"/>
  <c r="AN236" i="5"/>
  <c r="AG237" i="5"/>
  <c r="AF237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I28" i="4"/>
  <c r="T28" i="4" a="1"/>
  <c r="T28" i="4"/>
  <c r="AC237" i="5"/>
  <c r="U28" i="4" a="1"/>
  <c r="U28" i="4"/>
  <c r="AD237" i="5"/>
  <c r="X28" i="4"/>
  <c r="AI237" i="5"/>
  <c r="Y28" i="4"/>
  <c r="AJ237" i="5"/>
  <c r="Z28" i="4"/>
  <c r="AL237" i="5"/>
  <c r="F237" i="5"/>
  <c r="H237" i="5"/>
  <c r="I237" i="5"/>
  <c r="L237" i="5"/>
  <c r="N237" i="5"/>
  <c r="O237" i="5"/>
  <c r="Z237" i="5"/>
  <c r="AN237" i="5"/>
  <c r="AG238" i="5"/>
  <c r="AF238" i="5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I145" i="4"/>
  <c r="T145" i="4" a="1"/>
  <c r="T145" i="4"/>
  <c r="AC238" i="5"/>
  <c r="U145" i="4" a="1"/>
  <c r="U145" i="4"/>
  <c r="AD238" i="5"/>
  <c r="X145" i="4"/>
  <c r="AI238" i="5"/>
  <c r="Y145" i="4"/>
  <c r="AJ238" i="5"/>
  <c r="Z145" i="4"/>
  <c r="AL238" i="5"/>
  <c r="F238" i="5"/>
  <c r="H238" i="5"/>
  <c r="I238" i="5"/>
  <c r="L238" i="5"/>
  <c r="N238" i="5"/>
  <c r="O238" i="5"/>
  <c r="Z238" i="5"/>
  <c r="AN238" i="5"/>
  <c r="AG239" i="5"/>
  <c r="AF239" i="5"/>
  <c r="B285" i="4"/>
  <c r="C285" i="4"/>
  <c r="C239" i="5"/>
  <c r="D285" i="4"/>
  <c r="E239" i="5"/>
  <c r="E285" i="4"/>
  <c r="F239" i="5"/>
  <c r="F285" i="4"/>
  <c r="H239" i="5"/>
  <c r="I239" i="5"/>
  <c r="K239" i="5"/>
  <c r="L285" i="4"/>
  <c r="Q239" i="5"/>
  <c r="M285" i="4"/>
  <c r="R239" i="5"/>
  <c r="T239" i="5"/>
  <c r="O285" i="4"/>
  <c r="U239" i="5"/>
  <c r="P285" i="4"/>
  <c r="W239" i="5"/>
  <c r="Q285" i="4"/>
  <c r="X239" i="5"/>
  <c r="S285" i="4"/>
  <c r="AA239" i="5"/>
  <c r="AI285" i="4"/>
  <c r="T285" i="4" a="1"/>
  <c r="T285" i="4"/>
  <c r="AC239" i="5"/>
  <c r="U285" i="4" a="1"/>
  <c r="U285" i="4"/>
  <c r="AD239" i="5"/>
  <c r="X285" i="4"/>
  <c r="AI239" i="5"/>
  <c r="Y285" i="4"/>
  <c r="AJ239" i="5"/>
  <c r="Z285" i="4"/>
  <c r="AL239" i="5"/>
  <c r="L239" i="5"/>
  <c r="N239" i="5"/>
  <c r="O239" i="5"/>
  <c r="Z239" i="5"/>
  <c r="AN239" i="5"/>
  <c r="AG240" i="5"/>
  <c r="AF240" i="5"/>
  <c r="C286" i="4"/>
  <c r="C240" i="5"/>
  <c r="E21" i="2"/>
  <c r="F21" i="2"/>
  <c r="T240" i="5"/>
  <c r="O286" i="4"/>
  <c r="U240" i="5"/>
  <c r="P286" i="4"/>
  <c r="W240" i="5"/>
  <c r="S286" i="4"/>
  <c r="AA240" i="5"/>
  <c r="AI286" i="4"/>
  <c r="T286" i="4" a="1"/>
  <c r="T286" i="4"/>
  <c r="AC240" i="5"/>
  <c r="U286" i="4" a="1"/>
  <c r="U286" i="4"/>
  <c r="AD240" i="5"/>
  <c r="X286" i="4"/>
  <c r="AI240" i="5"/>
  <c r="Y286" i="4"/>
  <c r="AJ240" i="5"/>
  <c r="Z286" i="4"/>
  <c r="AL240" i="5"/>
  <c r="X240" i="5"/>
  <c r="Z240" i="5"/>
  <c r="AN240" i="5"/>
  <c r="AG241" i="5"/>
  <c r="AF241" i="5"/>
  <c r="B51" i="4"/>
  <c r="C51" i="4"/>
  <c r="C241" i="5"/>
  <c r="D51" i="4"/>
  <c r="E241" i="5"/>
  <c r="H51" i="4"/>
  <c r="K241" i="5"/>
  <c r="L51" i="4"/>
  <c r="Q241" i="5"/>
  <c r="M51" i="4"/>
  <c r="R241" i="5"/>
  <c r="T241" i="5"/>
  <c r="U241" i="5"/>
  <c r="P51" i="4"/>
  <c r="W241" i="5"/>
  <c r="Q51" i="4"/>
  <c r="X241" i="5"/>
  <c r="AA241" i="5"/>
  <c r="AI51" i="4"/>
  <c r="T51" i="4" a="1"/>
  <c r="T51" i="4"/>
  <c r="AC241" i="5"/>
  <c r="U51" i="4" a="1"/>
  <c r="U51" i="4"/>
  <c r="AD241" i="5"/>
  <c r="Y51" i="4"/>
  <c r="AJ241" i="5"/>
  <c r="Z51" i="4"/>
  <c r="AL241" i="5"/>
  <c r="F241" i="5"/>
  <c r="H241" i="5"/>
  <c r="I241" i="5"/>
  <c r="L241" i="5"/>
  <c r="N241" i="5"/>
  <c r="O241" i="5"/>
  <c r="Z241" i="5"/>
  <c r="AN241" i="5"/>
  <c r="AG242" i="5"/>
  <c r="AF242" i="5"/>
  <c r="B52" i="4"/>
  <c r="C52" i="4"/>
  <c r="C242" i="5"/>
  <c r="D52" i="4"/>
  <c r="E242" i="5"/>
  <c r="H52" i="4"/>
  <c r="K242" i="5"/>
  <c r="L52" i="4"/>
  <c r="Q242" i="5"/>
  <c r="M52" i="4"/>
  <c r="R242" i="5"/>
  <c r="T242" i="5"/>
  <c r="O52" i="4"/>
  <c r="U242" i="5"/>
  <c r="P52" i="4"/>
  <c r="W242" i="5"/>
  <c r="Q52" i="4"/>
  <c r="X242" i="5"/>
  <c r="AA242" i="5"/>
  <c r="AI52" i="4"/>
  <c r="T52" i="4" a="1"/>
  <c r="T52" i="4"/>
  <c r="AC242" i="5"/>
  <c r="U52" i="4" a="1"/>
  <c r="U52" i="4"/>
  <c r="AD242" i="5"/>
  <c r="AI242" i="5"/>
  <c r="Y52" i="4"/>
  <c r="AJ242" i="5"/>
  <c r="Z52" i="4"/>
  <c r="AL242" i="5"/>
  <c r="F242" i="5"/>
  <c r="H242" i="5"/>
  <c r="I242" i="5"/>
  <c r="L242" i="5"/>
  <c r="N242" i="5"/>
  <c r="O242" i="5"/>
  <c r="Z242" i="5"/>
  <c r="AN242" i="5"/>
  <c r="AG243" i="5"/>
  <c r="AF243" i="5"/>
  <c r="B53" i="4"/>
  <c r="C53" i="4"/>
  <c r="C243" i="5"/>
  <c r="D53" i="4"/>
  <c r="E243" i="5"/>
  <c r="H53" i="4"/>
  <c r="K243" i="5"/>
  <c r="L53" i="4"/>
  <c r="Q243" i="5"/>
  <c r="M53" i="4"/>
  <c r="R243" i="5"/>
  <c r="T243" i="5"/>
  <c r="O53" i="4"/>
  <c r="U243" i="5"/>
  <c r="P53" i="4"/>
  <c r="W243" i="5"/>
  <c r="Q53" i="4"/>
  <c r="X243" i="5"/>
  <c r="AA243" i="5"/>
  <c r="AI53" i="4"/>
  <c r="T53" i="4" a="1"/>
  <c r="T53" i="4"/>
  <c r="AC243" i="5"/>
  <c r="U53" i="4" a="1"/>
  <c r="U53" i="4"/>
  <c r="AD243" i="5"/>
  <c r="AI243" i="5"/>
  <c r="Y53" i="4"/>
  <c r="AJ243" i="5"/>
  <c r="Z53" i="4"/>
  <c r="AL243" i="5"/>
  <c r="F243" i="5"/>
  <c r="H243" i="5"/>
  <c r="I243" i="5"/>
  <c r="L243" i="5"/>
  <c r="N243" i="5"/>
  <c r="O243" i="5"/>
  <c r="Z243" i="5"/>
  <c r="AN243" i="5"/>
  <c r="AG244" i="5"/>
  <c r="AF244" i="5"/>
  <c r="B54" i="4"/>
  <c r="C54" i="4"/>
  <c r="C244" i="5"/>
  <c r="D54" i="4"/>
  <c r="E244" i="5"/>
  <c r="H54" i="4"/>
  <c r="K244" i="5"/>
  <c r="L54" i="4"/>
  <c r="Q244" i="5"/>
  <c r="M54" i="4"/>
  <c r="R244" i="5"/>
  <c r="T244" i="5"/>
  <c r="U244" i="5"/>
  <c r="P54" i="4"/>
  <c r="W244" i="5"/>
  <c r="Q54" i="4"/>
  <c r="X244" i="5"/>
  <c r="AA244" i="5"/>
  <c r="AI54" i="4"/>
  <c r="T54" i="4" a="1"/>
  <c r="T54" i="4"/>
  <c r="AC244" i="5"/>
  <c r="U54" i="4" a="1"/>
  <c r="U54" i="4"/>
  <c r="AD244" i="5"/>
  <c r="X54" i="4"/>
  <c r="AI244" i="5"/>
  <c r="Y54" i="4"/>
  <c r="AJ244" i="5"/>
  <c r="Z54" i="4"/>
  <c r="AL244" i="5"/>
  <c r="F244" i="5"/>
  <c r="H244" i="5"/>
  <c r="I244" i="5"/>
  <c r="L244" i="5"/>
  <c r="N244" i="5"/>
  <c r="O244" i="5"/>
  <c r="Z244" i="5"/>
  <c r="AN244" i="5"/>
  <c r="AG245" i="5"/>
  <c r="AF245" i="5"/>
  <c r="B55" i="4"/>
  <c r="C55" i="4"/>
  <c r="C245" i="5"/>
  <c r="D55" i="4"/>
  <c r="E245" i="5"/>
  <c r="H55" i="4"/>
  <c r="K245" i="5"/>
  <c r="L55" i="4"/>
  <c r="Q245" i="5"/>
  <c r="M55" i="4"/>
  <c r="R245" i="5"/>
  <c r="T245" i="5"/>
  <c r="U245" i="5"/>
  <c r="P55" i="4"/>
  <c r="W245" i="5"/>
  <c r="Q55" i="4"/>
  <c r="X245" i="5"/>
  <c r="AA245" i="5"/>
  <c r="AI55" i="4"/>
  <c r="T55" i="4" a="1"/>
  <c r="T55" i="4"/>
  <c r="AC245" i="5"/>
  <c r="U55" i="4" a="1"/>
  <c r="U55" i="4"/>
  <c r="AD245" i="5"/>
  <c r="X55" i="4"/>
  <c r="AI245" i="5"/>
  <c r="Y55" i="4"/>
  <c r="AJ245" i="5"/>
  <c r="Z55" i="4"/>
  <c r="AL245" i="5"/>
  <c r="F245" i="5"/>
  <c r="H245" i="5"/>
  <c r="I245" i="5"/>
  <c r="L245" i="5"/>
  <c r="N245" i="5"/>
  <c r="O245" i="5"/>
  <c r="Z245" i="5"/>
  <c r="AN245" i="5"/>
  <c r="AG246" i="5"/>
  <c r="AF246" i="5"/>
  <c r="B56" i="4"/>
  <c r="C56" i="4"/>
  <c r="C246" i="5"/>
  <c r="D56" i="4"/>
  <c r="E246" i="5"/>
  <c r="H56" i="4"/>
  <c r="K246" i="5"/>
  <c r="L56" i="4"/>
  <c r="Q246" i="5"/>
  <c r="M56" i="4"/>
  <c r="R246" i="5"/>
  <c r="T246" i="5"/>
  <c r="U246" i="5"/>
  <c r="P56" i="4"/>
  <c r="W246" i="5"/>
  <c r="Q56" i="4"/>
  <c r="X246" i="5"/>
  <c r="AA246" i="5"/>
  <c r="AI56" i="4"/>
  <c r="T56" i="4" a="1"/>
  <c r="T56" i="4"/>
  <c r="AC246" i="5"/>
  <c r="U56" i="4" a="1"/>
  <c r="U56" i="4"/>
  <c r="AD246" i="5"/>
  <c r="X56" i="4"/>
  <c r="AI246" i="5"/>
  <c r="Y56" i="4"/>
  <c r="AJ246" i="5"/>
  <c r="Z56" i="4"/>
  <c r="AL246" i="5"/>
  <c r="F246" i="5"/>
  <c r="H246" i="5"/>
  <c r="I246" i="5"/>
  <c r="L246" i="5"/>
  <c r="N246" i="5"/>
  <c r="O246" i="5"/>
  <c r="Z246" i="5"/>
  <c r="AN246" i="5"/>
  <c r="AG247" i="5"/>
  <c r="AF247" i="5"/>
  <c r="C57" i="4"/>
  <c r="C247" i="5"/>
  <c r="D57" i="4"/>
  <c r="E247" i="5"/>
  <c r="K247" i="5"/>
  <c r="L57" i="4"/>
  <c r="Q247" i="5"/>
  <c r="M57" i="4"/>
  <c r="R247" i="5"/>
  <c r="T247" i="5"/>
  <c r="U247" i="5"/>
  <c r="P57" i="4"/>
  <c r="W247" i="5"/>
  <c r="Q57" i="4"/>
  <c r="X247" i="5"/>
  <c r="AA247" i="5"/>
  <c r="AI57" i="4"/>
  <c r="T57" i="4" a="1"/>
  <c r="T57" i="4"/>
  <c r="AC247" i="5"/>
  <c r="U57" i="4" a="1"/>
  <c r="U57" i="4"/>
  <c r="AD247" i="5"/>
  <c r="X57" i="4"/>
  <c r="AI247" i="5"/>
  <c r="Y57" i="4"/>
  <c r="AJ247" i="5"/>
  <c r="Z57" i="4"/>
  <c r="AL247" i="5"/>
  <c r="F247" i="5"/>
  <c r="H247" i="5"/>
  <c r="I247" i="5"/>
  <c r="L247" i="5"/>
  <c r="N247" i="5"/>
  <c r="O247" i="5"/>
  <c r="Z247" i="5"/>
  <c r="AN247" i="5"/>
  <c r="AG248" i="5"/>
  <c r="AF248" i="5"/>
  <c r="B99" i="4"/>
  <c r="C99" i="4"/>
  <c r="C248" i="5"/>
  <c r="D99" i="4"/>
  <c r="E248" i="5"/>
  <c r="H33" i="2"/>
  <c r="H99" i="4"/>
  <c r="K248" i="5"/>
  <c r="L99" i="4"/>
  <c r="Q248" i="5"/>
  <c r="M99" i="4"/>
  <c r="R248" i="5"/>
  <c r="T248" i="5"/>
  <c r="O99" i="4"/>
  <c r="U248" i="5"/>
  <c r="P99" i="4"/>
  <c r="W248" i="5"/>
  <c r="Q99" i="4"/>
  <c r="X248" i="5"/>
  <c r="S99" i="4"/>
  <c r="AA248" i="5"/>
  <c r="AI99" i="4"/>
  <c r="T99" i="4" a="1"/>
  <c r="T99" i="4"/>
  <c r="AC248" i="5"/>
  <c r="U99" i="4" a="1"/>
  <c r="U99" i="4"/>
  <c r="AD248" i="5"/>
  <c r="X99" i="4"/>
  <c r="AI248" i="5"/>
  <c r="Y99" i="4"/>
  <c r="AJ248" i="5"/>
  <c r="Z99" i="4"/>
  <c r="AL248" i="5"/>
  <c r="F248" i="5"/>
  <c r="H248" i="5"/>
  <c r="I248" i="5"/>
  <c r="L248" i="5"/>
  <c r="N248" i="5"/>
  <c r="O248" i="5"/>
  <c r="Z248" i="5"/>
  <c r="AN248" i="5"/>
  <c r="AG249" i="5"/>
  <c r="AF249" i="5"/>
  <c r="B100" i="4"/>
  <c r="C100" i="4"/>
  <c r="C249" i="5"/>
  <c r="D100" i="4"/>
  <c r="E249" i="5"/>
  <c r="H100" i="4"/>
  <c r="K249" i="5"/>
  <c r="L100" i="4"/>
  <c r="Q249" i="5"/>
  <c r="M100" i="4"/>
  <c r="R249" i="5"/>
  <c r="T249" i="5"/>
  <c r="O100" i="4"/>
  <c r="U249" i="5"/>
  <c r="P100" i="4"/>
  <c r="W249" i="5"/>
  <c r="Q100" i="4"/>
  <c r="X249" i="5"/>
  <c r="S100" i="4"/>
  <c r="AA249" i="5"/>
  <c r="AI100" i="4"/>
  <c r="T100" i="4" a="1"/>
  <c r="T100" i="4"/>
  <c r="AC249" i="5"/>
  <c r="U100" i="4" a="1"/>
  <c r="U100" i="4"/>
  <c r="AD249" i="5"/>
  <c r="X100" i="4"/>
  <c r="AI249" i="5"/>
  <c r="Y100" i="4"/>
  <c r="AJ249" i="5"/>
  <c r="Z100" i="4"/>
  <c r="AL249" i="5"/>
  <c r="F249" i="5"/>
  <c r="H249" i="5"/>
  <c r="I249" i="5"/>
  <c r="L249" i="5"/>
  <c r="N249" i="5"/>
  <c r="O249" i="5"/>
  <c r="Z249" i="5"/>
  <c r="AN249" i="5"/>
  <c r="AG250" i="5"/>
  <c r="AF250" i="5"/>
  <c r="B101" i="4"/>
  <c r="C101" i="4"/>
  <c r="C250" i="5"/>
  <c r="D101" i="4"/>
  <c r="E250" i="5"/>
  <c r="K250" i="5"/>
  <c r="L101" i="4"/>
  <c r="Q250" i="5"/>
  <c r="M101" i="4"/>
  <c r="R250" i="5"/>
  <c r="T250" i="5"/>
  <c r="O101" i="4"/>
  <c r="U250" i="5"/>
  <c r="P101" i="4"/>
  <c r="W250" i="5"/>
  <c r="Q101" i="4"/>
  <c r="X250" i="5"/>
  <c r="S101" i="4"/>
  <c r="AA250" i="5"/>
  <c r="AI101" i="4"/>
  <c r="T101" i="4" a="1"/>
  <c r="T101" i="4"/>
  <c r="AC250" i="5"/>
  <c r="U101" i="4" a="1"/>
  <c r="U101" i="4"/>
  <c r="AD250" i="5"/>
  <c r="X101" i="4"/>
  <c r="AI250" i="5"/>
  <c r="Y101" i="4"/>
  <c r="AJ250" i="5"/>
  <c r="Z101" i="4"/>
  <c r="AL250" i="5"/>
  <c r="F250" i="5"/>
  <c r="H250" i="5"/>
  <c r="I250" i="5"/>
  <c r="L250" i="5"/>
  <c r="N250" i="5"/>
  <c r="O250" i="5"/>
  <c r="Z250" i="5"/>
  <c r="AN250" i="5"/>
  <c r="AG251" i="5"/>
  <c r="AF251" i="5"/>
  <c r="B263" i="4"/>
  <c r="C263" i="4"/>
  <c r="C251" i="5"/>
  <c r="D263" i="4"/>
  <c r="E251" i="5"/>
  <c r="K251" i="5"/>
  <c r="L263" i="4"/>
  <c r="Q251" i="5"/>
  <c r="M263" i="4"/>
  <c r="R251" i="5"/>
  <c r="T251" i="5"/>
  <c r="U251" i="5"/>
  <c r="P263" i="4"/>
  <c r="W251" i="5"/>
  <c r="Q263" i="4"/>
  <c r="X251" i="5"/>
  <c r="AA251" i="5"/>
  <c r="AI263" i="4"/>
  <c r="T263" i="4" a="1"/>
  <c r="T263" i="4"/>
  <c r="AC251" i="5"/>
  <c r="U263" i="4" a="1"/>
  <c r="U263" i="4"/>
  <c r="AD251" i="5"/>
  <c r="X263" i="4"/>
  <c r="AI251" i="5"/>
  <c r="Y263" i="4"/>
  <c r="AJ251" i="5"/>
  <c r="Z263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45" i="4"/>
  <c r="C245" i="4"/>
  <c r="C252" i="5"/>
  <c r="D245" i="4"/>
  <c r="E252" i="5"/>
  <c r="I245" i="4"/>
  <c r="L252" i="5"/>
  <c r="J245" i="4"/>
  <c r="N252" i="5"/>
  <c r="L245" i="4"/>
  <c r="Q252" i="5"/>
  <c r="M245" i="4"/>
  <c r="R252" i="5"/>
  <c r="T252" i="5"/>
  <c r="U252" i="5"/>
  <c r="P245" i="4"/>
  <c r="W252" i="5"/>
  <c r="Q245" i="4"/>
  <c r="X252" i="5"/>
  <c r="S245" i="4"/>
  <c r="AA252" i="5"/>
  <c r="AI245" i="4"/>
  <c r="T245" i="4" a="1"/>
  <c r="T245" i="4"/>
  <c r="AC252" i="5"/>
  <c r="U245" i="4" a="1"/>
  <c r="U245" i="4"/>
  <c r="AD252" i="5"/>
  <c r="X245" i="4"/>
  <c r="AI252" i="5"/>
  <c r="Y245" i="4"/>
  <c r="AJ252" i="5"/>
  <c r="Z245" i="4"/>
  <c r="AL252" i="5"/>
  <c r="F252" i="5"/>
  <c r="H252" i="5"/>
  <c r="I252" i="5"/>
  <c r="Z252" i="5"/>
  <c r="AN252" i="5"/>
  <c r="AG253" i="5"/>
  <c r="AF253" i="5"/>
  <c r="C41" i="4"/>
  <c r="C253" i="5"/>
  <c r="T253" i="5"/>
  <c r="U253" i="5"/>
  <c r="P41" i="4"/>
  <c r="W253" i="5"/>
  <c r="Q41" i="4"/>
  <c r="X253" i="5"/>
  <c r="AA253" i="5"/>
  <c r="AI41" i="4"/>
  <c r="T41" i="4" a="1"/>
  <c r="T41" i="4"/>
  <c r="AC253" i="5"/>
  <c r="U41" i="4" a="1"/>
  <c r="U41" i="4"/>
  <c r="AD253" i="5"/>
  <c r="X41" i="4"/>
  <c r="AI253" i="5"/>
  <c r="Y41" i="4"/>
  <c r="AJ253" i="5"/>
  <c r="Z41" i="4"/>
  <c r="AL253" i="5"/>
  <c r="Z253" i="5"/>
  <c r="AN253" i="5"/>
  <c r="O254" i="5"/>
  <c r="B76" i="4"/>
  <c r="H76" i="4"/>
  <c r="K254" i="5"/>
  <c r="AG254" i="5"/>
  <c r="AF254" i="5"/>
  <c r="C76" i="4"/>
  <c r="C254" i="5"/>
  <c r="D76" i="4"/>
  <c r="E254" i="5"/>
  <c r="I76" i="4"/>
  <c r="L254" i="5"/>
  <c r="J76" i="4"/>
  <c r="N254" i="5"/>
  <c r="L76" i="4"/>
  <c r="Q254" i="5"/>
  <c r="M76" i="4"/>
  <c r="R254" i="5"/>
  <c r="T254" i="5"/>
  <c r="O76" i="4"/>
  <c r="U254" i="5"/>
  <c r="P76" i="4"/>
  <c r="W254" i="5"/>
  <c r="Q76" i="4"/>
  <c r="X254" i="5"/>
  <c r="AA254" i="5"/>
  <c r="AI76" i="4"/>
  <c r="T76" i="4" a="1"/>
  <c r="T76" i="4"/>
  <c r="AC254" i="5"/>
  <c r="U76" i="4" a="1"/>
  <c r="U76" i="4"/>
  <c r="AD254" i="5"/>
  <c r="X76" i="4"/>
  <c r="AI254" i="5"/>
  <c r="Y76" i="4"/>
  <c r="AJ254" i="5"/>
  <c r="Z76" i="4"/>
  <c r="AL254" i="5"/>
  <c r="F254" i="5"/>
  <c r="H254" i="5"/>
  <c r="I254" i="5"/>
  <c r="Z254" i="5"/>
  <c r="AN254" i="5"/>
  <c r="AG255" i="5"/>
  <c r="AF255" i="5"/>
  <c r="B81" i="4"/>
  <c r="C81" i="4"/>
  <c r="C255" i="5"/>
  <c r="D81" i="4"/>
  <c r="E255" i="5"/>
  <c r="H81" i="4"/>
  <c r="K255" i="5"/>
  <c r="L81" i="4"/>
  <c r="Q255" i="5"/>
  <c r="M81" i="4"/>
  <c r="R255" i="5"/>
  <c r="T255" i="5"/>
  <c r="O81" i="4"/>
  <c r="U255" i="5"/>
  <c r="W255" i="5"/>
  <c r="Q81" i="4"/>
  <c r="X255" i="5"/>
  <c r="AA255" i="5"/>
  <c r="AI81" i="4"/>
  <c r="T81" i="4" a="1"/>
  <c r="T81" i="4"/>
  <c r="AC255" i="5"/>
  <c r="U81" i="4" a="1"/>
  <c r="U81" i="4"/>
  <c r="AD255" i="5"/>
  <c r="X81" i="4"/>
  <c r="AI255" i="5"/>
  <c r="Y81" i="4"/>
  <c r="AJ255" i="5"/>
  <c r="Z81" i="4"/>
  <c r="AL255" i="5"/>
  <c r="F255" i="5"/>
  <c r="H255" i="5"/>
  <c r="I255" i="5"/>
  <c r="L255" i="5"/>
  <c r="N255" i="5"/>
  <c r="O255" i="5"/>
  <c r="Z255" i="5"/>
  <c r="AN255" i="5"/>
  <c r="AG256" i="5"/>
  <c r="AF256" i="5"/>
  <c r="B110" i="4"/>
  <c r="C110" i="4"/>
  <c r="C256" i="5"/>
  <c r="D110" i="4"/>
  <c r="E256" i="5"/>
  <c r="K256" i="5"/>
  <c r="L110" i="4"/>
  <c r="Q256" i="5"/>
  <c r="M110" i="4"/>
  <c r="R256" i="5"/>
  <c r="T256" i="5"/>
  <c r="U256" i="5"/>
  <c r="W256" i="5"/>
  <c r="Q110" i="4"/>
  <c r="X256" i="5"/>
  <c r="AA256" i="5"/>
  <c r="AI110" i="4"/>
  <c r="T110" i="4" a="1"/>
  <c r="T110" i="4"/>
  <c r="AC256" i="5"/>
  <c r="U110" i="4" a="1"/>
  <c r="U110" i="4"/>
  <c r="AD256" i="5"/>
  <c r="X110" i="4"/>
  <c r="AI256" i="5"/>
  <c r="Y110" i="4"/>
  <c r="AJ256" i="5"/>
  <c r="Z110" i="4"/>
  <c r="AL256" i="5"/>
  <c r="F256" i="5"/>
  <c r="H256" i="5"/>
  <c r="I256" i="5"/>
  <c r="L256" i="5"/>
  <c r="N256" i="5"/>
  <c r="O256" i="5"/>
  <c r="Z256" i="5"/>
  <c r="AN256" i="5"/>
  <c r="AG257" i="5"/>
  <c r="AF257" i="5"/>
  <c r="B257" i="4"/>
  <c r="C257" i="4"/>
  <c r="C257" i="5"/>
  <c r="D257" i="4"/>
  <c r="E257" i="5"/>
  <c r="H257" i="4"/>
  <c r="K257" i="5"/>
  <c r="L257" i="4"/>
  <c r="Q257" i="5"/>
  <c r="M257" i="4"/>
  <c r="R257" i="5"/>
  <c r="T257" i="5"/>
  <c r="O257" i="4"/>
  <c r="U257" i="5"/>
  <c r="P257" i="4"/>
  <c r="W257" i="5"/>
  <c r="Q257" i="4"/>
  <c r="X257" i="5"/>
  <c r="S257" i="4"/>
  <c r="AA257" i="5"/>
  <c r="AI257" i="4"/>
  <c r="T257" i="4" a="1"/>
  <c r="T257" i="4"/>
  <c r="AC257" i="5"/>
  <c r="U257" i="4" a="1"/>
  <c r="U257" i="4"/>
  <c r="AD257" i="5"/>
  <c r="X257" i="4"/>
  <c r="AI257" i="5"/>
  <c r="Y257" i="4"/>
  <c r="AJ257" i="5"/>
  <c r="Z257" i="4"/>
  <c r="AL257" i="5"/>
  <c r="F257" i="5"/>
  <c r="H257" i="5"/>
  <c r="I257" i="5"/>
  <c r="L257" i="5"/>
  <c r="N257" i="5"/>
  <c r="O257" i="5"/>
  <c r="Z257" i="5"/>
  <c r="AN257" i="5"/>
  <c r="AG258" i="5"/>
  <c r="AF258" i="5"/>
  <c r="B243" i="4"/>
  <c r="C243" i="4"/>
  <c r="C258" i="5"/>
  <c r="D243" i="4"/>
  <c r="E258" i="5"/>
  <c r="K258" i="5"/>
  <c r="L243" i="4"/>
  <c r="Q258" i="5"/>
  <c r="M243" i="4"/>
  <c r="R258" i="5"/>
  <c r="T258" i="5"/>
  <c r="U258" i="5"/>
  <c r="P243" i="4"/>
  <c r="W258" i="5"/>
  <c r="Q243" i="4"/>
  <c r="X258" i="5"/>
  <c r="S243" i="4"/>
  <c r="AA258" i="5"/>
  <c r="AI243" i="4"/>
  <c r="T243" i="4" a="1"/>
  <c r="T243" i="4"/>
  <c r="AC258" i="5"/>
  <c r="U243" i="4" a="1"/>
  <c r="U243" i="4"/>
  <c r="AD258" i="5"/>
  <c r="X243" i="4"/>
  <c r="AI258" i="5"/>
  <c r="Y243" i="4"/>
  <c r="AJ258" i="5"/>
  <c r="Z243" i="4"/>
  <c r="AL258" i="5"/>
  <c r="F258" i="5"/>
  <c r="H258" i="5"/>
  <c r="I258" i="5"/>
  <c r="L258" i="5"/>
  <c r="N258" i="5"/>
  <c r="O258" i="5"/>
  <c r="Z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T259" i="5"/>
  <c r="U259" i="5"/>
  <c r="P267" i="4"/>
  <c r="W259" i="5"/>
  <c r="Q267" i="4"/>
  <c r="X259" i="5"/>
  <c r="S267" i="4"/>
  <c r="AA259" i="5"/>
  <c r="AI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F259" i="5"/>
  <c r="H259" i="5"/>
  <c r="I259" i="5"/>
  <c r="L259" i="5"/>
  <c r="N259" i="5"/>
  <c r="O259" i="5"/>
  <c r="Z259" i="5"/>
  <c r="AN259" i="5"/>
  <c r="AG260" i="5"/>
  <c r="AF260" i="5"/>
  <c r="B268" i="4"/>
  <c r="C268" i="4"/>
  <c r="C260" i="5"/>
  <c r="D268" i="4"/>
  <c r="E260" i="5"/>
  <c r="K260" i="5"/>
  <c r="L268" i="4"/>
  <c r="Q260" i="5"/>
  <c r="M268" i="4"/>
  <c r="R260" i="5"/>
  <c r="N268" i="4"/>
  <c r="T260" i="5"/>
  <c r="O2" i="2"/>
  <c r="O268" i="4"/>
  <c r="U260" i="5"/>
  <c r="P268" i="4"/>
  <c r="W260" i="5"/>
  <c r="Q268" i="4"/>
  <c r="X260" i="5"/>
  <c r="S268" i="4"/>
  <c r="AA260" i="5"/>
  <c r="AI268" i="4"/>
  <c r="T268" i="4" a="1"/>
  <c r="T268" i="4"/>
  <c r="AC260" i="5"/>
  <c r="U268" i="4" a="1"/>
  <c r="U268" i="4"/>
  <c r="AD260" i="5"/>
  <c r="X268" i="4"/>
  <c r="AI260" i="5"/>
  <c r="Y268" i="4"/>
  <c r="AJ260" i="5"/>
  <c r="Z268" i="4"/>
  <c r="AL260" i="5"/>
  <c r="F260" i="5"/>
  <c r="H260" i="5"/>
  <c r="I260" i="5"/>
  <c r="L260" i="5"/>
  <c r="N260" i="5"/>
  <c r="O260" i="5"/>
  <c r="Z260" i="5"/>
  <c r="AN260" i="5"/>
  <c r="AG261" i="5"/>
  <c r="AF261" i="5"/>
  <c r="C151" i="4"/>
  <c r="C261" i="5"/>
  <c r="D151" i="4"/>
  <c r="E261" i="5"/>
  <c r="K261" i="5"/>
  <c r="L151" i="4"/>
  <c r="Q261" i="5"/>
  <c r="M151" i="4"/>
  <c r="R261" i="5"/>
  <c r="T261" i="5"/>
  <c r="U261" i="5"/>
  <c r="P151" i="4"/>
  <c r="W261" i="5"/>
  <c r="Q151" i="4"/>
  <c r="X261" i="5"/>
  <c r="S151" i="4"/>
  <c r="AA261" i="5"/>
  <c r="AI151" i="4"/>
  <c r="T151" i="4" a="1"/>
  <c r="T151" i="4"/>
  <c r="AC261" i="5"/>
  <c r="U151" i="4" a="1"/>
  <c r="U151" i="4"/>
  <c r="AD261" i="5"/>
  <c r="X151" i="4"/>
  <c r="AI261" i="5"/>
  <c r="Y151" i="4"/>
  <c r="AJ261" i="5"/>
  <c r="Z151" i="4"/>
  <c r="AL261" i="5"/>
  <c r="F261" i="5"/>
  <c r="H261" i="5"/>
  <c r="I261" i="5"/>
  <c r="L261" i="5"/>
  <c r="N261" i="5"/>
  <c r="O261" i="5"/>
  <c r="Z261" i="5"/>
  <c r="AN261" i="5"/>
  <c r="AG262" i="5"/>
  <c r="AF262" i="5"/>
  <c r="C66" i="4"/>
  <c r="C262" i="5"/>
  <c r="N66" i="4"/>
  <c r="T262" i="5"/>
  <c r="O66" i="4"/>
  <c r="U262" i="5"/>
  <c r="P66" i="4"/>
  <c r="W262" i="5"/>
  <c r="Q66" i="4"/>
  <c r="X262" i="5"/>
  <c r="AA262" i="5"/>
  <c r="AI66" i="4"/>
  <c r="T66" i="4" a="1"/>
  <c r="T66" i="4"/>
  <c r="AC262" i="5"/>
  <c r="U66" i="4" a="1"/>
  <c r="U66" i="4"/>
  <c r="AD262" i="5"/>
  <c r="X66" i="4"/>
  <c r="AI262" i="5"/>
  <c r="Y66" i="4"/>
  <c r="AJ262" i="5"/>
  <c r="Z66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88" i="4"/>
  <c r="C288" i="4"/>
  <c r="C263" i="5"/>
  <c r="D288" i="4"/>
  <c r="E263" i="5"/>
  <c r="E288" i="4"/>
  <c r="F263" i="5"/>
  <c r="F288" i="4"/>
  <c r="H263" i="5"/>
  <c r="I263" i="5"/>
  <c r="I288" i="4"/>
  <c r="L263" i="5"/>
  <c r="J288" i="4"/>
  <c r="N263" i="5"/>
  <c r="L288" i="4"/>
  <c r="Q263" i="5"/>
  <c r="M288" i="4"/>
  <c r="R263" i="5"/>
  <c r="N288" i="4"/>
  <c r="T263" i="5"/>
  <c r="U263" i="5"/>
  <c r="P288" i="4"/>
  <c r="W263" i="5"/>
  <c r="Q288" i="4"/>
  <c r="X263" i="5"/>
  <c r="S288" i="4"/>
  <c r="AA263" i="5"/>
  <c r="AI288" i="4"/>
  <c r="T288" i="4" a="1"/>
  <c r="T288" i="4"/>
  <c r="AC263" i="5"/>
  <c r="U288" i="4" a="1"/>
  <c r="U288" i="4"/>
  <c r="AD263" i="5"/>
  <c r="AI263" i="5"/>
  <c r="Y288" i="4"/>
  <c r="AJ263" i="5"/>
  <c r="Z288" i="4"/>
  <c r="AL263" i="5"/>
  <c r="Z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I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H264" i="5"/>
  <c r="I264" i="5"/>
  <c r="Z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H266" i="5"/>
  <c r="I266" i="5"/>
  <c r="Z266" i="5"/>
  <c r="AN266" i="5"/>
  <c r="AG267" i="5"/>
  <c r="AF267" i="5"/>
  <c r="B296" i="4"/>
  <c r="C296" i="4"/>
  <c r="C267" i="5"/>
  <c r="D296" i="4"/>
  <c r="E267" i="5"/>
  <c r="E296" i="4"/>
  <c r="F267" i="5"/>
  <c r="F296" i="4"/>
  <c r="H267" i="5"/>
  <c r="I267" i="5"/>
  <c r="H296" i="4"/>
  <c r="K267" i="5"/>
  <c r="L296" i="4"/>
  <c r="Q267" i="5"/>
  <c r="M296" i="4"/>
  <c r="R267" i="5"/>
  <c r="N296" i="4"/>
  <c r="T267" i="5"/>
  <c r="O296" i="4"/>
  <c r="U267" i="5"/>
  <c r="P296" i="4"/>
  <c r="W267" i="5"/>
  <c r="Q296" i="4"/>
  <c r="X267" i="5"/>
  <c r="S296" i="4"/>
  <c r="AA267" i="5"/>
  <c r="AI296" i="4"/>
  <c r="T296" i="4" a="1"/>
  <c r="T296" i="4"/>
  <c r="AC267" i="5"/>
  <c r="U296" i="4" a="1"/>
  <c r="U296" i="4"/>
  <c r="AD267" i="5"/>
  <c r="X296" i="4"/>
  <c r="AI267" i="5"/>
  <c r="Y296" i="4"/>
  <c r="AJ267" i="5"/>
  <c r="Z296" i="4"/>
  <c r="AL267" i="5"/>
  <c r="L267" i="5"/>
  <c r="N267" i="5"/>
  <c r="O267" i="5"/>
  <c r="Z267" i="5"/>
  <c r="AN267" i="5"/>
  <c r="O268" i="5"/>
  <c r="H126" i="4"/>
  <c r="K268" i="5"/>
  <c r="AG268" i="5"/>
  <c r="AF268" i="5"/>
  <c r="C126" i="4"/>
  <c r="C268" i="5"/>
  <c r="D126" i="4"/>
  <c r="E268" i="5"/>
  <c r="I126" i="4"/>
  <c r="L268" i="5"/>
  <c r="J126" i="4"/>
  <c r="N268" i="5"/>
  <c r="L126" i="4"/>
  <c r="Q268" i="5"/>
  <c r="M126" i="4"/>
  <c r="R268" i="5"/>
  <c r="T268" i="5"/>
  <c r="O126" i="4"/>
  <c r="U268" i="5"/>
  <c r="P126" i="4"/>
  <c r="W268" i="5"/>
  <c r="Q126" i="4"/>
  <c r="X268" i="5"/>
  <c r="S126" i="4"/>
  <c r="AA268" i="5"/>
  <c r="AI126" i="4"/>
  <c r="T126" i="4" a="1"/>
  <c r="T126" i="4"/>
  <c r="AC268" i="5"/>
  <c r="U126" i="4" a="1"/>
  <c r="U126" i="4"/>
  <c r="AD268" i="5"/>
  <c r="X126" i="4"/>
  <c r="AI268" i="5"/>
  <c r="Y126" i="4"/>
  <c r="AJ268" i="5"/>
  <c r="Z126" i="4"/>
  <c r="AL268" i="5"/>
  <c r="F268" i="5"/>
  <c r="H268" i="5"/>
  <c r="I268" i="5"/>
  <c r="Z268" i="5"/>
  <c r="AN268" i="5"/>
  <c r="B277" i="4"/>
  <c r="S277" i="4"/>
  <c r="AA269" i="5"/>
  <c r="P277" i="4"/>
  <c r="W269" i="5"/>
  <c r="AG269" i="5"/>
  <c r="AF269" i="5"/>
  <c r="C277" i="4"/>
  <c r="C269" i="5"/>
  <c r="D277" i="4"/>
  <c r="E269" i="5"/>
  <c r="E277" i="4"/>
  <c r="F269" i="5"/>
  <c r="F277" i="4"/>
  <c r="H269" i="5"/>
  <c r="I269" i="5"/>
  <c r="K269" i="5"/>
  <c r="L277" i="4"/>
  <c r="Q269" i="5"/>
  <c r="M277" i="4"/>
  <c r="R269" i="5"/>
  <c r="T269" i="5"/>
  <c r="U269" i="5"/>
  <c r="Q277" i="4"/>
  <c r="X269" i="5"/>
  <c r="R277" i="4"/>
  <c r="Z269" i="5"/>
  <c r="AI277" i="4"/>
  <c r="T277" i="4" a="1"/>
  <c r="T277" i="4"/>
  <c r="AC269" i="5"/>
  <c r="U277" i="4" a="1"/>
  <c r="U277" i="4"/>
  <c r="AD269" i="5"/>
  <c r="X277" i="4"/>
  <c r="AI269" i="5"/>
  <c r="Y277" i="4"/>
  <c r="AJ269" i="5"/>
  <c r="Z277" i="4"/>
  <c r="AL269" i="5"/>
  <c r="L269" i="5"/>
  <c r="N269" i="5"/>
  <c r="O269" i="5"/>
  <c r="AN269" i="5"/>
  <c r="B17" i="4"/>
  <c r="S17" i="4"/>
  <c r="AA270" i="5"/>
  <c r="P17" i="4"/>
  <c r="W270" i="5"/>
  <c r="AG270" i="5"/>
  <c r="AF270" i="5"/>
  <c r="C17" i="4"/>
  <c r="C270" i="5"/>
  <c r="D17" i="4"/>
  <c r="E270" i="5"/>
  <c r="E17" i="4"/>
  <c r="F270" i="5"/>
  <c r="F17" i="4"/>
  <c r="H270" i="5"/>
  <c r="I270" i="5"/>
  <c r="K270" i="5"/>
  <c r="L17" i="4"/>
  <c r="Q270" i="5"/>
  <c r="O17" i="4"/>
  <c r="U270" i="5"/>
  <c r="Q17" i="4"/>
  <c r="X270" i="5"/>
  <c r="R17" i="4"/>
  <c r="Z270" i="5"/>
  <c r="AI17" i="4"/>
  <c r="T17" i="4" a="1"/>
  <c r="T17" i="4"/>
  <c r="AC270" i="5"/>
  <c r="U17" i="4" a="1"/>
  <c r="U17" i="4"/>
  <c r="AD270" i="5"/>
  <c r="X17" i="4"/>
  <c r="AI270" i="5"/>
  <c r="Y17" i="4"/>
  <c r="AJ270" i="5"/>
  <c r="Z17" i="4"/>
  <c r="AL270" i="5"/>
  <c r="L270" i="5"/>
  <c r="N270" i="5"/>
  <c r="O270" i="5"/>
  <c r="R270" i="5"/>
  <c r="AN270" i="5"/>
  <c r="O271" i="5"/>
  <c r="H157" i="4"/>
  <c r="K271" i="5"/>
  <c r="AG271" i="5"/>
  <c r="AF271" i="5"/>
  <c r="C157" i="4"/>
  <c r="C271" i="5"/>
  <c r="D157" i="4"/>
  <c r="E271" i="5"/>
  <c r="E157" i="4"/>
  <c r="F271" i="5"/>
  <c r="F157" i="4"/>
  <c r="H271" i="5"/>
  <c r="I271" i="5"/>
  <c r="I157" i="4"/>
  <c r="L271" i="5"/>
  <c r="J157" i="4"/>
  <c r="N271" i="5"/>
  <c r="L157" i="4"/>
  <c r="Q271" i="5"/>
  <c r="M157" i="4"/>
  <c r="R271" i="5"/>
  <c r="N157" i="4"/>
  <c r="T271" i="5"/>
  <c r="O157" i="4"/>
  <c r="U271" i="5"/>
  <c r="P157" i="4"/>
  <c r="W271" i="5"/>
  <c r="Q157" i="4"/>
  <c r="X271" i="5"/>
  <c r="S157" i="4"/>
  <c r="AA271" i="5"/>
  <c r="AI157" i="4"/>
  <c r="T157" i="4" a="1"/>
  <c r="T157" i="4"/>
  <c r="AC271" i="5"/>
  <c r="U157" i="4" a="1"/>
  <c r="U157" i="4"/>
  <c r="AD271" i="5"/>
  <c r="X157" i="4"/>
  <c r="AI271" i="5"/>
  <c r="Y157" i="4"/>
  <c r="AJ271" i="5"/>
  <c r="Z157" i="4"/>
  <c r="AL271" i="5"/>
  <c r="Z271" i="5"/>
  <c r="AN271" i="5"/>
  <c r="O272" i="5"/>
  <c r="B42" i="4"/>
  <c r="H42" i="4"/>
  <c r="K272" i="5"/>
  <c r="AG272" i="5"/>
  <c r="AF272" i="5"/>
  <c r="C42" i="4"/>
  <c r="C272" i="5"/>
  <c r="D42" i="4"/>
  <c r="E272" i="5"/>
  <c r="E42" i="4"/>
  <c r="F272" i="5"/>
  <c r="F42" i="4"/>
  <c r="H272" i="5"/>
  <c r="I272" i="5"/>
  <c r="I43" i="2"/>
  <c r="I42" i="4"/>
  <c r="L272" i="5"/>
  <c r="J43" i="2"/>
  <c r="J42" i="4"/>
  <c r="N272" i="5"/>
  <c r="L42" i="4"/>
  <c r="Q272" i="5"/>
  <c r="M42" i="4"/>
  <c r="R272" i="5"/>
  <c r="T272" i="5"/>
  <c r="O42" i="4"/>
  <c r="U272" i="5"/>
  <c r="W272" i="5"/>
  <c r="Q42" i="4"/>
  <c r="X272" i="5"/>
  <c r="AA272" i="5"/>
  <c r="AI42" i="4"/>
  <c r="T42" i="4" a="1"/>
  <c r="T42" i="4"/>
  <c r="AC272" i="5"/>
  <c r="U42" i="4" a="1"/>
  <c r="U42" i="4"/>
  <c r="AD272" i="5"/>
  <c r="X42" i="4"/>
  <c r="AI272" i="5"/>
  <c r="Y42" i="4"/>
  <c r="AJ272" i="5"/>
  <c r="Z42" i="4"/>
  <c r="AL272" i="5"/>
  <c r="Z272" i="5"/>
  <c r="AN272" i="5"/>
  <c r="AG273" i="5"/>
  <c r="AF273" i="5"/>
  <c r="B72" i="4"/>
  <c r="C72" i="4"/>
  <c r="C273" i="5"/>
  <c r="D72" i="4"/>
  <c r="E273" i="5"/>
  <c r="H72" i="4"/>
  <c r="K273" i="5"/>
  <c r="L72" i="4"/>
  <c r="Q273" i="5"/>
  <c r="M72" i="4"/>
  <c r="R273" i="5"/>
  <c r="T273" i="5"/>
  <c r="O72" i="4"/>
  <c r="U273" i="5"/>
  <c r="P72" i="4"/>
  <c r="W273" i="5"/>
  <c r="Q72" i="4"/>
  <c r="X273" i="5"/>
  <c r="S72" i="4"/>
  <c r="AA273" i="5"/>
  <c r="AI72" i="4"/>
  <c r="T72" i="4" a="1"/>
  <c r="T72" i="4"/>
  <c r="AC273" i="5"/>
  <c r="U72" i="4" a="1"/>
  <c r="U72" i="4"/>
  <c r="AD273" i="5"/>
  <c r="X72" i="4"/>
  <c r="AI273" i="5"/>
  <c r="Y72" i="4"/>
  <c r="AJ273" i="5"/>
  <c r="Z72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128" i="4"/>
  <c r="C274" i="5"/>
  <c r="D128" i="4"/>
  <c r="E274" i="5"/>
  <c r="L274" i="5"/>
  <c r="N274" i="5"/>
  <c r="L128" i="4"/>
  <c r="Q274" i="5"/>
  <c r="M128" i="4"/>
  <c r="R274" i="5"/>
  <c r="N128" i="4"/>
  <c r="T274" i="5"/>
  <c r="U274" i="5"/>
  <c r="P128" i="4"/>
  <c r="W274" i="5"/>
  <c r="X274" i="5"/>
  <c r="AA274" i="5"/>
  <c r="AI128" i="4"/>
  <c r="T128" i="4" a="1"/>
  <c r="T128" i="4"/>
  <c r="AC274" i="5"/>
  <c r="U128" i="4" a="1"/>
  <c r="U128" i="4"/>
  <c r="AD274" i="5"/>
  <c r="X128" i="4"/>
  <c r="AI274" i="5"/>
  <c r="Y128" i="4"/>
  <c r="AJ274" i="5"/>
  <c r="Z128" i="4"/>
  <c r="AL274" i="5"/>
  <c r="F274" i="5"/>
  <c r="H274" i="5"/>
  <c r="I274" i="5"/>
  <c r="Z274" i="5"/>
  <c r="AN274" i="5"/>
  <c r="AG275" i="5"/>
  <c r="AF275" i="5"/>
  <c r="C159" i="4"/>
  <c r="C275" i="5"/>
  <c r="D159" i="4"/>
  <c r="E275" i="5"/>
  <c r="H159" i="4"/>
  <c r="K275" i="5"/>
  <c r="L159" i="4"/>
  <c r="Q275" i="5"/>
  <c r="M159" i="4"/>
  <c r="R275" i="5"/>
  <c r="N159" i="4"/>
  <c r="T275" i="5"/>
  <c r="U275" i="5"/>
  <c r="P159" i="4"/>
  <c r="W275" i="5"/>
  <c r="Q159" i="4"/>
  <c r="X275" i="5"/>
  <c r="AA275" i="5"/>
  <c r="AI159" i="4"/>
  <c r="T159" i="4" a="1"/>
  <c r="T159" i="4"/>
  <c r="AC275" i="5"/>
  <c r="U159" i="4" a="1"/>
  <c r="U159" i="4"/>
  <c r="AD275" i="5"/>
  <c r="Y159" i="4"/>
  <c r="AJ275" i="5"/>
  <c r="Z159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C160" i="4"/>
  <c r="C277" i="5"/>
  <c r="D160" i="4"/>
  <c r="E277" i="5"/>
  <c r="H160" i="4"/>
  <c r="K277" i="5"/>
  <c r="L160" i="4"/>
  <c r="Q277" i="5"/>
  <c r="M160" i="4"/>
  <c r="R277" i="5"/>
  <c r="N160" i="4"/>
  <c r="T277" i="5"/>
  <c r="U277" i="5"/>
  <c r="P160" i="4"/>
  <c r="W277" i="5"/>
  <c r="Q160" i="4"/>
  <c r="X277" i="5"/>
  <c r="AA277" i="5"/>
  <c r="AI160" i="4"/>
  <c r="T160" i="4" a="1"/>
  <c r="T160" i="4"/>
  <c r="AC277" i="5"/>
  <c r="U160" i="4" a="1"/>
  <c r="U160" i="4"/>
  <c r="AD277" i="5"/>
  <c r="X160" i="4"/>
  <c r="AI277" i="5"/>
  <c r="Y160" i="4"/>
  <c r="AJ277" i="5"/>
  <c r="Z160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09" i="4"/>
  <c r="C278" i="5"/>
  <c r="D109" i="4"/>
  <c r="E278" i="5"/>
  <c r="I109" i="4"/>
  <c r="L278" i="5"/>
  <c r="J109" i="4"/>
  <c r="N278" i="5"/>
  <c r="L109" i="4"/>
  <c r="Q278" i="5"/>
  <c r="M109" i="4"/>
  <c r="R278" i="5"/>
  <c r="N109" i="4"/>
  <c r="T278" i="5"/>
  <c r="O109" i="4"/>
  <c r="U278" i="5"/>
  <c r="P109" i="4"/>
  <c r="W278" i="5"/>
  <c r="Q109" i="4"/>
  <c r="X278" i="5"/>
  <c r="S109" i="4"/>
  <c r="AA278" i="5"/>
  <c r="AI109" i="4"/>
  <c r="T109" i="4" a="1"/>
  <c r="T109" i="4"/>
  <c r="AC278" i="5"/>
  <c r="U109" i="4" a="1"/>
  <c r="U109" i="4"/>
  <c r="AD278" i="5"/>
  <c r="AI278" i="5"/>
  <c r="Y109" i="4"/>
  <c r="AJ278" i="5"/>
  <c r="Z109" i="4"/>
  <c r="AL278" i="5"/>
  <c r="F278" i="5"/>
  <c r="H278" i="5"/>
  <c r="I278" i="5"/>
  <c r="Z278" i="5"/>
  <c r="AN278" i="5"/>
  <c r="AG279" i="5"/>
  <c r="AF279" i="5"/>
  <c r="B45" i="4"/>
  <c r="C45" i="4"/>
  <c r="C279" i="5"/>
  <c r="D45" i="4"/>
  <c r="E279" i="5"/>
  <c r="H45" i="4"/>
  <c r="K279" i="5"/>
  <c r="L45" i="4"/>
  <c r="Q279" i="5"/>
  <c r="M45" i="4"/>
  <c r="R279" i="5"/>
  <c r="T279" i="5"/>
  <c r="O45" i="4"/>
  <c r="U279" i="5"/>
  <c r="P45" i="4"/>
  <c r="W279" i="5"/>
  <c r="Q45" i="4"/>
  <c r="X279" i="5"/>
  <c r="S45" i="4"/>
  <c r="AA279" i="5"/>
  <c r="AI45" i="4"/>
  <c r="T45" i="4" a="1"/>
  <c r="T45" i="4"/>
  <c r="AC279" i="5"/>
  <c r="U45" i="4" a="1"/>
  <c r="U45" i="4"/>
  <c r="AD279" i="5"/>
  <c r="X45" i="4"/>
  <c r="AI279" i="5"/>
  <c r="Y45" i="4"/>
  <c r="AJ279" i="5"/>
  <c r="Z45" i="4"/>
  <c r="AL279" i="5"/>
  <c r="F279" i="5"/>
  <c r="H279" i="5"/>
  <c r="I279" i="5"/>
  <c r="L279" i="5"/>
  <c r="N279" i="5"/>
  <c r="O279" i="5"/>
  <c r="Z279" i="5"/>
  <c r="AN279" i="5"/>
  <c r="AG280" i="5"/>
  <c r="AF280" i="5"/>
  <c r="C169" i="4"/>
  <c r="C280" i="5"/>
  <c r="T280" i="5"/>
  <c r="O169" i="4"/>
  <c r="U280" i="5"/>
  <c r="P169" i="4"/>
  <c r="W280" i="5"/>
  <c r="Q169" i="4"/>
  <c r="X280" i="5"/>
  <c r="AA280" i="5"/>
  <c r="AI169" i="4"/>
  <c r="T169" i="4" a="1"/>
  <c r="T169" i="4"/>
  <c r="AC280" i="5"/>
  <c r="U169" i="4" a="1"/>
  <c r="U169" i="4"/>
  <c r="AD280" i="5"/>
  <c r="X169" i="4"/>
  <c r="AI280" i="5"/>
  <c r="Y169" i="4"/>
  <c r="AJ280" i="5"/>
  <c r="Z169" i="4"/>
  <c r="AL280" i="5"/>
  <c r="F280" i="5"/>
  <c r="H280" i="5"/>
  <c r="I280" i="5"/>
  <c r="L280" i="5"/>
  <c r="N280" i="5"/>
  <c r="O280" i="5"/>
  <c r="Z280" i="5"/>
  <c r="AN280" i="5"/>
  <c r="AG281" i="5"/>
  <c r="AF281" i="5"/>
  <c r="C170" i="4"/>
  <c r="C281" i="5"/>
  <c r="D170" i="4"/>
  <c r="E281" i="5"/>
  <c r="H170" i="4"/>
  <c r="K281" i="5"/>
  <c r="L170" i="4"/>
  <c r="Q281" i="5"/>
  <c r="M170" i="4"/>
  <c r="R281" i="5"/>
  <c r="T281" i="5"/>
  <c r="O170" i="4"/>
  <c r="U281" i="5"/>
  <c r="P170" i="4"/>
  <c r="W281" i="5"/>
  <c r="Q170" i="4"/>
  <c r="X281" i="5"/>
  <c r="S170" i="4"/>
  <c r="AA281" i="5"/>
  <c r="AI170" i="4"/>
  <c r="T170" i="4" a="1"/>
  <c r="T170" i="4"/>
  <c r="AC281" i="5"/>
  <c r="U170" i="4" a="1"/>
  <c r="U170" i="4"/>
  <c r="AD281" i="5"/>
  <c r="X170" i="4"/>
  <c r="AI281" i="5"/>
  <c r="Y170" i="4"/>
  <c r="AJ281" i="5"/>
  <c r="Z170" i="4"/>
  <c r="AL281" i="5"/>
  <c r="F281" i="5"/>
  <c r="H281" i="5"/>
  <c r="I281" i="5"/>
  <c r="L281" i="5"/>
  <c r="N281" i="5"/>
  <c r="O281" i="5"/>
  <c r="Z281" i="5"/>
  <c r="AN281" i="5"/>
  <c r="AG282" i="5"/>
  <c r="AF282" i="5"/>
  <c r="C171" i="4"/>
  <c r="C282" i="5"/>
  <c r="D171" i="4"/>
  <c r="E282" i="5"/>
  <c r="H171" i="4"/>
  <c r="K282" i="5"/>
  <c r="L171" i="4"/>
  <c r="Q282" i="5"/>
  <c r="M171" i="4"/>
  <c r="R282" i="5"/>
  <c r="T282" i="5"/>
  <c r="O171" i="4"/>
  <c r="U282" i="5"/>
  <c r="P171" i="4"/>
  <c r="W282" i="5"/>
  <c r="Q171" i="4"/>
  <c r="X282" i="5"/>
  <c r="S171" i="4"/>
  <c r="AA282" i="5"/>
  <c r="AI171" i="4"/>
  <c r="T171" i="4" a="1"/>
  <c r="T171" i="4"/>
  <c r="AC282" i="5"/>
  <c r="U171" i="4" a="1"/>
  <c r="U171" i="4"/>
  <c r="AD282" i="5"/>
  <c r="X171" i="4"/>
  <c r="AI282" i="5"/>
  <c r="Y171" i="4"/>
  <c r="AJ282" i="5"/>
  <c r="Z171" i="4"/>
  <c r="AL282" i="5"/>
  <c r="F282" i="5"/>
  <c r="H282" i="5"/>
  <c r="I282" i="5"/>
  <c r="L282" i="5"/>
  <c r="N282" i="5"/>
  <c r="O282" i="5"/>
  <c r="Z282" i="5"/>
  <c r="AN282" i="5"/>
  <c r="AG283" i="5"/>
  <c r="AF283" i="5"/>
  <c r="C134" i="4"/>
  <c r="C283" i="5"/>
  <c r="D134" i="4"/>
  <c r="E283" i="5"/>
  <c r="K283" i="5"/>
  <c r="L134" i="4"/>
  <c r="Q283" i="5"/>
  <c r="M134" i="4"/>
  <c r="R283" i="5"/>
  <c r="N134" i="4"/>
  <c r="T283" i="5"/>
  <c r="U283" i="5"/>
  <c r="P134" i="4"/>
  <c r="W283" i="5"/>
  <c r="Q134" i="4"/>
  <c r="X283" i="5"/>
  <c r="S134" i="4"/>
  <c r="AA283" i="5"/>
  <c r="AI134" i="4"/>
  <c r="T134" i="4" a="1"/>
  <c r="T134" i="4"/>
  <c r="AC283" i="5"/>
  <c r="U134" i="4" a="1"/>
  <c r="U134" i="4"/>
  <c r="AD283" i="5"/>
  <c r="X134" i="4"/>
  <c r="AI283" i="5"/>
  <c r="Y134" i="4"/>
  <c r="AJ283" i="5"/>
  <c r="Z134" i="4"/>
  <c r="AL283" i="5"/>
  <c r="F283" i="5"/>
  <c r="H283" i="5"/>
  <c r="I283" i="5"/>
  <c r="L283" i="5"/>
  <c r="N283" i="5"/>
  <c r="O283" i="5"/>
  <c r="Z283" i="5"/>
  <c r="AN283" i="5"/>
  <c r="AG284" i="5"/>
  <c r="AF284" i="5"/>
  <c r="C135" i="4"/>
  <c r="C284" i="5"/>
  <c r="D135" i="4"/>
  <c r="E284" i="5"/>
  <c r="K284" i="5"/>
  <c r="L135" i="4"/>
  <c r="Q284" i="5"/>
  <c r="M135" i="4"/>
  <c r="R284" i="5"/>
  <c r="N135" i="4"/>
  <c r="T284" i="5"/>
  <c r="U284" i="5"/>
  <c r="P135" i="4"/>
  <c r="W284" i="5"/>
  <c r="Q135" i="4"/>
  <c r="X284" i="5"/>
  <c r="S135" i="4"/>
  <c r="AA284" i="5"/>
  <c r="AI135" i="4"/>
  <c r="T135" i="4" a="1"/>
  <c r="T135" i="4"/>
  <c r="AC284" i="5"/>
  <c r="U135" i="4" a="1"/>
  <c r="U135" i="4"/>
  <c r="AD284" i="5"/>
  <c r="X135" i="4"/>
  <c r="AI284" i="5"/>
  <c r="Y135" i="4"/>
  <c r="AJ284" i="5"/>
  <c r="Z135" i="4"/>
  <c r="AL284" i="5"/>
  <c r="F284" i="5"/>
  <c r="H284" i="5"/>
  <c r="I284" i="5"/>
  <c r="L284" i="5"/>
  <c r="N284" i="5"/>
  <c r="O284" i="5"/>
  <c r="Z284" i="5"/>
  <c r="AN284" i="5"/>
  <c r="AG285" i="5"/>
  <c r="AF285" i="5"/>
  <c r="B207" i="4"/>
  <c r="C207" i="4"/>
  <c r="C285" i="5"/>
  <c r="D207" i="4"/>
  <c r="E285" i="5"/>
  <c r="H207" i="4"/>
  <c r="K285" i="5"/>
  <c r="L207" i="4"/>
  <c r="Q285" i="5"/>
  <c r="M207" i="4"/>
  <c r="R285" i="5"/>
  <c r="T285" i="5"/>
  <c r="O207" i="4"/>
  <c r="U285" i="5"/>
  <c r="P207" i="4"/>
  <c r="W285" i="5"/>
  <c r="Q207" i="4"/>
  <c r="X285" i="5"/>
  <c r="S207" i="4"/>
  <c r="AA285" i="5"/>
  <c r="AI207" i="4"/>
  <c r="T207" i="4" a="1"/>
  <c r="T207" i="4"/>
  <c r="AC285" i="5"/>
  <c r="U207" i="4" a="1"/>
  <c r="U207" i="4"/>
  <c r="AD285" i="5"/>
  <c r="X207" i="4"/>
  <c r="AI285" i="5"/>
  <c r="Y207" i="4"/>
  <c r="AJ285" i="5"/>
  <c r="Z207" i="4"/>
  <c r="AL285" i="5"/>
  <c r="F285" i="5"/>
  <c r="H285" i="5"/>
  <c r="I285" i="5"/>
  <c r="L285" i="5"/>
  <c r="N285" i="5"/>
  <c r="O285" i="5"/>
  <c r="Z285" i="5"/>
  <c r="AN285" i="5"/>
  <c r="AG286" i="5"/>
  <c r="AF286" i="5"/>
  <c r="B208" i="4"/>
  <c r="C208" i="4"/>
  <c r="C286" i="5"/>
  <c r="D208" i="4"/>
  <c r="E286" i="5"/>
  <c r="H208" i="4"/>
  <c r="K286" i="5"/>
  <c r="L208" i="4"/>
  <c r="Q286" i="5"/>
  <c r="M208" i="4"/>
  <c r="R286" i="5"/>
  <c r="T286" i="5"/>
  <c r="O208" i="4"/>
  <c r="U286" i="5"/>
  <c r="P208" i="4"/>
  <c r="W286" i="5"/>
  <c r="Q208" i="4"/>
  <c r="X286" i="5"/>
  <c r="S208" i="4"/>
  <c r="AA286" i="5"/>
  <c r="AI208" i="4"/>
  <c r="T208" i="4" a="1"/>
  <c r="T208" i="4"/>
  <c r="AC286" i="5"/>
  <c r="U208" i="4" a="1"/>
  <c r="U208" i="4"/>
  <c r="AD286" i="5"/>
  <c r="X208" i="4"/>
  <c r="AI286" i="5"/>
  <c r="Y208" i="4"/>
  <c r="AJ286" i="5"/>
  <c r="Z208" i="4"/>
  <c r="AL286" i="5"/>
  <c r="F286" i="5"/>
  <c r="H286" i="5"/>
  <c r="I286" i="5"/>
  <c r="L286" i="5"/>
  <c r="N286" i="5"/>
  <c r="O286" i="5"/>
  <c r="Z286" i="5"/>
  <c r="AN286" i="5"/>
  <c r="AG287" i="5"/>
  <c r="AF287" i="5"/>
  <c r="C172" i="4"/>
  <c r="C287" i="5"/>
  <c r="T287" i="5"/>
  <c r="O172" i="4"/>
  <c r="U287" i="5"/>
  <c r="P172" i="4"/>
  <c r="W287" i="5"/>
  <c r="Q172" i="4"/>
  <c r="X287" i="5"/>
  <c r="S172" i="4"/>
  <c r="AA287" i="5"/>
  <c r="AI172" i="4"/>
  <c r="T172" i="4" a="1"/>
  <c r="T172" i="4"/>
  <c r="AC287" i="5"/>
  <c r="U172" i="4" a="1"/>
  <c r="U172" i="4"/>
  <c r="AD287" i="5"/>
  <c r="X172" i="4"/>
  <c r="AI287" i="5"/>
  <c r="Y172" i="4"/>
  <c r="AJ287" i="5"/>
  <c r="Z172" i="4"/>
  <c r="AL287" i="5"/>
  <c r="Z287" i="5"/>
  <c r="AN287" i="5"/>
  <c r="AG288" i="5"/>
  <c r="AF288" i="5"/>
  <c r="C173" i="4"/>
  <c r="C288" i="5"/>
  <c r="D173" i="4"/>
  <c r="E288" i="5"/>
  <c r="H173" i="4"/>
  <c r="K288" i="5"/>
  <c r="L173" i="4"/>
  <c r="Q288" i="5"/>
  <c r="M173" i="4"/>
  <c r="R288" i="5"/>
  <c r="T288" i="5"/>
  <c r="O173" i="4"/>
  <c r="U288" i="5"/>
  <c r="P173" i="4"/>
  <c r="W288" i="5"/>
  <c r="Q173" i="4"/>
  <c r="X288" i="5"/>
  <c r="S173" i="4"/>
  <c r="AA288" i="5"/>
  <c r="AI173" i="4"/>
  <c r="T173" i="4" a="1"/>
  <c r="T173" i="4"/>
  <c r="AC288" i="5"/>
  <c r="U173" i="4" a="1"/>
  <c r="U173" i="4"/>
  <c r="AD288" i="5"/>
  <c r="X173" i="4"/>
  <c r="AI288" i="5"/>
  <c r="Y173" i="4"/>
  <c r="AJ288" i="5"/>
  <c r="Z173" i="4"/>
  <c r="AL288" i="5"/>
  <c r="F288" i="5"/>
  <c r="H288" i="5"/>
  <c r="I288" i="5"/>
  <c r="L288" i="5"/>
  <c r="N288" i="5"/>
  <c r="O288" i="5"/>
  <c r="Z288" i="5"/>
  <c r="AN288" i="5"/>
  <c r="AG289" i="5"/>
  <c r="AF289" i="5"/>
  <c r="C174" i="4"/>
  <c r="C289" i="5"/>
  <c r="D174" i="4"/>
  <c r="E289" i="5"/>
  <c r="H174" i="4"/>
  <c r="K289" i="5"/>
  <c r="L174" i="4"/>
  <c r="Q289" i="5"/>
  <c r="M174" i="4"/>
  <c r="R289" i="5"/>
  <c r="T289" i="5"/>
  <c r="O174" i="4"/>
  <c r="U289" i="5"/>
  <c r="P174" i="4"/>
  <c r="W289" i="5"/>
  <c r="Q174" i="4"/>
  <c r="X289" i="5"/>
  <c r="S174" i="4"/>
  <c r="AA289" i="5"/>
  <c r="AI174" i="4"/>
  <c r="T174" i="4" a="1"/>
  <c r="T174" i="4"/>
  <c r="AC289" i="5"/>
  <c r="U174" i="4" a="1"/>
  <c r="U174" i="4"/>
  <c r="AD289" i="5"/>
  <c r="X174" i="4"/>
  <c r="AI289" i="5"/>
  <c r="Y174" i="4"/>
  <c r="AJ289" i="5"/>
  <c r="Z174" i="4"/>
  <c r="AL289" i="5"/>
  <c r="F289" i="5"/>
  <c r="H289" i="5"/>
  <c r="I289" i="5"/>
  <c r="L289" i="5"/>
  <c r="N289" i="5"/>
  <c r="O289" i="5"/>
  <c r="Z289" i="5"/>
  <c r="AN289" i="5"/>
  <c r="AG290" i="5"/>
  <c r="AF290" i="5"/>
  <c r="C175" i="4"/>
  <c r="C290" i="5"/>
  <c r="D175" i="4"/>
  <c r="E290" i="5"/>
  <c r="H175" i="4"/>
  <c r="K290" i="5"/>
  <c r="L175" i="4"/>
  <c r="Q290" i="5"/>
  <c r="M175" i="4"/>
  <c r="R290" i="5"/>
  <c r="T290" i="5"/>
  <c r="O175" i="4"/>
  <c r="U290" i="5"/>
  <c r="P175" i="4"/>
  <c r="W290" i="5"/>
  <c r="Q175" i="4"/>
  <c r="X290" i="5"/>
  <c r="S175" i="4"/>
  <c r="AA290" i="5"/>
  <c r="AI175" i="4"/>
  <c r="T175" i="4" a="1"/>
  <c r="T175" i="4"/>
  <c r="AC290" i="5"/>
  <c r="U175" i="4" a="1"/>
  <c r="U175" i="4"/>
  <c r="AD290" i="5"/>
  <c r="X175" i="4"/>
  <c r="AI290" i="5"/>
  <c r="Y175" i="4"/>
  <c r="AJ290" i="5"/>
  <c r="Z175" i="4"/>
  <c r="AL290" i="5"/>
  <c r="F290" i="5"/>
  <c r="H290" i="5"/>
  <c r="I290" i="5"/>
  <c r="L290" i="5"/>
  <c r="N290" i="5"/>
  <c r="O290" i="5"/>
  <c r="Z290" i="5"/>
  <c r="AN290" i="5"/>
  <c r="B298" i="4"/>
  <c r="S298" i="4"/>
  <c r="AA291" i="5"/>
  <c r="P298" i="4"/>
  <c r="W291" i="5"/>
  <c r="AG291" i="5"/>
  <c r="AF291" i="5"/>
  <c r="C298" i="4"/>
  <c r="C291" i="5"/>
  <c r="D298" i="4"/>
  <c r="E291" i="5"/>
  <c r="H298" i="4"/>
  <c r="K291" i="5"/>
  <c r="L298" i="4"/>
  <c r="Q291" i="5"/>
  <c r="M298" i="4"/>
  <c r="R291" i="5"/>
  <c r="N298" i="4"/>
  <c r="T291" i="5"/>
  <c r="O298" i="4"/>
  <c r="U291" i="5"/>
  <c r="Q298" i="4"/>
  <c r="X291" i="5"/>
  <c r="R39" i="2"/>
  <c r="R298" i="4"/>
  <c r="Z291" i="5"/>
  <c r="AI298" i="4"/>
  <c r="T298" i="4" a="1"/>
  <c r="T298" i="4"/>
  <c r="AC291" i="5"/>
  <c r="U298" i="4" a="1"/>
  <c r="U298" i="4"/>
  <c r="AD291" i="5"/>
  <c r="X298" i="4"/>
  <c r="AI291" i="5"/>
  <c r="Y298" i="4"/>
  <c r="AJ291" i="5"/>
  <c r="Z298" i="4"/>
  <c r="AL291" i="5"/>
  <c r="F291" i="5"/>
  <c r="H291" i="5"/>
  <c r="I291" i="5"/>
  <c r="L291" i="5"/>
  <c r="N291" i="5"/>
  <c r="O291" i="5"/>
  <c r="AN291" i="5"/>
  <c r="AG292" i="5"/>
  <c r="AF292" i="5"/>
  <c r="B88" i="4"/>
  <c r="C88" i="4"/>
  <c r="C292" i="5"/>
  <c r="D88" i="4"/>
  <c r="E292" i="5"/>
  <c r="H88" i="4"/>
  <c r="K292" i="5"/>
  <c r="L88" i="4"/>
  <c r="Q292" i="5"/>
  <c r="M88" i="4"/>
  <c r="R292" i="5"/>
  <c r="N88" i="4"/>
  <c r="T292" i="5"/>
  <c r="O88" i="4"/>
  <c r="U292" i="5"/>
  <c r="P88" i="4"/>
  <c r="W292" i="5"/>
  <c r="Q88" i="4"/>
  <c r="X292" i="5"/>
  <c r="S88" i="4"/>
  <c r="AA292" i="5"/>
  <c r="AI88" i="4"/>
  <c r="T88" i="4" a="1"/>
  <c r="T88" i="4"/>
  <c r="AC292" i="5"/>
  <c r="U88" i="4" a="1"/>
  <c r="U88" i="4"/>
  <c r="AD292" i="5"/>
  <c r="X88" i="4"/>
  <c r="AI292" i="5"/>
  <c r="Y88" i="4"/>
  <c r="AJ292" i="5"/>
  <c r="Z88" i="4"/>
  <c r="AL292" i="5"/>
  <c r="F292" i="5"/>
  <c r="H292" i="5"/>
  <c r="I292" i="5"/>
  <c r="L292" i="5"/>
  <c r="N292" i="5"/>
  <c r="O292" i="5"/>
  <c r="Z292" i="5"/>
  <c r="AN292" i="5"/>
  <c r="AG293" i="5"/>
  <c r="AF293" i="5"/>
  <c r="B97" i="4"/>
  <c r="C97" i="4"/>
  <c r="C293" i="5"/>
  <c r="D97" i="4"/>
  <c r="E293" i="5"/>
  <c r="K293" i="5"/>
  <c r="L97" i="4"/>
  <c r="Q293" i="5"/>
  <c r="M97" i="4"/>
  <c r="R293" i="5"/>
  <c r="T293" i="5"/>
  <c r="U293" i="5"/>
  <c r="P97" i="4"/>
  <c r="W293" i="5"/>
  <c r="Q97" i="4"/>
  <c r="X293" i="5"/>
  <c r="S97" i="4"/>
  <c r="AA293" i="5"/>
  <c r="AI97" i="4"/>
  <c r="T97" i="4" a="1"/>
  <c r="T97" i="4"/>
  <c r="AC293" i="5"/>
  <c r="U97" i="4" a="1"/>
  <c r="U97" i="4"/>
  <c r="AD293" i="5"/>
  <c r="X97" i="4"/>
  <c r="AI293" i="5"/>
  <c r="Y97" i="4"/>
  <c r="AJ293" i="5"/>
  <c r="Z97" i="4"/>
  <c r="AL293" i="5"/>
  <c r="F293" i="5"/>
  <c r="H293" i="5"/>
  <c r="I293" i="5"/>
  <c r="L293" i="5"/>
  <c r="N293" i="5"/>
  <c r="O293" i="5"/>
  <c r="Z293" i="5"/>
  <c r="AN293" i="5"/>
  <c r="AG294" i="5"/>
  <c r="AF294" i="5"/>
  <c r="B200" i="4"/>
  <c r="C200" i="4"/>
  <c r="C294" i="5"/>
  <c r="D200" i="4"/>
  <c r="E294" i="5"/>
  <c r="H200" i="4"/>
  <c r="K294" i="5"/>
  <c r="L200" i="4"/>
  <c r="Q294" i="5"/>
  <c r="M200" i="4"/>
  <c r="R294" i="5"/>
  <c r="T294" i="5"/>
  <c r="O200" i="4"/>
  <c r="U294" i="5"/>
  <c r="P200" i="4"/>
  <c r="W294" i="5"/>
  <c r="Q200" i="4"/>
  <c r="X294" i="5"/>
  <c r="S200" i="4"/>
  <c r="AA294" i="5"/>
  <c r="AI200" i="4"/>
  <c r="T200" i="4" a="1"/>
  <c r="T200" i="4"/>
  <c r="AC294" i="5"/>
  <c r="U200" i="4" a="1"/>
  <c r="U200" i="4"/>
  <c r="AD294" i="5"/>
  <c r="X200" i="4"/>
  <c r="AI294" i="5"/>
  <c r="F294" i="5"/>
  <c r="H294" i="5"/>
  <c r="I294" i="5"/>
  <c r="L294" i="5"/>
  <c r="N294" i="5"/>
  <c r="O294" i="5"/>
  <c r="Z294" i="5"/>
  <c r="AN294" i="5"/>
  <c r="AG295" i="5"/>
  <c r="AF295" i="5"/>
  <c r="B201" i="4"/>
  <c r="C201" i="4"/>
  <c r="C295" i="5"/>
  <c r="D201" i="4"/>
  <c r="E295" i="5"/>
  <c r="H201" i="4"/>
  <c r="K295" i="5"/>
  <c r="L201" i="4"/>
  <c r="Q295" i="5"/>
  <c r="M201" i="4"/>
  <c r="R295" i="5"/>
  <c r="T295" i="5"/>
  <c r="O201" i="4"/>
  <c r="U295" i="5"/>
  <c r="P201" i="4"/>
  <c r="W295" i="5"/>
  <c r="Q201" i="4"/>
  <c r="X295" i="5"/>
  <c r="S201" i="4"/>
  <c r="AA295" i="5"/>
  <c r="AI201" i="4"/>
  <c r="T201" i="4" a="1"/>
  <c r="T201" i="4"/>
  <c r="AC295" i="5"/>
  <c r="U201" i="4" a="1"/>
  <c r="U201" i="4"/>
  <c r="AD295" i="5"/>
  <c r="X201" i="4"/>
  <c r="AI295" i="5"/>
  <c r="F295" i="5"/>
  <c r="H295" i="5"/>
  <c r="I295" i="5"/>
  <c r="L295" i="5"/>
  <c r="N295" i="5"/>
  <c r="O295" i="5"/>
  <c r="Z295" i="5"/>
  <c r="AN295" i="5"/>
  <c r="AG296" i="5"/>
  <c r="AF296" i="5"/>
  <c r="B283" i="4"/>
  <c r="C283" i="4"/>
  <c r="C296" i="5"/>
  <c r="D283" i="4"/>
  <c r="E296" i="5"/>
  <c r="H283" i="4"/>
  <c r="K296" i="5"/>
  <c r="L283" i="4"/>
  <c r="Q296" i="5"/>
  <c r="M283" i="4"/>
  <c r="R296" i="5"/>
  <c r="T296" i="5"/>
  <c r="O283" i="4"/>
  <c r="U296" i="5"/>
  <c r="P283" i="4"/>
  <c r="W296" i="5"/>
  <c r="Q283" i="4"/>
  <c r="X296" i="5"/>
  <c r="S283" i="4"/>
  <c r="AA296" i="5"/>
  <c r="AI283" i="4"/>
  <c r="T283" i="4" a="1"/>
  <c r="T283" i="4"/>
  <c r="AC296" i="5"/>
  <c r="U283" i="4" a="1"/>
  <c r="U283" i="4"/>
  <c r="AD296" i="5"/>
  <c r="X283" i="4"/>
  <c r="AI296" i="5"/>
  <c r="Y283" i="4"/>
  <c r="AJ296" i="5"/>
  <c r="Z283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304" i="4"/>
  <c r="V304" i="4"/>
  <c r="AF299" i="5"/>
  <c r="C45" i="2"/>
  <c r="C304" i="4"/>
  <c r="C299" i="5"/>
  <c r="D304" i="4"/>
  <c r="E299" i="5"/>
  <c r="I304" i="4"/>
  <c r="L299" i="5"/>
  <c r="J304" i="4"/>
  <c r="N299" i="5"/>
  <c r="L304" i="4"/>
  <c r="Q299" i="5"/>
  <c r="M304" i="4"/>
  <c r="R299" i="5"/>
  <c r="N45" i="2"/>
  <c r="N304" i="4"/>
  <c r="T299" i="5"/>
  <c r="O45" i="2"/>
  <c r="O304" i="4"/>
  <c r="U299" i="5"/>
  <c r="P45" i="2"/>
  <c r="P304" i="4"/>
  <c r="W299" i="5"/>
  <c r="Q45" i="2"/>
  <c r="Q304" i="4"/>
  <c r="X299" i="5"/>
  <c r="AA299" i="5"/>
  <c r="T45" i="2"/>
  <c r="T304" i="4"/>
  <c r="AC299" i="5"/>
  <c r="U45" i="2"/>
  <c r="U304" i="4"/>
  <c r="AD299" i="5"/>
  <c r="X45" i="2"/>
  <c r="X304" i="4"/>
  <c r="AI299" i="5"/>
  <c r="Y45" i="2"/>
  <c r="Y304" i="4"/>
  <c r="AJ299" i="5"/>
  <c r="Z45" i="2"/>
  <c r="Z304" i="4"/>
  <c r="AL299" i="5"/>
  <c r="F299" i="5"/>
  <c r="H299" i="5"/>
  <c r="I299" i="5"/>
  <c r="Z299" i="5"/>
  <c r="AN299" i="5"/>
  <c r="AG300" i="5"/>
  <c r="V305" i="4"/>
  <c r="AF300" i="5"/>
  <c r="C305" i="4"/>
  <c r="C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F300" i="5"/>
  <c r="H300" i="5"/>
  <c r="I300" i="5"/>
  <c r="Z300" i="5"/>
  <c r="AN300" i="5"/>
  <c r="O301" i="5"/>
  <c r="K301" i="5"/>
  <c r="AG301" i="5"/>
  <c r="V46" i="2"/>
  <c r="B306" i="4"/>
  <c r="V306" i="4"/>
  <c r="AF301" i="5"/>
  <c r="C46" i="2"/>
  <c r="C306" i="4"/>
  <c r="C301" i="5"/>
  <c r="D46" i="2"/>
  <c r="D306" i="4"/>
  <c r="E301" i="5"/>
  <c r="I46" i="2"/>
  <c r="I306" i="4"/>
  <c r="L301" i="5"/>
  <c r="J46" i="2"/>
  <c r="J306" i="4"/>
  <c r="N301" i="5"/>
  <c r="L46" i="2"/>
  <c r="L306" i="4"/>
  <c r="Q301" i="5"/>
  <c r="M46" i="2"/>
  <c r="M306" i="4"/>
  <c r="R301" i="5"/>
  <c r="N46" i="2"/>
  <c r="N306" i="4"/>
  <c r="T301" i="5"/>
  <c r="O46" i="2"/>
  <c r="O306" i="4"/>
  <c r="U301" i="5"/>
  <c r="P46" i="2"/>
  <c r="P306" i="4"/>
  <c r="W301" i="5"/>
  <c r="Q46" i="2"/>
  <c r="Q306" i="4"/>
  <c r="X301" i="5"/>
  <c r="AA301" i="5"/>
  <c r="T46" i="2"/>
  <c r="T306" i="4"/>
  <c r="AC301" i="5"/>
  <c r="U46" i="2"/>
  <c r="U306" i="4"/>
  <c r="AD301" i="5"/>
  <c r="X46" i="2"/>
  <c r="X306" i="4"/>
  <c r="AI301" i="5"/>
  <c r="Y46" i="2"/>
  <c r="Y306" i="4"/>
  <c r="AJ301" i="5"/>
  <c r="Z46" i="2"/>
  <c r="Z306" i="4"/>
  <c r="AL301" i="5"/>
  <c r="F301" i="5"/>
  <c r="H301" i="5"/>
  <c r="I301" i="5"/>
  <c r="Z301" i="5"/>
  <c r="AN301" i="5"/>
  <c r="O302" i="5"/>
  <c r="K302" i="5"/>
  <c r="AG302" i="5"/>
  <c r="B307" i="4"/>
  <c r="V307" i="4"/>
  <c r="AF302" i="5"/>
  <c r="C307" i="4"/>
  <c r="C302" i="5"/>
  <c r="D307" i="4"/>
  <c r="E302" i="5"/>
  <c r="I307" i="4"/>
  <c r="L302" i="5"/>
  <c r="J307" i="4"/>
  <c r="N302" i="5"/>
  <c r="L307" i="4"/>
  <c r="Q302" i="5"/>
  <c r="M307" i="4"/>
  <c r="R302" i="5"/>
  <c r="N307" i="4"/>
  <c r="T302" i="5"/>
  <c r="O307" i="4"/>
  <c r="U302" i="5"/>
  <c r="P307" i="4"/>
  <c r="W302" i="5"/>
  <c r="Q307" i="4"/>
  <c r="X302" i="5"/>
  <c r="AA302" i="5"/>
  <c r="T307" i="4"/>
  <c r="AC302" i="5"/>
  <c r="U307" i="4"/>
  <c r="AD302" i="5"/>
  <c r="X307" i="4"/>
  <c r="AI302" i="5"/>
  <c r="Y307" i="4"/>
  <c r="AJ302" i="5"/>
  <c r="Z307" i="4"/>
  <c r="AL302" i="5"/>
  <c r="F302" i="5"/>
  <c r="H302" i="5"/>
  <c r="I302" i="5"/>
  <c r="Z302" i="5"/>
  <c r="AN302" i="5"/>
  <c r="O303" i="5"/>
  <c r="K303" i="5"/>
  <c r="AG303" i="5"/>
  <c r="V49" i="2"/>
  <c r="V309" i="4"/>
  <c r="AF303" i="5"/>
  <c r="C49" i="2"/>
  <c r="C309" i="4"/>
  <c r="C303" i="5"/>
  <c r="D49" i="2"/>
  <c r="D309" i="4"/>
  <c r="E303" i="5"/>
  <c r="I49" i="2"/>
  <c r="I309" i="4"/>
  <c r="L303" i="5"/>
  <c r="J49" i="2"/>
  <c r="J309" i="4"/>
  <c r="N303" i="5"/>
  <c r="L49" i="2"/>
  <c r="L309" i="4"/>
  <c r="Q303" i="5"/>
  <c r="M49" i="2"/>
  <c r="M309" i="4"/>
  <c r="R303" i="5"/>
  <c r="N49" i="2"/>
  <c r="N309" i="4"/>
  <c r="T303" i="5"/>
  <c r="O49" i="2"/>
  <c r="O309" i="4"/>
  <c r="U303" i="5"/>
  <c r="P49" i="2"/>
  <c r="P309" i="4"/>
  <c r="W303" i="5"/>
  <c r="Q49" i="2"/>
  <c r="Q309" i="4"/>
  <c r="X303" i="5"/>
  <c r="AA303" i="5"/>
  <c r="X49" i="2"/>
  <c r="X309" i="4"/>
  <c r="AI303" i="5"/>
  <c r="Y49" i="2"/>
  <c r="Y309" i="4"/>
  <c r="AJ303" i="5"/>
  <c r="Z49" i="2"/>
  <c r="Z309" i="4"/>
  <c r="AL303" i="5"/>
  <c r="F303" i="5"/>
  <c r="H303" i="5"/>
  <c r="I303" i="5"/>
  <c r="Z303" i="5"/>
  <c r="AN303" i="5"/>
  <c r="O304" i="5"/>
  <c r="K304" i="5"/>
  <c r="AG304" i="5"/>
  <c r="V47" i="2"/>
  <c r="B300" i="4"/>
  <c r="V300" i="4"/>
  <c r="AF304" i="5"/>
  <c r="C47" i="2"/>
  <c r="C300" i="4"/>
  <c r="C304" i="5"/>
  <c r="D47" i="2"/>
  <c r="D300" i="4"/>
  <c r="E304" i="5"/>
  <c r="I47" i="2"/>
  <c r="I300" i="4"/>
  <c r="L304" i="5"/>
  <c r="J47" i="2"/>
  <c r="J300" i="4"/>
  <c r="N304" i="5"/>
  <c r="L47" i="2"/>
  <c r="L300" i="4"/>
  <c r="Q304" i="5"/>
  <c r="M47" i="2"/>
  <c r="M300" i="4"/>
  <c r="R304" i="5"/>
  <c r="N47" i="2"/>
  <c r="N300" i="4"/>
  <c r="T304" i="5"/>
  <c r="O47" i="2"/>
  <c r="O300" i="4"/>
  <c r="U304" i="5"/>
  <c r="P47" i="2"/>
  <c r="P300" i="4"/>
  <c r="W304" i="5"/>
  <c r="Q47" i="2"/>
  <c r="Q300" i="4"/>
  <c r="X304" i="5"/>
  <c r="AA304" i="5"/>
  <c r="AC304" i="5"/>
  <c r="AD304" i="5"/>
  <c r="X47" i="2"/>
  <c r="X300" i="4"/>
  <c r="AI304" i="5"/>
  <c r="Y47" i="2"/>
  <c r="Y300" i="4"/>
  <c r="AJ304" i="5"/>
  <c r="Z47" i="2"/>
  <c r="Z300" i="4"/>
  <c r="AL304" i="5"/>
  <c r="F304" i="5"/>
  <c r="H304" i="5"/>
  <c r="I304" i="5"/>
  <c r="Z304" i="5"/>
  <c r="AN304" i="5"/>
  <c r="O305" i="5"/>
  <c r="K305" i="5"/>
  <c r="AG305" i="5"/>
  <c r="B310" i="4"/>
  <c r="V310" i="4"/>
  <c r="AF305" i="5"/>
  <c r="C310" i="4"/>
  <c r="C305" i="5"/>
  <c r="D310" i="4"/>
  <c r="E305" i="5"/>
  <c r="I310" i="4"/>
  <c r="L305" i="5"/>
  <c r="J310" i="4"/>
  <c r="N305" i="5"/>
  <c r="L310" i="4"/>
  <c r="Q305" i="5"/>
  <c r="M310" i="4"/>
  <c r="R305" i="5"/>
  <c r="N310" i="4"/>
  <c r="T305" i="5"/>
  <c r="O310" i="4"/>
  <c r="U305" i="5"/>
  <c r="P310" i="4"/>
  <c r="W305" i="5"/>
  <c r="Q310" i="4"/>
  <c r="X305" i="5"/>
  <c r="AA305" i="5"/>
  <c r="T310" i="4"/>
  <c r="AC305" i="5"/>
  <c r="AD305" i="5"/>
  <c r="X310" i="4"/>
  <c r="AI305" i="5"/>
  <c r="Y310" i="4"/>
  <c r="AJ305" i="5"/>
  <c r="Z310" i="4"/>
  <c r="AL305" i="5"/>
  <c r="F305" i="5"/>
  <c r="H305" i="5"/>
  <c r="I305" i="5"/>
  <c r="Z305" i="5"/>
  <c r="AN305" i="5"/>
  <c r="O306" i="5"/>
  <c r="K306" i="5"/>
  <c r="AG306" i="5"/>
  <c r="V48" i="2"/>
  <c r="V311" i="4"/>
  <c r="AF306" i="5"/>
  <c r="C48" i="2"/>
  <c r="C311" i="4"/>
  <c r="C306" i="5"/>
  <c r="D311" i="4"/>
  <c r="E306" i="5"/>
  <c r="I311" i="4"/>
  <c r="L306" i="5"/>
  <c r="J311" i="4"/>
  <c r="N306" i="5"/>
  <c r="L311" i="4"/>
  <c r="Q306" i="5"/>
  <c r="M311" i="4"/>
  <c r="R306" i="5"/>
  <c r="N48" i="2"/>
  <c r="N311" i="4"/>
  <c r="T306" i="5"/>
  <c r="O48" i="2"/>
  <c r="O311" i="4"/>
  <c r="U306" i="5"/>
  <c r="P48" i="2"/>
  <c r="P311" i="4"/>
  <c r="W306" i="5"/>
  <c r="Q48" i="2"/>
  <c r="Q311" i="4"/>
  <c r="X306" i="5"/>
  <c r="AA306" i="5"/>
  <c r="X48" i="2"/>
  <c r="X311" i="4"/>
  <c r="AI306" i="5"/>
  <c r="Y48" i="2"/>
  <c r="Y311" i="4"/>
  <c r="AJ306" i="5"/>
  <c r="Z48" i="2"/>
  <c r="Z311" i="4"/>
  <c r="AL306" i="5"/>
  <c r="F306" i="5"/>
  <c r="H306" i="5"/>
  <c r="I306" i="5"/>
  <c r="Z306" i="5"/>
  <c r="AN306" i="5"/>
  <c r="O307" i="5"/>
  <c r="K307" i="5"/>
  <c r="AG307" i="5"/>
  <c r="B312" i="4"/>
  <c r="V312" i="4"/>
  <c r="AF307" i="5"/>
  <c r="C312" i="4"/>
  <c r="C307" i="5"/>
  <c r="D312" i="4"/>
  <c r="E307" i="5"/>
  <c r="I312" i="4"/>
  <c r="L307" i="5"/>
  <c r="J312" i="4"/>
  <c r="N307" i="5"/>
  <c r="L312" i="4"/>
  <c r="Q307" i="5"/>
  <c r="M312" i="4"/>
  <c r="R307" i="5"/>
  <c r="N312" i="4"/>
  <c r="T307" i="5"/>
  <c r="O312" i="4"/>
  <c r="U307" i="5"/>
  <c r="P312" i="4"/>
  <c r="W307" i="5"/>
  <c r="Q312" i="4"/>
  <c r="X307" i="5"/>
  <c r="AA307" i="5"/>
  <c r="T312" i="4"/>
  <c r="AC307" i="5"/>
  <c r="AD307" i="5"/>
  <c r="X312" i="4"/>
  <c r="AI307" i="5"/>
  <c r="Y312" i="4"/>
  <c r="AJ307" i="5"/>
  <c r="Z312" i="4"/>
  <c r="AL307" i="5"/>
  <c r="F307" i="5"/>
  <c r="H307" i="5"/>
  <c r="I307" i="5"/>
  <c r="Z307" i="5"/>
  <c r="AN307" i="5"/>
  <c r="O308" i="5"/>
  <c r="K308" i="5"/>
  <c r="AG308" i="5"/>
  <c r="V313" i="4"/>
  <c r="AF308" i="5"/>
  <c r="C313" i="4"/>
  <c r="C308" i="5"/>
  <c r="D313" i="4"/>
  <c r="E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X313" i="4"/>
  <c r="AI308" i="5"/>
  <c r="Y313" i="4"/>
  <c r="AJ308" i="5"/>
  <c r="Z313" i="4"/>
  <c r="AL308" i="5"/>
  <c r="F308" i="5"/>
  <c r="H308" i="5"/>
  <c r="I308" i="5"/>
  <c r="Z308" i="5"/>
  <c r="AN308" i="5"/>
  <c r="O309" i="5"/>
  <c r="K309" i="5"/>
  <c r="AG309" i="5"/>
  <c r="B301" i="4"/>
  <c r="V301" i="4"/>
  <c r="AF309" i="5"/>
  <c r="C301" i="4"/>
  <c r="C309" i="5"/>
  <c r="D301" i="4"/>
  <c r="E309" i="5"/>
  <c r="I301" i="4"/>
  <c r="L309" i="5"/>
  <c r="J301" i="4"/>
  <c r="N309" i="5"/>
  <c r="L301" i="4"/>
  <c r="Q309" i="5"/>
  <c r="M301" i="4"/>
  <c r="R309" i="5"/>
  <c r="N301" i="4"/>
  <c r="T309" i="5"/>
  <c r="O301" i="4"/>
  <c r="U309" i="5"/>
  <c r="P301" i="4"/>
  <c r="W309" i="5"/>
  <c r="Q301" i="4"/>
  <c r="X309" i="5"/>
  <c r="AA309" i="5"/>
  <c r="AC309" i="5"/>
  <c r="AD309" i="5"/>
  <c r="X301" i="4"/>
  <c r="AI309" i="5"/>
  <c r="Y301" i="4"/>
  <c r="AJ309" i="5"/>
  <c r="Z301" i="4"/>
  <c r="AL309" i="5"/>
  <c r="F309" i="5"/>
  <c r="H309" i="5"/>
  <c r="I309" i="5"/>
  <c r="Z309" i="5"/>
  <c r="AN309" i="5"/>
  <c r="AG310" i="5"/>
  <c r="V314" i="4"/>
  <c r="AF310" i="5"/>
  <c r="C314" i="4"/>
  <c r="C310" i="5"/>
  <c r="N314" i="4"/>
  <c r="T310" i="5"/>
  <c r="O314" i="4"/>
  <c r="U310" i="5"/>
  <c r="P314" i="4"/>
  <c r="W310" i="5"/>
  <c r="Q314" i="4"/>
  <c r="X310" i="5"/>
  <c r="AA310" i="5"/>
  <c r="AC310" i="5"/>
  <c r="AD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B308" i="4"/>
  <c r="V308" i="4"/>
  <c r="AF311" i="5"/>
  <c r="C308" i="4"/>
  <c r="C311" i="5"/>
  <c r="D308" i="4"/>
  <c r="E311" i="5"/>
  <c r="I308" i="4"/>
  <c r="L311" i="5"/>
  <c r="J308" i="4"/>
  <c r="N311" i="5"/>
  <c r="L308" i="4"/>
  <c r="Q311" i="5"/>
  <c r="M308" i="4"/>
  <c r="R311" i="5"/>
  <c r="N308" i="4"/>
  <c r="T311" i="5"/>
  <c r="O308" i="4"/>
  <c r="U311" i="5"/>
  <c r="P308" i="4"/>
  <c r="W311" i="5"/>
  <c r="Q308" i="4"/>
  <c r="X311" i="5"/>
  <c r="AA311" i="5"/>
  <c r="AC311" i="5"/>
  <c r="AD311" i="5"/>
  <c r="X308" i="4"/>
  <c r="AI311" i="5"/>
  <c r="Y308" i="4"/>
  <c r="AJ311" i="5"/>
  <c r="Z308" i="4"/>
  <c r="AL311" i="5"/>
  <c r="F311" i="5"/>
  <c r="H311" i="5"/>
  <c r="I311" i="5"/>
  <c r="Z311" i="5"/>
  <c r="AN311" i="5"/>
  <c r="O312" i="5"/>
  <c r="K312" i="5"/>
  <c r="AG312" i="5"/>
  <c r="B299" i="4"/>
  <c r="V299" i="4"/>
  <c r="AF312" i="5"/>
  <c r="C299" i="4"/>
  <c r="C312" i="5"/>
  <c r="D299" i="4"/>
  <c r="E312" i="5"/>
  <c r="I299" i="4"/>
  <c r="L312" i="5"/>
  <c r="J299" i="4"/>
  <c r="N312" i="5"/>
  <c r="L299" i="4"/>
  <c r="Q312" i="5"/>
  <c r="M299" i="4"/>
  <c r="R312" i="5"/>
  <c r="N299" i="4"/>
  <c r="T312" i="5"/>
  <c r="O299" i="4"/>
  <c r="U312" i="5"/>
  <c r="P299" i="4"/>
  <c r="W312" i="5"/>
  <c r="Q299" i="4"/>
  <c r="X312" i="5"/>
  <c r="AA312" i="5"/>
  <c r="AC312" i="5"/>
  <c r="AD312" i="5"/>
  <c r="X299" i="4"/>
  <c r="AI312" i="5"/>
  <c r="Y299" i="4"/>
  <c r="AJ312" i="5"/>
  <c r="Z299" i="4"/>
  <c r="AL312" i="5"/>
  <c r="F312" i="5"/>
  <c r="H312" i="5"/>
  <c r="I312" i="5"/>
  <c r="Z312" i="5"/>
  <c r="AN312" i="5"/>
  <c r="O313" i="5"/>
  <c r="K313" i="5"/>
  <c r="AG313" i="5"/>
  <c r="B302" i="4"/>
  <c r="V302" i="4"/>
  <c r="AF313" i="5"/>
  <c r="C302" i="4"/>
  <c r="C313" i="5"/>
  <c r="D302" i="4"/>
  <c r="E313" i="5"/>
  <c r="I302" i="4"/>
  <c r="L313" i="5"/>
  <c r="J302" i="4"/>
  <c r="N313" i="5"/>
  <c r="L302" i="4"/>
  <c r="Q313" i="5"/>
  <c r="M302" i="4"/>
  <c r="R313" i="5"/>
  <c r="N302" i="4"/>
  <c r="T313" i="5"/>
  <c r="O302" i="4"/>
  <c r="U313" i="5"/>
  <c r="P302" i="4"/>
  <c r="W313" i="5"/>
  <c r="Q302" i="4"/>
  <c r="X313" i="5"/>
  <c r="AA313" i="5"/>
  <c r="AC313" i="5"/>
  <c r="AD313" i="5"/>
  <c r="X302" i="4"/>
  <c r="AI313" i="5"/>
  <c r="Y302" i="4"/>
  <c r="AJ313" i="5"/>
  <c r="Z302" i="4"/>
  <c r="AL313" i="5"/>
  <c r="F313" i="5"/>
  <c r="H313" i="5"/>
  <c r="I313" i="5"/>
  <c r="Z313" i="5"/>
  <c r="AN313" i="5"/>
  <c r="O314" i="5"/>
  <c r="K314" i="5"/>
  <c r="AG314" i="5"/>
  <c r="B303" i="4"/>
  <c r="V303" i="4"/>
  <c r="AF314" i="5"/>
  <c r="C303" i="4"/>
  <c r="C314" i="5"/>
  <c r="D303" i="4"/>
  <c r="E314" i="5"/>
  <c r="I303" i="4"/>
  <c r="L314" i="5"/>
  <c r="J303" i="4"/>
  <c r="N314" i="5"/>
  <c r="L303" i="4"/>
  <c r="Q314" i="5"/>
  <c r="M303" i="4"/>
  <c r="R314" i="5"/>
  <c r="N303" i="4"/>
  <c r="T314" i="5"/>
  <c r="O303" i="4"/>
  <c r="U314" i="5"/>
  <c r="P303" i="4"/>
  <c r="W314" i="5"/>
  <c r="Q303" i="4"/>
  <c r="X314" i="5"/>
  <c r="AA314" i="5"/>
  <c r="AC314" i="5"/>
  <c r="AD314" i="5"/>
  <c r="X303" i="4"/>
  <c r="AI314" i="5"/>
  <c r="Y303" i="4"/>
  <c r="AJ314" i="5"/>
  <c r="Z303" i="4"/>
  <c r="AL314" i="5"/>
  <c r="F314" i="5"/>
  <c r="H314" i="5"/>
  <c r="I314" i="5"/>
  <c r="Z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Z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35" i="4"/>
  <c r="V335" i="4"/>
  <c r="AF318" i="5"/>
  <c r="C318" i="5"/>
  <c r="D335" i="4"/>
  <c r="E318" i="5"/>
  <c r="I318" i="5"/>
  <c r="I335" i="4"/>
  <c r="L318" i="5"/>
  <c r="J335" i="4"/>
  <c r="N318" i="5"/>
  <c r="L335" i="4"/>
  <c r="Q318" i="5"/>
  <c r="M335" i="4"/>
  <c r="R318" i="5"/>
  <c r="N335" i="4"/>
  <c r="T318" i="5"/>
  <c r="O335" i="4"/>
  <c r="U318" i="5"/>
  <c r="P335" i="4"/>
  <c r="W318" i="5"/>
  <c r="Q335" i="4"/>
  <c r="X318" i="5"/>
  <c r="AA318" i="5"/>
  <c r="AC318" i="5"/>
  <c r="AD318" i="5"/>
  <c r="X335" i="4"/>
  <c r="AI318" i="5"/>
  <c r="Y335" i="4"/>
  <c r="AJ318" i="5"/>
  <c r="AL318" i="5"/>
  <c r="Z318" i="5"/>
  <c r="AN318" i="5"/>
  <c r="O319" i="5"/>
  <c r="K319" i="5"/>
  <c r="AG319" i="5"/>
  <c r="B336" i="4"/>
  <c r="V336" i="4"/>
  <c r="AF319" i="5"/>
  <c r="C319" i="5"/>
  <c r="D336" i="4"/>
  <c r="E319" i="5"/>
  <c r="I319" i="5"/>
  <c r="I336" i="4"/>
  <c r="L319" i="5"/>
  <c r="J336" i="4"/>
  <c r="N319" i="5"/>
  <c r="L336" i="4"/>
  <c r="Q319" i="5"/>
  <c r="M336" i="4"/>
  <c r="R319" i="5"/>
  <c r="N336" i="4"/>
  <c r="T319" i="5"/>
  <c r="O336" i="4"/>
  <c r="U319" i="5"/>
  <c r="P336" i="4"/>
  <c r="W319" i="5"/>
  <c r="Q336" i="4"/>
  <c r="X319" i="5"/>
  <c r="AA319" i="5"/>
  <c r="AC319" i="5"/>
  <c r="AD319" i="5"/>
  <c r="X336" i="4"/>
  <c r="AI319" i="5"/>
  <c r="Y336" i="4"/>
  <c r="AJ319" i="5"/>
  <c r="AL319" i="5"/>
  <c r="Z319" i="5"/>
  <c r="AN319" i="5"/>
  <c r="O320" i="5"/>
  <c r="K320" i="5"/>
  <c r="AG320" i="5"/>
  <c r="B318" i="4"/>
  <c r="V318" i="4"/>
  <c r="AF320" i="5"/>
  <c r="C320" i="5"/>
  <c r="D318" i="4"/>
  <c r="E320" i="5"/>
  <c r="I318" i="4"/>
  <c r="L320" i="5"/>
  <c r="J318" i="4"/>
  <c r="N320" i="5"/>
  <c r="L318" i="4"/>
  <c r="Q320" i="5"/>
  <c r="M318" i="4"/>
  <c r="R320" i="5"/>
  <c r="N318" i="4"/>
  <c r="T320" i="5"/>
  <c r="O318" i="4"/>
  <c r="U320" i="5"/>
  <c r="P318" i="4"/>
  <c r="W320" i="5"/>
  <c r="Q318" i="4"/>
  <c r="X320" i="5"/>
  <c r="AA320" i="5"/>
  <c r="AC320" i="5"/>
  <c r="AD320" i="5"/>
  <c r="X318" i="4"/>
  <c r="AI320" i="5"/>
  <c r="Y318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5" i="4"/>
  <c r="D315" i="4"/>
  <c r="E321" i="5"/>
  <c r="I321" i="5"/>
  <c r="I315" i="4"/>
  <c r="L321" i="5"/>
  <c r="J315" i="4"/>
  <c r="N321" i="5"/>
  <c r="L315" i="4"/>
  <c r="Q321" i="5"/>
  <c r="M315" i="4"/>
  <c r="R321" i="5"/>
  <c r="N315" i="4"/>
  <c r="T321" i="5"/>
  <c r="O315" i="4"/>
  <c r="U321" i="5"/>
  <c r="P315" i="4"/>
  <c r="W321" i="5"/>
  <c r="Q315" i="4"/>
  <c r="X321" i="5"/>
  <c r="AA321" i="5"/>
  <c r="AC321" i="5"/>
  <c r="AD321" i="5"/>
  <c r="X315" i="4"/>
  <c r="AI321" i="5"/>
  <c r="Y315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H323" i="5"/>
  <c r="I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47" i="4"/>
  <c r="V347" i="4"/>
  <c r="AF325" i="5"/>
  <c r="C325" i="5"/>
  <c r="D347" i="4"/>
  <c r="E325" i="5"/>
  <c r="I347" i="4"/>
  <c r="L325" i="5"/>
  <c r="J347" i="4"/>
  <c r="N325" i="5"/>
  <c r="L347" i="4"/>
  <c r="Q325" i="5"/>
  <c r="M347" i="4"/>
  <c r="R325" i="5"/>
  <c r="N347" i="4"/>
  <c r="T325" i="5"/>
  <c r="O347" i="4"/>
  <c r="U325" i="5"/>
  <c r="P347" i="4"/>
  <c r="W325" i="5"/>
  <c r="Q347" i="4"/>
  <c r="X325" i="5"/>
  <c r="AA325" i="5"/>
  <c r="AC325" i="5"/>
  <c r="AD325" i="5"/>
  <c r="X347" i="4"/>
  <c r="AI325" i="5"/>
  <c r="Y347" i="4"/>
  <c r="AJ325" i="5"/>
  <c r="AL325" i="5"/>
  <c r="F325" i="5"/>
  <c r="H325" i="5"/>
  <c r="I325" i="5"/>
  <c r="Z325" i="5"/>
  <c r="AN325" i="5"/>
  <c r="O326" i="5"/>
  <c r="K326" i="5"/>
  <c r="AG326" i="5"/>
  <c r="B337" i="4"/>
  <c r="V337" i="4"/>
  <c r="AF326" i="5"/>
  <c r="C326" i="5"/>
  <c r="D337" i="4"/>
  <c r="E326" i="5"/>
  <c r="I326" i="5"/>
  <c r="I337" i="4"/>
  <c r="L326" i="5"/>
  <c r="J337" i="4"/>
  <c r="N326" i="5"/>
  <c r="L337" i="4"/>
  <c r="Q326" i="5"/>
  <c r="M337" i="4"/>
  <c r="R326" i="5"/>
  <c r="N337" i="4"/>
  <c r="T326" i="5"/>
  <c r="O337" i="4"/>
  <c r="U326" i="5"/>
  <c r="P337" i="4"/>
  <c r="W326" i="5"/>
  <c r="Q337" i="4"/>
  <c r="X326" i="5"/>
  <c r="AA326" i="5"/>
  <c r="AC326" i="5"/>
  <c r="AD326" i="5"/>
  <c r="X337" i="4"/>
  <c r="AI326" i="5"/>
  <c r="Y337" i="4"/>
  <c r="AJ326" i="5"/>
  <c r="AL326" i="5"/>
  <c r="Z326" i="5"/>
  <c r="AN326" i="5"/>
  <c r="O327" i="5"/>
  <c r="K327" i="5"/>
  <c r="AG327" i="5"/>
  <c r="B316" i="4"/>
  <c r="AF327" i="5"/>
  <c r="C327" i="5"/>
  <c r="D316" i="4"/>
  <c r="E327" i="5"/>
  <c r="I327" i="5"/>
  <c r="I316" i="4"/>
  <c r="L327" i="5"/>
  <c r="J316" i="4"/>
  <c r="N327" i="5"/>
  <c r="L316" i="4"/>
  <c r="Q327" i="5"/>
  <c r="M316" i="4"/>
  <c r="R327" i="5"/>
  <c r="N316" i="4"/>
  <c r="T327" i="5"/>
  <c r="O316" i="4"/>
  <c r="U327" i="5"/>
  <c r="P316" i="4"/>
  <c r="W327" i="5"/>
  <c r="Q316" i="4"/>
  <c r="X327" i="5"/>
  <c r="AA327" i="5"/>
  <c r="AC327" i="5"/>
  <c r="AD327" i="5"/>
  <c r="X316" i="4"/>
  <c r="AI327" i="5"/>
  <c r="Z327" i="5"/>
  <c r="AN327" i="5"/>
  <c r="O328" i="5"/>
  <c r="K328" i="5"/>
  <c r="AG328" i="5"/>
  <c r="B338" i="4"/>
  <c r="V338" i="4"/>
  <c r="AF328" i="5"/>
  <c r="C328" i="5"/>
  <c r="D338" i="4"/>
  <c r="E328" i="5"/>
  <c r="I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Z328" i="5"/>
  <c r="AN328" i="5"/>
  <c r="O329" i="5"/>
  <c r="K329" i="5"/>
  <c r="AG329" i="5"/>
  <c r="B339" i="4"/>
  <c r="V339" i="4"/>
  <c r="AF329" i="5"/>
  <c r="C329" i="5"/>
  <c r="D339" i="4"/>
  <c r="E329" i="5"/>
  <c r="I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Z329" i="5"/>
  <c r="AN329" i="5"/>
  <c r="O330" i="5"/>
  <c r="K330" i="5"/>
  <c r="AG330" i="5"/>
  <c r="B340" i="4"/>
  <c r="V340" i="4"/>
  <c r="AF330" i="5"/>
  <c r="C330" i="5"/>
  <c r="D340" i="4"/>
  <c r="E330" i="5"/>
  <c r="I340" i="4"/>
  <c r="L330" i="5"/>
  <c r="J340" i="4"/>
  <c r="N330" i="5"/>
  <c r="L340" i="4"/>
  <c r="Q330" i="5"/>
  <c r="M340" i="4"/>
  <c r="R330" i="5"/>
  <c r="N340" i="4"/>
  <c r="T330" i="5"/>
  <c r="O340" i="4"/>
  <c r="U330" i="5"/>
  <c r="P340" i="4"/>
  <c r="W330" i="5"/>
  <c r="Q340" i="4"/>
  <c r="X330" i="5"/>
  <c r="AA330" i="5"/>
  <c r="AC330" i="5"/>
  <c r="AD330" i="5"/>
  <c r="X340" i="4"/>
  <c r="AI330" i="5"/>
  <c r="Y340" i="4"/>
  <c r="AJ330" i="5"/>
  <c r="AL330" i="5"/>
  <c r="F330" i="5"/>
  <c r="H330" i="5"/>
  <c r="I330" i="5"/>
  <c r="Z330" i="5"/>
  <c r="AN330" i="5"/>
  <c r="O331" i="5"/>
  <c r="K331" i="5"/>
  <c r="AG331" i="5"/>
  <c r="B342" i="4"/>
  <c r="V342" i="4"/>
  <c r="AF331" i="5"/>
  <c r="C331" i="5"/>
  <c r="D342" i="4"/>
  <c r="E331" i="5"/>
  <c r="I342" i="4"/>
  <c r="L331" i="5"/>
  <c r="J342" i="4"/>
  <c r="N331" i="5"/>
  <c r="L342" i="4"/>
  <c r="Q331" i="5"/>
  <c r="M342" i="4"/>
  <c r="R331" i="5"/>
  <c r="N342" i="4"/>
  <c r="T331" i="5"/>
  <c r="O342" i="4"/>
  <c r="U331" i="5"/>
  <c r="P342" i="4"/>
  <c r="W331" i="5"/>
  <c r="Q342" i="4"/>
  <c r="X331" i="5"/>
  <c r="AA331" i="5"/>
  <c r="AC331" i="5"/>
  <c r="AD331" i="5"/>
  <c r="X342" i="4"/>
  <c r="AI331" i="5"/>
  <c r="Y342" i="4"/>
  <c r="AJ331" i="5"/>
  <c r="AL331" i="5"/>
  <c r="F331" i="5"/>
  <c r="H331" i="5"/>
  <c r="I331" i="5"/>
  <c r="Z331" i="5"/>
  <c r="AN331" i="5"/>
  <c r="O332" i="5"/>
  <c r="K332" i="5"/>
  <c r="AG332" i="5"/>
  <c r="B322" i="4"/>
  <c r="V322" i="4"/>
  <c r="AF332" i="5"/>
  <c r="C332" i="5"/>
  <c r="D322" i="4"/>
  <c r="E332" i="5"/>
  <c r="I332" i="5"/>
  <c r="I322" i="4"/>
  <c r="L332" i="5"/>
  <c r="J322" i="4"/>
  <c r="N332" i="5"/>
  <c r="L322" i="4"/>
  <c r="Q332" i="5"/>
  <c r="M322" i="4"/>
  <c r="R332" i="5"/>
  <c r="N322" i="4"/>
  <c r="T332" i="5"/>
  <c r="O322" i="4"/>
  <c r="U332" i="5"/>
  <c r="P322" i="4"/>
  <c r="W332" i="5"/>
  <c r="Q322" i="4"/>
  <c r="X332" i="5"/>
  <c r="AA332" i="5"/>
  <c r="AC332" i="5"/>
  <c r="AD332" i="5"/>
  <c r="X322" i="4"/>
  <c r="AI332" i="5"/>
  <c r="Y322" i="4"/>
  <c r="AJ332" i="5"/>
  <c r="AL332" i="5"/>
  <c r="Z332" i="5"/>
  <c r="AN332" i="5"/>
  <c r="O333" i="5"/>
  <c r="K333" i="5"/>
  <c r="AG333" i="5"/>
  <c r="AF333" i="5"/>
  <c r="C333" i="5"/>
  <c r="B317" i="4"/>
  <c r="D317" i="4"/>
  <c r="E333" i="5"/>
  <c r="I333" i="5"/>
  <c r="I317" i="4"/>
  <c r="L333" i="5"/>
  <c r="J317" i="4"/>
  <c r="N333" i="5"/>
  <c r="L317" i="4"/>
  <c r="Q333" i="5"/>
  <c r="M317" i="4"/>
  <c r="R333" i="5"/>
  <c r="N317" i="4"/>
  <c r="T333" i="5"/>
  <c r="O317" i="4"/>
  <c r="U333" i="5"/>
  <c r="P317" i="4"/>
  <c r="W333" i="5"/>
  <c r="Q317" i="4"/>
  <c r="X333" i="5"/>
  <c r="AA333" i="5"/>
  <c r="AC333" i="5"/>
  <c r="AD333" i="5"/>
  <c r="X317" i="4"/>
  <c r="AI333" i="5"/>
  <c r="Y317" i="4"/>
  <c r="AJ333" i="5"/>
  <c r="AL333" i="5"/>
  <c r="Z333" i="5"/>
  <c r="AN333" i="5"/>
  <c r="O334" i="5"/>
  <c r="K334" i="5"/>
  <c r="AG334" i="5"/>
  <c r="B323" i="4"/>
  <c r="V323" i="4"/>
  <c r="AF334" i="5"/>
  <c r="C334" i="5"/>
  <c r="D323" i="4"/>
  <c r="E334" i="5"/>
  <c r="I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46" i="4"/>
  <c r="V346" i="4"/>
  <c r="AF337" i="5"/>
  <c r="C337" i="5"/>
  <c r="D346" i="4"/>
  <c r="E337" i="5"/>
  <c r="I337" i="5"/>
  <c r="I346" i="4"/>
  <c r="L337" i="5"/>
  <c r="J346" i="4"/>
  <c r="N337" i="5"/>
  <c r="L346" i="4"/>
  <c r="Q337" i="5"/>
  <c r="M346" i="4"/>
  <c r="R337" i="5"/>
  <c r="N346" i="4"/>
  <c r="T337" i="5"/>
  <c r="O346" i="4"/>
  <c r="U337" i="5"/>
  <c r="P346" i="4"/>
  <c r="W337" i="5"/>
  <c r="Q346" i="4"/>
  <c r="X337" i="5"/>
  <c r="AA337" i="5"/>
  <c r="AC337" i="5"/>
  <c r="AD337" i="5"/>
  <c r="X346" i="4"/>
  <c r="AI337" i="5"/>
  <c r="Y346" i="4"/>
  <c r="AJ337" i="5"/>
  <c r="AL337" i="5"/>
  <c r="Z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Z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Z339" i="5"/>
  <c r="AN339" i="5"/>
  <c r="O340" i="5"/>
  <c r="K340" i="5"/>
  <c r="AG340" i="5"/>
  <c r="B328" i="4"/>
  <c r="V328" i="4"/>
  <c r="AF340" i="5"/>
  <c r="C340" i="5"/>
  <c r="D328" i="4"/>
  <c r="E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F340" i="5"/>
  <c r="H340" i="5"/>
  <c r="I340" i="5"/>
  <c r="Z340" i="5"/>
  <c r="AN340" i="5"/>
  <c r="O341" i="5"/>
  <c r="K341" i="5"/>
  <c r="AG341" i="5"/>
  <c r="B329" i="4"/>
  <c r="V329" i="4"/>
  <c r="AF341" i="5"/>
  <c r="C341" i="5"/>
  <c r="D329" i="4"/>
  <c r="E341" i="5"/>
  <c r="I341" i="5"/>
  <c r="I329" i="4"/>
  <c r="L341" i="5"/>
  <c r="J329" i="4"/>
  <c r="N341" i="5"/>
  <c r="L329" i="4"/>
  <c r="Q341" i="5"/>
  <c r="M329" i="4"/>
  <c r="R341" i="5"/>
  <c r="N329" i="4"/>
  <c r="T341" i="5"/>
  <c r="O329" i="4"/>
  <c r="U341" i="5"/>
  <c r="P329" i="4"/>
  <c r="W341" i="5"/>
  <c r="Q329" i="4"/>
  <c r="X341" i="5"/>
  <c r="AA341" i="5"/>
  <c r="AC341" i="5"/>
  <c r="AD341" i="5"/>
  <c r="X329" i="4"/>
  <c r="AI341" i="5"/>
  <c r="Y329" i="4"/>
  <c r="AJ341" i="5"/>
  <c r="AL341" i="5"/>
  <c r="Z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Z342" i="5"/>
  <c r="AN342" i="5"/>
  <c r="O343" i="5"/>
  <c r="K343" i="5"/>
  <c r="AG343" i="5"/>
  <c r="B330" i="4"/>
  <c r="V330" i="4"/>
  <c r="AF343" i="5"/>
  <c r="C343" i="5"/>
  <c r="D330" i="4"/>
  <c r="E343" i="5"/>
  <c r="I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Z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H344" i="5"/>
  <c r="I344" i="5"/>
  <c r="Z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H345" i="5"/>
  <c r="I345" i="5"/>
  <c r="Z345" i="5"/>
  <c r="AN345" i="5"/>
  <c r="O346" i="5"/>
  <c r="K346" i="5"/>
  <c r="AG346" i="5"/>
  <c r="B333" i="4"/>
  <c r="V333" i="4"/>
  <c r="AF346" i="5"/>
  <c r="C346" i="5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F346" i="5"/>
  <c r="H346" i="5"/>
  <c r="I346" i="5"/>
  <c r="Z346" i="5"/>
  <c r="AN346" i="5"/>
  <c r="O347" i="5"/>
  <c r="K347" i="5"/>
  <c r="AG347" i="5"/>
  <c r="B334" i="4"/>
  <c r="V334" i="4"/>
  <c r="AF347" i="5"/>
  <c r="C347" i="5"/>
  <c r="D334" i="4"/>
  <c r="E347" i="5"/>
  <c r="I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Z347" i="5"/>
  <c r="AN347" i="5"/>
  <c r="K50" i="2"/>
  <c r="B350" i="4"/>
  <c r="K350" i="4"/>
  <c r="O348" i="5"/>
  <c r="H50" i="2"/>
  <c r="H350" i="4"/>
  <c r="K348" i="5"/>
  <c r="W50" i="2"/>
  <c r="W350" i="4"/>
  <c r="AG348" i="5"/>
  <c r="V50" i="2"/>
  <c r="V350" i="4"/>
  <c r="AF348" i="5"/>
  <c r="C50" i="2"/>
  <c r="C350" i="4"/>
  <c r="C348" i="5"/>
  <c r="D50" i="2"/>
  <c r="D350" i="4"/>
  <c r="E348" i="5"/>
  <c r="I50" i="2"/>
  <c r="I350" i="4"/>
  <c r="L348" i="5"/>
  <c r="J50" i="2"/>
  <c r="J350" i="4"/>
  <c r="N348" i="5"/>
  <c r="L50" i="2"/>
  <c r="L350" i="4"/>
  <c r="Q348" i="5"/>
  <c r="M50" i="2"/>
  <c r="M350" i="4"/>
  <c r="R348" i="5"/>
  <c r="N50" i="2"/>
  <c r="N350" i="4"/>
  <c r="T348" i="5"/>
  <c r="O50" i="2"/>
  <c r="O350" i="4"/>
  <c r="U348" i="5"/>
  <c r="P50" i="2"/>
  <c r="P350" i="4"/>
  <c r="W348" i="5"/>
  <c r="Q50" i="2"/>
  <c r="Q350" i="4"/>
  <c r="X348" i="5"/>
  <c r="S50" i="2"/>
  <c r="S350" i="4"/>
  <c r="AA348" i="5"/>
  <c r="T50" i="2"/>
  <c r="T350" i="4"/>
  <c r="AC348" i="5"/>
  <c r="U50" i="2"/>
  <c r="U350" i="4"/>
  <c r="AD348" i="5"/>
  <c r="X50" i="2"/>
  <c r="X350" i="4"/>
  <c r="AI348" i="5"/>
  <c r="Y50" i="2"/>
  <c r="Y350" i="4"/>
  <c r="AJ348" i="5"/>
  <c r="Z50" i="2"/>
  <c r="Z350" i="4"/>
  <c r="AL348" i="5"/>
  <c r="F348" i="5"/>
  <c r="H348" i="5"/>
  <c r="I348" i="5"/>
  <c r="Z348" i="5"/>
  <c r="AN348" i="5"/>
  <c r="B356" i="4"/>
  <c r="K51" i="2"/>
  <c r="K356" i="4"/>
  <c r="O349" i="5"/>
  <c r="H51" i="2"/>
  <c r="H356" i="4"/>
  <c r="K349" i="5"/>
  <c r="W51" i="2"/>
  <c r="W356" i="4"/>
  <c r="AG349" i="5"/>
  <c r="V51" i="2"/>
  <c r="V356" i="4"/>
  <c r="AF349" i="5"/>
  <c r="C51" i="2"/>
  <c r="C356" i="4"/>
  <c r="C349" i="5"/>
  <c r="D51" i="2"/>
  <c r="D356" i="4"/>
  <c r="E349" i="5"/>
  <c r="I51" i="2"/>
  <c r="I356" i="4"/>
  <c r="L349" i="5"/>
  <c r="J51" i="2"/>
  <c r="J356" i="4"/>
  <c r="N349" i="5"/>
  <c r="L51" i="2"/>
  <c r="L356" i="4"/>
  <c r="Q349" i="5"/>
  <c r="M51" i="2"/>
  <c r="M356" i="4"/>
  <c r="R349" i="5"/>
  <c r="N51" i="2"/>
  <c r="N356" i="4"/>
  <c r="T349" i="5"/>
  <c r="O51" i="2"/>
  <c r="O356" i="4"/>
  <c r="U349" i="5"/>
  <c r="P51" i="2"/>
  <c r="P356" i="4"/>
  <c r="W349" i="5"/>
  <c r="Q51" i="2"/>
  <c r="Q356" i="4"/>
  <c r="X349" i="5"/>
  <c r="S356" i="4"/>
  <c r="AA349" i="5"/>
  <c r="T51" i="2"/>
  <c r="T356" i="4"/>
  <c r="AC349" i="5"/>
  <c r="U51" i="2"/>
  <c r="U356" i="4"/>
  <c r="AD349" i="5"/>
  <c r="X51" i="2"/>
  <c r="X356" i="4"/>
  <c r="AI349" i="5"/>
  <c r="Y356" i="4"/>
  <c r="AJ349" i="5"/>
  <c r="Z51" i="2"/>
  <c r="Z356" i="4"/>
  <c r="AL349" i="5"/>
  <c r="F349" i="5"/>
  <c r="H349" i="5"/>
  <c r="I349" i="5"/>
  <c r="Z349" i="5"/>
  <c r="AN349" i="5"/>
  <c r="B357" i="4"/>
  <c r="K357" i="4"/>
  <c r="O350" i="5"/>
  <c r="H357" i="4"/>
  <c r="K350" i="5"/>
  <c r="W357" i="4"/>
  <c r="AG350" i="5"/>
  <c r="V357" i="4"/>
  <c r="AF350" i="5"/>
  <c r="C357" i="4"/>
  <c r="C350" i="5"/>
  <c r="D357" i="4"/>
  <c r="E350" i="5"/>
  <c r="I357" i="4"/>
  <c r="L350" i="5"/>
  <c r="J357" i="4"/>
  <c r="N350" i="5"/>
  <c r="L357" i="4"/>
  <c r="Q350" i="5"/>
  <c r="M357" i="4"/>
  <c r="R350" i="5"/>
  <c r="N357" i="4"/>
  <c r="T350" i="5"/>
  <c r="O357" i="4"/>
  <c r="U350" i="5"/>
  <c r="P357" i="4"/>
  <c r="W350" i="5"/>
  <c r="Q357" i="4"/>
  <c r="X350" i="5"/>
  <c r="S357" i="4"/>
  <c r="AA350" i="5"/>
  <c r="T357" i="4"/>
  <c r="AC350" i="5"/>
  <c r="U357" i="4"/>
  <c r="AD350" i="5"/>
  <c r="X357" i="4"/>
  <c r="AI350" i="5"/>
  <c r="Y357" i="4"/>
  <c r="AJ350" i="5"/>
  <c r="Z357" i="4"/>
  <c r="AL350" i="5"/>
  <c r="F350" i="5"/>
  <c r="H350" i="5"/>
  <c r="I350" i="5"/>
  <c r="Z350" i="5"/>
  <c r="AN350" i="5"/>
  <c r="B355" i="4"/>
  <c r="S355" i="4"/>
  <c r="AA351" i="5"/>
  <c r="P355" i="4"/>
  <c r="W351" i="5"/>
  <c r="K355" i="4"/>
  <c r="O351" i="5"/>
  <c r="H355" i="4"/>
  <c r="K351" i="5"/>
  <c r="W355" i="4"/>
  <c r="AG351" i="5"/>
  <c r="V355" i="4"/>
  <c r="AF351" i="5"/>
  <c r="C355" i="4"/>
  <c r="C351" i="5"/>
  <c r="D355" i="4"/>
  <c r="E351" i="5"/>
  <c r="I355" i="4"/>
  <c r="L351" i="5"/>
  <c r="J355" i="4"/>
  <c r="N351" i="5"/>
  <c r="L355" i="4"/>
  <c r="Q351" i="5"/>
  <c r="M355" i="4"/>
  <c r="R351" i="5"/>
  <c r="N355" i="4"/>
  <c r="T351" i="5"/>
  <c r="O355" i="4"/>
  <c r="U351" i="5"/>
  <c r="Q355" i="4"/>
  <c r="X351" i="5"/>
  <c r="R51" i="2"/>
  <c r="R355" i="4"/>
  <c r="Z351" i="5"/>
  <c r="T355" i="4"/>
  <c r="AC351" i="5"/>
  <c r="U355" i="4"/>
  <c r="AD351" i="5"/>
  <c r="X355" i="4"/>
  <c r="AI351" i="5"/>
  <c r="Y355" i="4"/>
  <c r="AJ351" i="5"/>
  <c r="Z355" i="4"/>
  <c r="AL351" i="5"/>
  <c r="F351" i="5"/>
  <c r="H351" i="5"/>
  <c r="I351" i="5"/>
  <c r="AN351" i="5"/>
  <c r="K361" i="4"/>
  <c r="O352" i="5"/>
  <c r="H361" i="4"/>
  <c r="K352" i="5"/>
  <c r="W361" i="4"/>
  <c r="AG352" i="5"/>
  <c r="V361" i="4"/>
  <c r="AF352" i="5"/>
  <c r="C361" i="4"/>
  <c r="C352" i="5"/>
  <c r="D361" i="4"/>
  <c r="E352" i="5"/>
  <c r="I361" i="4"/>
  <c r="L352" i="5"/>
  <c r="J361" i="4"/>
  <c r="N352" i="5"/>
  <c r="L361" i="4"/>
  <c r="Q352" i="5"/>
  <c r="M361" i="4"/>
  <c r="R352" i="5"/>
  <c r="N361" i="4"/>
  <c r="T352" i="5"/>
  <c r="O361" i="4"/>
  <c r="U352" i="5"/>
  <c r="P361" i="4"/>
  <c r="W352" i="5"/>
  <c r="Q361" i="4"/>
  <c r="X352" i="5"/>
  <c r="T361" i="4"/>
  <c r="AC352" i="5"/>
  <c r="U361" i="4"/>
  <c r="AD352" i="5"/>
  <c r="X361" i="4"/>
  <c r="AI352" i="5"/>
  <c r="Y361" i="4"/>
  <c r="AJ352" i="5"/>
  <c r="Z361" i="4"/>
  <c r="AL352" i="5"/>
  <c r="Z352" i="5"/>
  <c r="F352" i="5"/>
  <c r="H352" i="5"/>
  <c r="I352" i="5"/>
  <c r="AN352" i="5"/>
  <c r="B362" i="4"/>
  <c r="K362" i="4"/>
  <c r="O353" i="5"/>
  <c r="H362" i="4"/>
  <c r="K353" i="5"/>
  <c r="W362" i="4"/>
  <c r="AG353" i="5"/>
  <c r="V362" i="4"/>
  <c r="AF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P362" i="4"/>
  <c r="W353" i="5"/>
  <c r="Q362" i="4"/>
  <c r="X353" i="5"/>
  <c r="S362" i="4"/>
  <c r="T362" i="4"/>
  <c r="AC353" i="5"/>
  <c r="U362" i="4"/>
  <c r="AD353" i="5"/>
  <c r="X362" i="4"/>
  <c r="AI353" i="5"/>
  <c r="Y362" i="4"/>
  <c r="AJ353" i="5"/>
  <c r="Z362" i="4"/>
  <c r="AL353" i="5"/>
  <c r="Z353" i="5"/>
  <c r="F353" i="5"/>
  <c r="H353" i="5"/>
  <c r="I353" i="5"/>
  <c r="AN353" i="5"/>
  <c r="B368" i="4"/>
  <c r="K368" i="4"/>
  <c r="O354" i="5"/>
  <c r="H368" i="4"/>
  <c r="K354" i="5"/>
  <c r="W368" i="4"/>
  <c r="AG354" i="5"/>
  <c r="V368" i="4"/>
  <c r="AF354" i="5"/>
  <c r="C368" i="4"/>
  <c r="C354" i="5"/>
  <c r="D368" i="4"/>
  <c r="E354" i="5"/>
  <c r="I368" i="4"/>
  <c r="L354" i="5"/>
  <c r="J368" i="4"/>
  <c r="N354" i="5"/>
  <c r="L368" i="4"/>
  <c r="Q354" i="5"/>
  <c r="M368" i="4"/>
  <c r="R354" i="5"/>
  <c r="N368" i="4"/>
  <c r="T354" i="5"/>
  <c r="O368" i="4"/>
  <c r="U354" i="5"/>
  <c r="P368" i="4"/>
  <c r="W354" i="5"/>
  <c r="Q368" i="4"/>
  <c r="X354" i="5"/>
  <c r="S368" i="4"/>
  <c r="AA354" i="5"/>
  <c r="T368" i="4"/>
  <c r="AC354" i="5"/>
  <c r="U368" i="4"/>
  <c r="AD354" i="5"/>
  <c r="X368" i="4"/>
  <c r="AI354" i="5"/>
  <c r="Y368" i="4"/>
  <c r="AJ354" i="5"/>
  <c r="Z368" i="4"/>
  <c r="AL354" i="5"/>
  <c r="Z354" i="5"/>
  <c r="F354" i="5"/>
  <c r="H354" i="5"/>
  <c r="I354" i="5"/>
  <c r="AN354" i="5"/>
  <c r="B363" i="4"/>
  <c r="K363" i="4"/>
  <c r="O355" i="5"/>
  <c r="H363" i="4"/>
  <c r="K355" i="5"/>
  <c r="W363" i="4"/>
  <c r="AG355" i="5"/>
  <c r="V363" i="4"/>
  <c r="AF355" i="5"/>
  <c r="C363" i="4"/>
  <c r="C355" i="5"/>
  <c r="D363" i="4"/>
  <c r="E355" i="5"/>
  <c r="I363" i="4"/>
  <c r="L355" i="5"/>
  <c r="J363" i="4"/>
  <c r="N355" i="5"/>
  <c r="L363" i="4"/>
  <c r="Q355" i="5"/>
  <c r="M363" i="4"/>
  <c r="R355" i="5"/>
  <c r="N363" i="4"/>
  <c r="T355" i="5"/>
  <c r="O363" i="4"/>
  <c r="U355" i="5"/>
  <c r="P363" i="4"/>
  <c r="W355" i="5"/>
  <c r="Q363" i="4"/>
  <c r="X355" i="5"/>
  <c r="S363" i="4"/>
  <c r="AA355" i="5"/>
  <c r="T363" i="4"/>
  <c r="AC355" i="5"/>
  <c r="U363" i="4"/>
  <c r="AD355" i="5"/>
  <c r="X363" i="4"/>
  <c r="AI355" i="5"/>
  <c r="Y363" i="4"/>
  <c r="AJ355" i="5"/>
  <c r="Z355" i="5"/>
  <c r="F355" i="5"/>
  <c r="H355" i="5"/>
  <c r="I355" i="5"/>
  <c r="AN355" i="5"/>
  <c r="S369" i="4"/>
  <c r="P369" i="4"/>
  <c r="W356" i="5"/>
  <c r="K369" i="4"/>
  <c r="O356" i="5"/>
  <c r="H369" i="4"/>
  <c r="K356" i="5"/>
  <c r="W369" i="4"/>
  <c r="AG356" i="5"/>
  <c r="V369" i="4"/>
  <c r="AF356" i="5"/>
  <c r="C369" i="4"/>
  <c r="C356" i="5"/>
  <c r="D369" i="4"/>
  <c r="E356" i="5"/>
  <c r="I369" i="4"/>
  <c r="L356" i="5"/>
  <c r="J369" i="4"/>
  <c r="N356" i="5"/>
  <c r="L369" i="4"/>
  <c r="Q356" i="5"/>
  <c r="M369" i="4"/>
  <c r="R356" i="5"/>
  <c r="N369" i="4"/>
  <c r="T356" i="5"/>
  <c r="O369" i="4"/>
  <c r="U356" i="5"/>
  <c r="Q369" i="4"/>
  <c r="X356" i="5"/>
  <c r="R369" i="4"/>
  <c r="Z356" i="5"/>
  <c r="T369" i="4"/>
  <c r="AC356" i="5"/>
  <c r="U369" i="4"/>
  <c r="AD356" i="5"/>
  <c r="X369" i="4"/>
  <c r="AI356" i="5"/>
  <c r="F356" i="5"/>
  <c r="H356" i="5"/>
  <c r="I356" i="5"/>
  <c r="AN356" i="5"/>
  <c r="B351" i="4"/>
  <c r="K351" i="4"/>
  <c r="O357" i="5"/>
  <c r="H351" i="4"/>
  <c r="K357" i="5"/>
  <c r="W351" i="4"/>
  <c r="AG357" i="5"/>
  <c r="V351" i="4"/>
  <c r="AF357" i="5"/>
  <c r="C351" i="4"/>
  <c r="C357" i="5"/>
  <c r="D351" i="4"/>
  <c r="E357" i="5"/>
  <c r="I351" i="4"/>
  <c r="L357" i="5"/>
  <c r="J351" i="4"/>
  <c r="N357" i="5"/>
  <c r="L351" i="4"/>
  <c r="Q357" i="5"/>
  <c r="M351" i="4"/>
  <c r="R357" i="5"/>
  <c r="N351" i="4"/>
  <c r="T357" i="5"/>
  <c r="O351" i="4"/>
  <c r="U357" i="5"/>
  <c r="P351" i="4"/>
  <c r="W357" i="5"/>
  <c r="Q351" i="4"/>
  <c r="X357" i="5"/>
  <c r="S351" i="4"/>
  <c r="AA357" i="5"/>
  <c r="T351" i="4"/>
  <c r="AC357" i="5"/>
  <c r="U351" i="4"/>
  <c r="AD357" i="5"/>
  <c r="X351" i="4"/>
  <c r="AI357" i="5"/>
  <c r="Y351" i="4"/>
  <c r="AJ357" i="5"/>
  <c r="Z351" i="4"/>
  <c r="AL357" i="5"/>
  <c r="F357" i="5"/>
  <c r="H357" i="5"/>
  <c r="I357" i="5"/>
  <c r="Z357" i="5"/>
  <c r="AN357" i="5"/>
  <c r="B348" i="4"/>
  <c r="K348" i="4"/>
  <c r="O358" i="5"/>
  <c r="H348" i="4"/>
  <c r="K358" i="5"/>
  <c r="W348" i="4"/>
  <c r="AG358" i="5"/>
  <c r="V348" i="4"/>
  <c r="AF358" i="5"/>
  <c r="C348" i="4"/>
  <c r="C358" i="5"/>
  <c r="D348" i="4"/>
  <c r="E358" i="5"/>
  <c r="I348" i="4"/>
  <c r="L358" i="5"/>
  <c r="J348" i="4"/>
  <c r="N358" i="5"/>
  <c r="L348" i="4"/>
  <c r="Q358" i="5"/>
  <c r="M348" i="4"/>
  <c r="R358" i="5"/>
  <c r="N348" i="4"/>
  <c r="T358" i="5"/>
  <c r="O348" i="4"/>
  <c r="U358" i="5"/>
  <c r="P348" i="4"/>
  <c r="W358" i="5"/>
  <c r="Q348" i="4"/>
  <c r="X358" i="5"/>
  <c r="S348" i="4"/>
  <c r="AA358" i="5"/>
  <c r="T348" i="4"/>
  <c r="AC358" i="5"/>
  <c r="U348" i="4"/>
  <c r="AD358" i="5"/>
  <c r="X348" i="4"/>
  <c r="AI358" i="5"/>
  <c r="Y348" i="4"/>
  <c r="AJ358" i="5"/>
  <c r="Z348" i="4"/>
  <c r="AL358" i="5"/>
  <c r="F358" i="5"/>
  <c r="H358" i="5"/>
  <c r="I358" i="5"/>
  <c r="Z358" i="5"/>
  <c r="AN358" i="5"/>
  <c r="B358" i="4"/>
  <c r="K358" i="4"/>
  <c r="O359" i="5"/>
  <c r="H358" i="4"/>
  <c r="K359" i="5"/>
  <c r="W358" i="4"/>
  <c r="AG359" i="5"/>
  <c r="V358" i="4"/>
  <c r="AF359" i="5"/>
  <c r="C358" i="4"/>
  <c r="C359" i="5"/>
  <c r="D358" i="4"/>
  <c r="E359" i="5"/>
  <c r="I358" i="4"/>
  <c r="L359" i="5"/>
  <c r="J358" i="4"/>
  <c r="N359" i="5"/>
  <c r="L358" i="4"/>
  <c r="Q359" i="5"/>
  <c r="M358" i="4"/>
  <c r="R359" i="5"/>
  <c r="N358" i="4"/>
  <c r="T359" i="5"/>
  <c r="O358" i="4"/>
  <c r="U359" i="5"/>
  <c r="P358" i="4"/>
  <c r="W359" i="5"/>
  <c r="Q358" i="4"/>
  <c r="X359" i="5"/>
  <c r="S358" i="4"/>
  <c r="AA359" i="5"/>
  <c r="T358" i="4"/>
  <c r="AC359" i="5"/>
  <c r="U358" i="4"/>
  <c r="AD359" i="5"/>
  <c r="X358" i="4"/>
  <c r="AI359" i="5"/>
  <c r="Y358" i="4"/>
  <c r="AJ359" i="5"/>
  <c r="Z358" i="4"/>
  <c r="AL359" i="5"/>
  <c r="F359" i="5"/>
  <c r="H359" i="5"/>
  <c r="I359" i="5"/>
  <c r="Z359" i="5"/>
  <c r="AN359" i="5"/>
  <c r="B359" i="4"/>
  <c r="K359" i="4"/>
  <c r="O360" i="5"/>
  <c r="H359" i="4"/>
  <c r="K360" i="5"/>
  <c r="W359" i="4"/>
  <c r="AG360" i="5"/>
  <c r="V359" i="4"/>
  <c r="AF360" i="5"/>
  <c r="C359" i="4"/>
  <c r="C360" i="5"/>
  <c r="D359" i="4"/>
  <c r="E360" i="5"/>
  <c r="I359" i="4"/>
  <c r="L360" i="5"/>
  <c r="J359" i="4"/>
  <c r="N360" i="5"/>
  <c r="L359" i="4"/>
  <c r="Q360" i="5"/>
  <c r="M359" i="4"/>
  <c r="R360" i="5"/>
  <c r="N359" i="4"/>
  <c r="T360" i="5"/>
  <c r="O359" i="4"/>
  <c r="U360" i="5"/>
  <c r="P359" i="4"/>
  <c r="W360" i="5"/>
  <c r="Q359" i="4"/>
  <c r="X360" i="5"/>
  <c r="S359" i="4"/>
  <c r="AA360" i="5"/>
  <c r="T359" i="4"/>
  <c r="AC360" i="5"/>
  <c r="U359" i="4"/>
  <c r="AD360" i="5"/>
  <c r="X359" i="4"/>
  <c r="AI360" i="5"/>
  <c r="Y359" i="4"/>
  <c r="AJ360" i="5"/>
  <c r="Z359" i="4"/>
  <c r="AL360" i="5"/>
  <c r="F360" i="5"/>
  <c r="H360" i="5"/>
  <c r="I360" i="5"/>
  <c r="Z360" i="5"/>
  <c r="AN360" i="5"/>
  <c r="B364" i="4"/>
  <c r="K364" i="4"/>
  <c r="O361" i="5"/>
  <c r="H364" i="4"/>
  <c r="K361" i="5"/>
  <c r="W364" i="4"/>
  <c r="AG361" i="5"/>
  <c r="V364" i="4"/>
  <c r="AF361" i="5"/>
  <c r="C364" i="4"/>
  <c r="C361" i="5"/>
  <c r="D364" i="4"/>
  <c r="E361" i="5"/>
  <c r="I364" i="4"/>
  <c r="L361" i="5"/>
  <c r="J364" i="4"/>
  <c r="N361" i="5"/>
  <c r="L364" i="4"/>
  <c r="Q361" i="5"/>
  <c r="M364" i="4"/>
  <c r="R361" i="5"/>
  <c r="N364" i="4"/>
  <c r="T361" i="5"/>
  <c r="O364" i="4"/>
  <c r="U361" i="5"/>
  <c r="P364" i="4"/>
  <c r="W361" i="5"/>
  <c r="Q364" i="4"/>
  <c r="X361" i="5"/>
  <c r="S364" i="4"/>
  <c r="AA361" i="5"/>
  <c r="T364" i="4"/>
  <c r="AC361" i="5"/>
  <c r="U364" i="4"/>
  <c r="AD361" i="5"/>
  <c r="X364" i="4"/>
  <c r="AI361" i="5"/>
  <c r="Y364" i="4"/>
  <c r="AJ361" i="5"/>
  <c r="Z364" i="4"/>
  <c r="AL361" i="5"/>
  <c r="F361" i="5"/>
  <c r="H361" i="5"/>
  <c r="I361" i="5"/>
  <c r="Z361" i="5"/>
  <c r="AN361" i="5"/>
  <c r="B349" i="4"/>
  <c r="K349" i="4"/>
  <c r="O362" i="5"/>
  <c r="H349" i="4"/>
  <c r="K362" i="5"/>
  <c r="W349" i="4"/>
  <c r="AG362" i="5"/>
  <c r="V349" i="4"/>
  <c r="AF362" i="5"/>
  <c r="C349" i="4"/>
  <c r="C362" i="5"/>
  <c r="D349" i="4"/>
  <c r="E362" i="5"/>
  <c r="I349" i="4"/>
  <c r="L362" i="5"/>
  <c r="J349" i="4"/>
  <c r="N362" i="5"/>
  <c r="L349" i="4"/>
  <c r="Q362" i="5"/>
  <c r="M349" i="4"/>
  <c r="R362" i="5"/>
  <c r="N349" i="4"/>
  <c r="T362" i="5"/>
  <c r="O349" i="4"/>
  <c r="U362" i="5"/>
  <c r="P349" i="4"/>
  <c r="W362" i="5"/>
  <c r="Q349" i="4"/>
  <c r="X362" i="5"/>
  <c r="S349" i="4"/>
  <c r="AA362" i="5"/>
  <c r="T349" i="4"/>
  <c r="AC362" i="5"/>
  <c r="U349" i="4"/>
  <c r="AD362" i="5"/>
  <c r="X349" i="4"/>
  <c r="AI362" i="5"/>
  <c r="Y349" i="4"/>
  <c r="AJ362" i="5"/>
  <c r="Z349" i="4"/>
  <c r="AL362" i="5"/>
  <c r="F362" i="5"/>
  <c r="H362" i="5"/>
  <c r="I362" i="5"/>
  <c r="Z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F363" i="5"/>
  <c r="H363" i="5"/>
  <c r="I363" i="5"/>
  <c r="Z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F364" i="5"/>
  <c r="H364" i="5"/>
  <c r="I364" i="5"/>
  <c r="Z364" i="5"/>
  <c r="AN364" i="5"/>
  <c r="B367" i="4"/>
  <c r="K367" i="4"/>
  <c r="O365" i="5"/>
  <c r="H367" i="4"/>
  <c r="K365" i="5"/>
  <c r="W367" i="4"/>
  <c r="AG365" i="5"/>
  <c r="V367" i="4"/>
  <c r="AF365" i="5"/>
  <c r="C367" i="4"/>
  <c r="C365" i="5"/>
  <c r="D367" i="4"/>
  <c r="E365" i="5"/>
  <c r="I367" i="4"/>
  <c r="L365" i="5"/>
  <c r="J367" i="4"/>
  <c r="N365" i="5"/>
  <c r="L367" i="4"/>
  <c r="Q365" i="5"/>
  <c r="M367" i="4"/>
  <c r="R365" i="5"/>
  <c r="N367" i="4"/>
  <c r="T365" i="5"/>
  <c r="O367" i="4"/>
  <c r="U365" i="5"/>
  <c r="P367" i="4"/>
  <c r="W365" i="5"/>
  <c r="Q367" i="4"/>
  <c r="X365" i="5"/>
  <c r="S367" i="4"/>
  <c r="AA365" i="5"/>
  <c r="T367" i="4"/>
  <c r="AC365" i="5"/>
  <c r="U367" i="4"/>
  <c r="AD365" i="5"/>
  <c r="X367" i="4"/>
  <c r="AI365" i="5"/>
  <c r="Y367" i="4"/>
  <c r="AJ365" i="5"/>
  <c r="Z367" i="4"/>
  <c r="AL365" i="5"/>
  <c r="F365" i="5"/>
  <c r="H365" i="5"/>
  <c r="I365" i="5"/>
  <c r="Z365" i="5"/>
  <c r="AN365" i="5"/>
  <c r="B360" i="4"/>
  <c r="S360" i="4"/>
  <c r="AA366" i="5"/>
  <c r="P360" i="4"/>
  <c r="W366" i="5"/>
  <c r="K360" i="4"/>
  <c r="O366" i="5"/>
  <c r="H360" i="4"/>
  <c r="K366" i="5"/>
  <c r="W360" i="4"/>
  <c r="AG366" i="5"/>
  <c r="V360" i="4"/>
  <c r="AF366" i="5"/>
  <c r="C360" i="4"/>
  <c r="C366" i="5"/>
  <c r="D360" i="4"/>
  <c r="E366" i="5"/>
  <c r="I360" i="4"/>
  <c r="L366" i="5"/>
  <c r="J360" i="4"/>
  <c r="N366" i="5"/>
  <c r="L360" i="4"/>
  <c r="Q366" i="5"/>
  <c r="M360" i="4"/>
  <c r="R366" i="5"/>
  <c r="N360" i="4"/>
  <c r="T366" i="5"/>
  <c r="O360" i="4"/>
  <c r="U366" i="5"/>
  <c r="Q360" i="4"/>
  <c r="X366" i="5"/>
  <c r="R360" i="4"/>
  <c r="Z366" i="5"/>
  <c r="T360" i="4"/>
  <c r="AC366" i="5"/>
  <c r="U360" i="4"/>
  <c r="AD366" i="5"/>
  <c r="X360" i="4"/>
  <c r="AI366" i="5"/>
  <c r="F366" i="5"/>
  <c r="H366" i="5"/>
  <c r="I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F367" i="5"/>
  <c r="H367" i="5"/>
  <c r="I367" i="5"/>
  <c r="Z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F368" i="5"/>
  <c r="H368" i="5"/>
  <c r="I368" i="5"/>
  <c r="Z368" i="5"/>
  <c r="AN368" i="5"/>
  <c r="B354" i="4"/>
  <c r="K354" i="4"/>
  <c r="O369" i="5"/>
  <c r="H354" i="4"/>
  <c r="K369" i="5"/>
  <c r="W354" i="4"/>
  <c r="AG369" i="5"/>
  <c r="V354" i="4"/>
  <c r="AF369" i="5"/>
  <c r="C354" i="4"/>
  <c r="C369" i="5"/>
  <c r="D354" i="4"/>
  <c r="E369" i="5"/>
  <c r="I354" i="4"/>
  <c r="L369" i="5"/>
  <c r="J354" i="4"/>
  <c r="N369" i="5"/>
  <c r="L354" i="4"/>
  <c r="Q369" i="5"/>
  <c r="M354" i="4"/>
  <c r="R369" i="5"/>
  <c r="N354" i="4"/>
  <c r="T369" i="5"/>
  <c r="O354" i="4"/>
  <c r="U369" i="5"/>
  <c r="P354" i="4"/>
  <c r="W369" i="5"/>
  <c r="Q354" i="4"/>
  <c r="X369" i="5"/>
  <c r="S354" i="4"/>
  <c r="AA369" i="5"/>
  <c r="T354" i="4"/>
  <c r="AC369" i="5"/>
  <c r="U354" i="4"/>
  <c r="AD369" i="5"/>
  <c r="X354" i="4"/>
  <c r="AI369" i="5"/>
  <c r="Y354" i="4"/>
  <c r="AJ369" i="5"/>
  <c r="Z354" i="4"/>
  <c r="AL369" i="5"/>
  <c r="F369" i="5"/>
  <c r="H369" i="5"/>
  <c r="I369" i="5"/>
  <c r="Z369" i="5"/>
  <c r="AN369" i="5"/>
  <c r="B379" i="4"/>
  <c r="K379" i="4"/>
  <c r="O370" i="5"/>
  <c r="H379" i="4"/>
  <c r="K370" i="5"/>
  <c r="W379" i="4"/>
  <c r="AG370" i="5"/>
  <c r="AF370" i="5"/>
  <c r="C379" i="4"/>
  <c r="C370" i="5"/>
  <c r="D379" i="4"/>
  <c r="E370" i="5"/>
  <c r="I379" i="4"/>
  <c r="L370" i="5"/>
  <c r="J379" i="4"/>
  <c r="N370" i="5"/>
  <c r="L379" i="4"/>
  <c r="Q370" i="5"/>
  <c r="M379" i="4"/>
  <c r="R370" i="5"/>
  <c r="N379" i="4"/>
  <c r="T370" i="5"/>
  <c r="O379" i="4"/>
  <c r="U370" i="5"/>
  <c r="P379" i="4"/>
  <c r="W370" i="5"/>
  <c r="Q379" i="4"/>
  <c r="X370" i="5"/>
  <c r="S379" i="4"/>
  <c r="AA370" i="5"/>
  <c r="T379" i="4"/>
  <c r="AC370" i="5"/>
  <c r="U379" i="4"/>
  <c r="AD370" i="5"/>
  <c r="X379" i="4"/>
  <c r="AI370" i="5"/>
  <c r="Y379" i="4"/>
  <c r="AJ370" i="5"/>
  <c r="Z379" i="4"/>
  <c r="AL370" i="5"/>
  <c r="F370" i="5"/>
  <c r="H370" i="5"/>
  <c r="I370" i="5"/>
  <c r="Z370" i="5"/>
  <c r="AN370" i="5"/>
  <c r="B377" i="4"/>
  <c r="K377" i="4"/>
  <c r="O371" i="5"/>
  <c r="H377" i="4"/>
  <c r="K371" i="5"/>
  <c r="W377" i="4"/>
  <c r="AG371" i="5"/>
  <c r="AF371" i="5"/>
  <c r="C377" i="4"/>
  <c r="C371" i="5"/>
  <c r="D377" i="4"/>
  <c r="E371" i="5"/>
  <c r="I377" i="4"/>
  <c r="L371" i="5"/>
  <c r="J377" i="4"/>
  <c r="N371" i="5"/>
  <c r="L377" i="4"/>
  <c r="Q371" i="5"/>
  <c r="M377" i="4"/>
  <c r="R371" i="5"/>
  <c r="N377" i="4"/>
  <c r="T371" i="5"/>
  <c r="O377" i="4"/>
  <c r="U371" i="5"/>
  <c r="P377" i="4"/>
  <c r="W371" i="5"/>
  <c r="Q377" i="4"/>
  <c r="X371" i="5"/>
  <c r="S377" i="4"/>
  <c r="AA371" i="5"/>
  <c r="T377" i="4"/>
  <c r="AC371" i="5"/>
  <c r="U377" i="4"/>
  <c r="AD371" i="5"/>
  <c r="X377" i="4"/>
  <c r="AI371" i="5"/>
  <c r="Y377" i="4"/>
  <c r="AJ371" i="5"/>
  <c r="Z377" i="4"/>
  <c r="AL371" i="5"/>
  <c r="F371" i="5"/>
  <c r="H371" i="5"/>
  <c r="I371" i="5"/>
  <c r="Z371" i="5"/>
  <c r="AN371" i="5"/>
  <c r="B373" i="4"/>
  <c r="K373" i="4"/>
  <c r="O372" i="5"/>
  <c r="H373" i="4"/>
  <c r="K372" i="5"/>
  <c r="W373" i="4"/>
  <c r="AG372" i="5"/>
  <c r="AF372" i="5"/>
  <c r="C373" i="4"/>
  <c r="C372" i="5"/>
  <c r="D373" i="4"/>
  <c r="E372" i="5"/>
  <c r="I373" i="4"/>
  <c r="L372" i="5"/>
  <c r="J373" i="4"/>
  <c r="N372" i="5"/>
  <c r="L373" i="4"/>
  <c r="Q372" i="5"/>
  <c r="M373" i="4"/>
  <c r="R372" i="5"/>
  <c r="N373" i="4"/>
  <c r="T372" i="5"/>
  <c r="O373" i="4"/>
  <c r="U372" i="5"/>
  <c r="P373" i="4"/>
  <c r="W372" i="5"/>
  <c r="Q373" i="4"/>
  <c r="X372" i="5"/>
  <c r="S373" i="4"/>
  <c r="AA372" i="5"/>
  <c r="T373" i="4"/>
  <c r="AC372" i="5"/>
  <c r="U373" i="4"/>
  <c r="AD372" i="5"/>
  <c r="X373" i="4"/>
  <c r="AI372" i="5"/>
  <c r="Y373" i="4"/>
  <c r="AJ372" i="5"/>
  <c r="Z373" i="4"/>
  <c r="AL372" i="5"/>
  <c r="F372" i="5"/>
  <c r="H372" i="5"/>
  <c r="I372" i="5"/>
  <c r="Z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F373" i="5"/>
  <c r="H373" i="5"/>
  <c r="I373" i="5"/>
  <c r="Z373" i="5"/>
  <c r="AN373" i="5"/>
  <c r="W370" i="4"/>
  <c r="AG374" i="5"/>
  <c r="AF374" i="5"/>
  <c r="C370" i="4"/>
  <c r="C374" i="5"/>
  <c r="N370" i="4"/>
  <c r="T374" i="5"/>
  <c r="O370" i="4"/>
  <c r="U374" i="5"/>
  <c r="P370" i="4"/>
  <c r="W374" i="5"/>
  <c r="Q370" i="4"/>
  <c r="X374" i="5"/>
  <c r="S370" i="4"/>
  <c r="AA374" i="5"/>
  <c r="T370" i="4"/>
  <c r="AC374" i="5"/>
  <c r="U370" i="4"/>
  <c r="AD374" i="5"/>
  <c r="X370" i="4"/>
  <c r="AI374" i="5"/>
  <c r="Y370" i="4"/>
  <c r="AJ374" i="5"/>
  <c r="Z370" i="4"/>
  <c r="AL374" i="5"/>
  <c r="F374" i="5"/>
  <c r="H374" i="5"/>
  <c r="I374" i="5"/>
  <c r="Z374" i="5"/>
  <c r="AN374" i="5"/>
  <c r="B371" i="4"/>
  <c r="K371" i="4"/>
  <c r="O375" i="5"/>
  <c r="H371" i="4"/>
  <c r="K375" i="5"/>
  <c r="W371" i="4"/>
  <c r="AG375" i="5"/>
  <c r="AF375" i="5"/>
  <c r="C371" i="4"/>
  <c r="C375" i="5"/>
  <c r="D371" i="4"/>
  <c r="E375" i="5"/>
  <c r="I371" i="4"/>
  <c r="L375" i="5"/>
  <c r="J371" i="4"/>
  <c r="N375" i="5"/>
  <c r="L371" i="4"/>
  <c r="Q375" i="5"/>
  <c r="M371" i="4"/>
  <c r="R375" i="5"/>
  <c r="N371" i="4"/>
  <c r="T375" i="5"/>
  <c r="O371" i="4"/>
  <c r="U375" i="5"/>
  <c r="P371" i="4"/>
  <c r="W375" i="5"/>
  <c r="Q371" i="4"/>
  <c r="X375" i="5"/>
  <c r="S371" i="4"/>
  <c r="AA375" i="5"/>
  <c r="T371" i="4"/>
  <c r="AC375" i="5"/>
  <c r="U371" i="4"/>
  <c r="AD375" i="5"/>
  <c r="X371" i="4"/>
  <c r="AI375" i="5"/>
  <c r="Y371" i="4"/>
  <c r="AJ375" i="5"/>
  <c r="Z371" i="4"/>
  <c r="AL375" i="5"/>
  <c r="F375" i="5"/>
  <c r="H375" i="5"/>
  <c r="I375" i="5"/>
  <c r="Z375" i="5"/>
  <c r="AN375" i="5"/>
  <c r="B375" i="4"/>
  <c r="K375" i="4"/>
  <c r="O376" i="5"/>
  <c r="H375" i="4"/>
  <c r="K376" i="5"/>
  <c r="W375" i="4"/>
  <c r="AG376" i="5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72" i="4"/>
  <c r="K372" i="4"/>
  <c r="O378" i="5"/>
  <c r="H372" i="4"/>
  <c r="K378" i="5"/>
  <c r="W372" i="4"/>
  <c r="AG378" i="5"/>
  <c r="AF378" i="5"/>
  <c r="C372" i="4"/>
  <c r="C378" i="5"/>
  <c r="D372" i="4"/>
  <c r="E378" i="5"/>
  <c r="I372" i="4"/>
  <c r="L378" i="5"/>
  <c r="J372" i="4"/>
  <c r="N378" i="5"/>
  <c r="L372" i="4"/>
  <c r="Q378" i="5"/>
  <c r="M372" i="4"/>
  <c r="R378" i="5"/>
  <c r="N372" i="4"/>
  <c r="T378" i="5"/>
  <c r="O372" i="4"/>
  <c r="U378" i="5"/>
  <c r="P372" i="4"/>
  <c r="W378" i="5"/>
  <c r="Q372" i="4"/>
  <c r="X378" i="5"/>
  <c r="S372" i="4"/>
  <c r="AA378" i="5"/>
  <c r="T372" i="4"/>
  <c r="AC378" i="5"/>
  <c r="U372" i="4"/>
  <c r="AD378" i="5"/>
  <c r="X372" i="4"/>
  <c r="AI378" i="5"/>
  <c r="Y372" i="4"/>
  <c r="AJ378" i="5"/>
  <c r="Z372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96" i="4"/>
  <c r="P396" i="4"/>
  <c r="W387" i="5"/>
  <c r="O387" i="5"/>
  <c r="K387" i="5"/>
  <c r="AG387" i="5"/>
  <c r="AF387" i="5"/>
  <c r="C387" i="5"/>
  <c r="L387" i="5"/>
  <c r="N387" i="5"/>
  <c r="L396" i="4"/>
  <c r="Q387" i="5"/>
  <c r="U387" i="5"/>
  <c r="Q396" i="4"/>
  <c r="X387" i="5"/>
  <c r="R15" i="2"/>
  <c r="R396" i="4"/>
  <c r="Z387" i="5"/>
  <c r="AC387" i="5"/>
  <c r="AD387" i="5"/>
  <c r="X396" i="4"/>
  <c r="AI387" i="5"/>
  <c r="Y396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13" i="2"/>
  <c r="R397" i="4"/>
  <c r="Z391" i="5"/>
  <c r="AC391" i="5"/>
  <c r="AD391" i="5"/>
  <c r="X397" i="4"/>
  <c r="AI391" i="5"/>
  <c r="Y397" i="4"/>
  <c r="AJ391" i="5"/>
  <c r="AL391" i="5"/>
  <c r="F391" i="5"/>
  <c r="E391" i="5"/>
  <c r="H391" i="5"/>
  <c r="I391" i="5"/>
  <c r="R391" i="5"/>
  <c r="T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F392" i="5"/>
  <c r="E392" i="5"/>
  <c r="H392" i="5"/>
  <c r="I392" i="5"/>
  <c r="R392" i="5"/>
  <c r="T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F393" i="5"/>
  <c r="E393" i="5"/>
  <c r="H393" i="5"/>
  <c r="I393" i="5"/>
  <c r="R393" i="5"/>
  <c r="T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F394" i="5"/>
  <c r="E394" i="5"/>
  <c r="H394" i="5"/>
  <c r="I394" i="5"/>
  <c r="R394" i="5"/>
  <c r="T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F395" i="5"/>
  <c r="E395" i="5"/>
  <c r="H395" i="5"/>
  <c r="I395" i="5"/>
  <c r="R395" i="5"/>
  <c r="T395" i="5"/>
  <c r="AN395" i="5"/>
  <c r="AA396" i="5"/>
  <c r="B391" i="4"/>
  <c r="P391" i="4"/>
  <c r="W396" i="5"/>
  <c r="O396" i="5"/>
  <c r="K396" i="5"/>
  <c r="AG396" i="5"/>
  <c r="AF396" i="5"/>
  <c r="C396" i="5"/>
  <c r="L396" i="5"/>
  <c r="N396" i="5"/>
  <c r="L391" i="4"/>
  <c r="Q396" i="5"/>
  <c r="U396" i="5"/>
  <c r="Q391" i="4"/>
  <c r="X396" i="5"/>
  <c r="R391" i="4"/>
  <c r="Z396" i="5"/>
  <c r="AC396" i="5"/>
  <c r="AD396" i="5"/>
  <c r="X391" i="4"/>
  <c r="AI396" i="5"/>
  <c r="Y391" i="4"/>
  <c r="AJ396" i="5"/>
  <c r="AL396" i="5"/>
  <c r="F396" i="5"/>
  <c r="E396" i="5"/>
  <c r="H396" i="5"/>
  <c r="I396" i="5"/>
  <c r="R396" i="5"/>
  <c r="T396" i="5"/>
  <c r="AN396" i="5"/>
  <c r="AA397" i="5"/>
  <c r="B392" i="4"/>
  <c r="P392" i="4"/>
  <c r="W397" i="5"/>
  <c r="O397" i="5"/>
  <c r="K397" i="5"/>
  <c r="AG397" i="5"/>
  <c r="AF397" i="5"/>
  <c r="C397" i="5"/>
  <c r="L397" i="5"/>
  <c r="N397" i="5"/>
  <c r="L392" i="4"/>
  <c r="Q397" i="5"/>
  <c r="U397" i="5"/>
  <c r="Q392" i="4"/>
  <c r="X397" i="5"/>
  <c r="R392" i="4"/>
  <c r="Z397" i="5"/>
  <c r="AC397" i="5"/>
  <c r="AD397" i="5"/>
  <c r="X392" i="4"/>
  <c r="AI397" i="5"/>
  <c r="Y392" i="4"/>
  <c r="AJ397" i="5"/>
  <c r="AL397" i="5"/>
  <c r="F397" i="5"/>
  <c r="E397" i="5"/>
  <c r="H397" i="5"/>
  <c r="I397" i="5"/>
  <c r="R397" i="5"/>
  <c r="T397" i="5"/>
  <c r="AN397" i="5"/>
  <c r="AA398" i="5"/>
  <c r="B393" i="4"/>
  <c r="P393" i="4"/>
  <c r="W398" i="5"/>
  <c r="O398" i="5"/>
  <c r="K398" i="5"/>
  <c r="AG398" i="5"/>
  <c r="AF398" i="5"/>
  <c r="C398" i="5"/>
  <c r="L398" i="5"/>
  <c r="N398" i="5"/>
  <c r="L393" i="4"/>
  <c r="Q398" i="5"/>
  <c r="U398" i="5"/>
  <c r="Q393" i="4"/>
  <c r="X398" i="5"/>
  <c r="R27" i="2"/>
  <c r="R393" i="4"/>
  <c r="Z398" i="5"/>
  <c r="AC398" i="5"/>
  <c r="AD398" i="5"/>
  <c r="X393" i="4"/>
  <c r="AI398" i="5"/>
  <c r="Y393" i="4"/>
  <c r="AJ398" i="5"/>
  <c r="AL398" i="5"/>
  <c r="F398" i="5"/>
  <c r="E398" i="5"/>
  <c r="H398" i="5"/>
  <c r="I398" i="5"/>
  <c r="R398" i="5"/>
  <c r="T398" i="5"/>
  <c r="AN398" i="5"/>
  <c r="AA399" i="5"/>
  <c r="B402" i="4"/>
  <c r="P402" i="4"/>
  <c r="W399" i="5"/>
  <c r="O399" i="5"/>
  <c r="K399" i="5"/>
  <c r="AG399" i="5"/>
  <c r="AF399" i="5"/>
  <c r="C399" i="5"/>
  <c r="L399" i="5"/>
  <c r="N399" i="5"/>
  <c r="L402" i="4"/>
  <c r="Q399" i="5"/>
  <c r="U399" i="5"/>
  <c r="Q402" i="4"/>
  <c r="X399" i="5"/>
  <c r="R402" i="4"/>
  <c r="Z399" i="5"/>
  <c r="AC399" i="5"/>
  <c r="AD399" i="5"/>
  <c r="X402" i="4"/>
  <c r="AI399" i="5"/>
  <c r="Y402" i="4"/>
  <c r="AJ399" i="5"/>
  <c r="AL399" i="5"/>
  <c r="F399" i="5"/>
  <c r="E399" i="5"/>
  <c r="H399" i="5"/>
  <c r="I399" i="5"/>
  <c r="R399" i="5"/>
  <c r="T399" i="5"/>
  <c r="AN399" i="5"/>
  <c r="AA400" i="5"/>
  <c r="B403" i="4"/>
  <c r="P403" i="4"/>
  <c r="W400" i="5"/>
  <c r="O400" i="5"/>
  <c r="K400" i="5"/>
  <c r="AG400" i="5"/>
  <c r="AF400" i="5"/>
  <c r="C400" i="5"/>
  <c r="L400" i="5"/>
  <c r="N400" i="5"/>
  <c r="L403" i="4"/>
  <c r="Q400" i="5"/>
  <c r="U400" i="5"/>
  <c r="Q403" i="4"/>
  <c r="X400" i="5"/>
  <c r="R403" i="4"/>
  <c r="Z400" i="5"/>
  <c r="AC400" i="5"/>
  <c r="AD400" i="5"/>
  <c r="X403" i="4"/>
  <c r="AI400" i="5"/>
  <c r="Y403" i="4"/>
  <c r="AJ400" i="5"/>
  <c r="AL400" i="5"/>
  <c r="F400" i="5"/>
  <c r="E400" i="5"/>
  <c r="H400" i="5"/>
  <c r="I400" i="5"/>
  <c r="R400" i="5"/>
  <c r="T400" i="5"/>
  <c r="AN400" i="5"/>
  <c r="AA401" i="5"/>
  <c r="B387" i="4"/>
  <c r="P387" i="4"/>
  <c r="W401" i="5"/>
  <c r="O401" i="5"/>
  <c r="K401" i="5"/>
  <c r="AG401" i="5"/>
  <c r="AF401" i="5"/>
  <c r="C401" i="5"/>
  <c r="L401" i="5"/>
  <c r="N401" i="5"/>
  <c r="L387" i="4"/>
  <c r="Q401" i="5"/>
  <c r="U401" i="5"/>
  <c r="Q387" i="4"/>
  <c r="X401" i="5"/>
  <c r="R387" i="4"/>
  <c r="Z401" i="5"/>
  <c r="AC401" i="5"/>
  <c r="AD401" i="5"/>
  <c r="X387" i="4"/>
  <c r="AI401" i="5"/>
  <c r="Y387" i="4"/>
  <c r="AJ401" i="5"/>
  <c r="AL401" i="5"/>
  <c r="F401" i="5"/>
  <c r="E401" i="5"/>
  <c r="H401" i="5"/>
  <c r="I401" i="5"/>
  <c r="R401" i="5"/>
  <c r="T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F402" i="5"/>
  <c r="E402" i="5"/>
  <c r="H402" i="5"/>
  <c r="I402" i="5"/>
  <c r="R402" i="5"/>
  <c r="T402" i="5"/>
  <c r="AN402" i="5"/>
  <c r="AA403" i="5"/>
  <c r="B405" i="4"/>
  <c r="P405" i="4"/>
  <c r="W403" i="5"/>
  <c r="O403" i="5"/>
  <c r="K403" i="5"/>
  <c r="AG403" i="5"/>
  <c r="AF403" i="5"/>
  <c r="C403" i="5"/>
  <c r="L403" i="5"/>
  <c r="N403" i="5"/>
  <c r="L405" i="4"/>
  <c r="Q403" i="5"/>
  <c r="U403" i="5"/>
  <c r="Q405" i="4"/>
  <c r="X403" i="5"/>
  <c r="R405" i="4"/>
  <c r="Z403" i="5"/>
  <c r="AC403" i="5"/>
  <c r="AD403" i="5"/>
  <c r="X405" i="4"/>
  <c r="AI403" i="5"/>
  <c r="Y405" i="4"/>
  <c r="AJ403" i="5"/>
  <c r="AL403" i="5"/>
  <c r="F403" i="5"/>
  <c r="E403" i="5"/>
  <c r="H403" i="5"/>
  <c r="I403" i="5"/>
  <c r="R403" i="5"/>
  <c r="T403" i="5"/>
  <c r="AN403" i="5"/>
  <c r="AA404" i="5"/>
  <c r="B394" i="4"/>
  <c r="P394" i="4"/>
  <c r="W404" i="5"/>
  <c r="O404" i="5"/>
  <c r="K404" i="5"/>
  <c r="AG404" i="5"/>
  <c r="AF404" i="5"/>
  <c r="C404" i="5"/>
  <c r="L404" i="5"/>
  <c r="N404" i="5"/>
  <c r="L394" i="4"/>
  <c r="Q404" i="5"/>
  <c r="U404" i="5"/>
  <c r="Q394" i="4"/>
  <c r="X404" i="5"/>
  <c r="R394" i="4"/>
  <c r="Z404" i="5"/>
  <c r="AC404" i="5"/>
  <c r="AD404" i="5"/>
  <c r="X394" i="4"/>
  <c r="AI404" i="5"/>
  <c r="Y394" i="4"/>
  <c r="AJ404" i="5"/>
  <c r="AL404" i="5"/>
  <c r="F404" i="5"/>
  <c r="E404" i="5"/>
  <c r="H404" i="5"/>
  <c r="I404" i="5"/>
  <c r="R404" i="5"/>
  <c r="T404" i="5"/>
  <c r="AN404" i="5"/>
  <c r="AA405" i="5"/>
  <c r="B395" i="4"/>
  <c r="P395" i="4"/>
  <c r="W405" i="5"/>
  <c r="O405" i="5"/>
  <c r="K405" i="5"/>
  <c r="AG405" i="5"/>
  <c r="AF405" i="5"/>
  <c r="C405" i="5"/>
  <c r="L405" i="5"/>
  <c r="N405" i="5"/>
  <c r="L395" i="4"/>
  <c r="Q405" i="5"/>
  <c r="U405" i="5"/>
  <c r="Q395" i="4"/>
  <c r="X405" i="5"/>
  <c r="R395" i="4"/>
  <c r="Z405" i="5"/>
  <c r="AC405" i="5"/>
  <c r="AD405" i="5"/>
  <c r="X395" i="4"/>
  <c r="AI405" i="5"/>
  <c r="Y39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I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H2" i="5"/>
  <c r="I2" i="5"/>
  <c r="Z2" i="5"/>
  <c r="AN2" i="5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AZ153" i="1"/>
  <c r="BA153" i="1"/>
  <c r="BB153" i="1"/>
  <c r="CT153" i="1"/>
  <c r="AI300" i="4"/>
  <c r="AI310" i="4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9" i="4"/>
  <c r="F47" i="2"/>
  <c r="F309" i="4"/>
  <c r="R47" i="2"/>
  <c r="R309" i="4"/>
  <c r="AA309" i="4"/>
  <c r="AC309" i="4"/>
  <c r="AD309" i="4"/>
  <c r="AE309" i="4"/>
  <c r="AF309" i="4"/>
  <c r="AG309" i="4"/>
  <c r="AH309" i="4"/>
  <c r="AI309" i="4"/>
  <c r="AJ309" i="4"/>
  <c r="AL309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288" i="4"/>
  <c r="AH26" i="4"/>
  <c r="AH245" i="4"/>
  <c r="AH131" i="4"/>
  <c r="AH133" i="4"/>
  <c r="AH130" i="4"/>
  <c r="AH7" i="4"/>
  <c r="AH23" i="4"/>
  <c r="AH132" i="4"/>
  <c r="AH24" i="4"/>
  <c r="AH179" i="4"/>
  <c r="AH180" i="4"/>
  <c r="AH286" i="4"/>
  <c r="AH290" i="4"/>
  <c r="AH187" i="4"/>
  <c r="AH250" i="4"/>
  <c r="AH77" i="4"/>
  <c r="AH192" i="4"/>
  <c r="AH121" i="4"/>
  <c r="AH264" i="4"/>
  <c r="AH269" i="4"/>
  <c r="AH270" i="4"/>
  <c r="AH233" i="4"/>
  <c r="AH247" i="4"/>
  <c r="AH241" i="4"/>
  <c r="AH244" i="4"/>
  <c r="AH263" i="4"/>
  <c r="AH151" i="4"/>
  <c r="AH267" i="4"/>
  <c r="AH265" i="4"/>
  <c r="AH266" i="4"/>
  <c r="AH238" i="4"/>
  <c r="AH240" i="4"/>
  <c r="AH243" i="4"/>
  <c r="AH268" i="4"/>
  <c r="AH272" i="4"/>
  <c r="AH271" i="4"/>
  <c r="AH210" i="4"/>
  <c r="AH220" i="4"/>
  <c r="AH221" i="4"/>
  <c r="AH199" i="4"/>
  <c r="AH213" i="4"/>
  <c r="AH25" i="4"/>
  <c r="AH287" i="4"/>
  <c r="AH239" i="4"/>
  <c r="AH242" i="4"/>
  <c r="AH273" i="4"/>
  <c r="AH186" i="4"/>
  <c r="AH190" i="4"/>
  <c r="AH113" i="4"/>
  <c r="AH9" i="4"/>
  <c r="AH10" i="4"/>
  <c r="AH83" i="4"/>
  <c r="AH278" i="4"/>
  <c r="AH284" i="4"/>
  <c r="AH82" i="4"/>
  <c r="AH16" i="4"/>
  <c r="AH84" i="4"/>
  <c r="AH68" i="4"/>
  <c r="AH87" i="4"/>
  <c r="AH100" i="4"/>
  <c r="AH196" i="4"/>
  <c r="AH291" i="4"/>
  <c r="AH8" i="4"/>
  <c r="AH218" i="4"/>
  <c r="AH281" i="4"/>
  <c r="AH292" i="4"/>
  <c r="AH251" i="4"/>
  <c r="AH252" i="4"/>
  <c r="AH279" i="4"/>
  <c r="AH280" i="4"/>
  <c r="AH228" i="4"/>
  <c r="AH297" i="4"/>
  <c r="AH294" i="4"/>
  <c r="AH296" i="4"/>
  <c r="AH197" i="4"/>
  <c r="AH156" i="4"/>
  <c r="AH246" i="4"/>
  <c r="AH194" i="4"/>
  <c r="AH248" i="4"/>
  <c r="AH141" i="4"/>
  <c r="AH116" i="4"/>
  <c r="AH295" i="4"/>
  <c r="AH235" i="4"/>
  <c r="AH234" i="4"/>
  <c r="AH191" i="4"/>
  <c r="AH155" i="4"/>
  <c r="AH249" i="4"/>
  <c r="AH258" i="4"/>
  <c r="AH285" i="4"/>
  <c r="AH256" i="4"/>
  <c r="AH255" i="4"/>
  <c r="AH73" i="4"/>
  <c r="AH230" i="4"/>
  <c r="AH212" i="4"/>
  <c r="AH129" i="4"/>
  <c r="AH253" i="4"/>
  <c r="AH178" i="4"/>
  <c r="AH237" i="4"/>
  <c r="AH222" i="4"/>
  <c r="AH277" i="4"/>
  <c r="AH189" i="4"/>
  <c r="AH231" i="4"/>
  <c r="AH254" i="4"/>
  <c r="AH204" i="4"/>
  <c r="AH149" i="4"/>
  <c r="AH219" i="4"/>
  <c r="AH145" i="4"/>
  <c r="AH122" i="4"/>
  <c r="AH183" i="4"/>
  <c r="AH229" i="4"/>
  <c r="AH257" i="4"/>
  <c r="AH259" i="4"/>
  <c r="AH261" i="4"/>
  <c r="AH260" i="4"/>
  <c r="AH114" i="4"/>
  <c r="AH236" i="4"/>
  <c r="AH176" i="4"/>
  <c r="AH177" i="4"/>
  <c r="AH28" i="4"/>
  <c r="AH135" i="4"/>
  <c r="AH214" i="4"/>
  <c r="AH137" i="4"/>
  <c r="AH139" i="4"/>
  <c r="AH27" i="4"/>
  <c r="AH138" i="4"/>
  <c r="AH143" i="4"/>
  <c r="AH140" i="4"/>
  <c r="AH134" i="4"/>
  <c r="AH111" i="4"/>
  <c r="AH127" i="4"/>
  <c r="AH289" i="4"/>
  <c r="AH223" i="4"/>
  <c r="AH117" i="4"/>
  <c r="AH142" i="4"/>
  <c r="AH50" i="4"/>
  <c r="AH49" i="4"/>
  <c r="AH123" i="4"/>
  <c r="AH92" i="4"/>
  <c r="AH93" i="4"/>
  <c r="AH91" i="4"/>
  <c r="AH96" i="4"/>
  <c r="AH95" i="4"/>
  <c r="AH173" i="4"/>
  <c r="AH168" i="4"/>
  <c r="AH276" i="4"/>
  <c r="AH152" i="4"/>
  <c r="AH158" i="4"/>
  <c r="AH166" i="4"/>
  <c r="AH275" i="4"/>
  <c r="AH211" i="4"/>
  <c r="AH165" i="4"/>
  <c r="AH124" i="4"/>
  <c r="AH144" i="4"/>
  <c r="AH167" i="4"/>
  <c r="AH174" i="4"/>
  <c r="AH293" i="4"/>
  <c r="AH120" i="4"/>
  <c r="AH80" i="4"/>
  <c r="AH206" i="4"/>
  <c r="AH169" i="4"/>
  <c r="AH171" i="4"/>
  <c r="AH172" i="4"/>
  <c r="AH298" i="4"/>
  <c r="AH200" i="4"/>
  <c r="AH201" i="4"/>
  <c r="AH52" i="4"/>
  <c r="AH54" i="4"/>
  <c r="AH14" i="4"/>
  <c r="AH163" i="4"/>
  <c r="AH47" i="4"/>
  <c r="AH85" i="4"/>
  <c r="AH86" i="4"/>
  <c r="AH88" i="4"/>
  <c r="AH90" i="4"/>
  <c r="AH170" i="4"/>
  <c r="AH74" i="4"/>
  <c r="AH45" i="4"/>
  <c r="AH182" i="4"/>
  <c r="AH162" i="4"/>
  <c r="AH59" i="4"/>
  <c r="AH48" i="4"/>
  <c r="AH193" i="4"/>
  <c r="AH195" i="4"/>
  <c r="AH5" i="4"/>
  <c r="AH112" i="4"/>
  <c r="AH126" i="4"/>
  <c r="AH202" i="4"/>
  <c r="AH207" i="4"/>
  <c r="AH6" i="4"/>
  <c r="AH4" i="4"/>
  <c r="AH164" i="4"/>
  <c r="AH42" i="4"/>
  <c r="AH208" i="4"/>
  <c r="AH115" i="4"/>
  <c r="AH161" i="4"/>
  <c r="AH105" i="4"/>
  <c r="AH65" i="4"/>
  <c r="AH125" i="4"/>
  <c r="AH22" i="4"/>
  <c r="AH53" i="4"/>
  <c r="AH283" i="4"/>
  <c r="AH215" i="4"/>
  <c r="AH209" i="4"/>
  <c r="AH118" i="4"/>
  <c r="AH128" i="4"/>
  <c r="AH55" i="4"/>
  <c r="AH57" i="4"/>
  <c r="AH56" i="4"/>
  <c r="AH51" i="4"/>
  <c r="AH89" i="4"/>
  <c r="AH94" i="4"/>
  <c r="AH72" i="4"/>
  <c r="AH69" i="4"/>
  <c r="AH20" i="4"/>
  <c r="AH71" i="4"/>
  <c r="AH157" i="4"/>
  <c r="AH21" i="4"/>
  <c r="AH79" i="4"/>
  <c r="AH224" i="4"/>
  <c r="AH136" i="4"/>
  <c r="AH2" i="4"/>
  <c r="AH198" i="4"/>
  <c r="AH205" i="4"/>
  <c r="AH101" i="4"/>
  <c r="AH30" i="4"/>
  <c r="AH225" i="4"/>
  <c r="AH12" i="4"/>
  <c r="AH64" i="4"/>
  <c r="AH3" i="4"/>
  <c r="AH44" i="4"/>
  <c r="AH43" i="4"/>
  <c r="AH274" i="4"/>
  <c r="AH226" i="4"/>
  <c r="AH160" i="4"/>
  <c r="AH159" i="4"/>
  <c r="AH153" i="4"/>
  <c r="AH18" i="4"/>
  <c r="AH40" i="4"/>
  <c r="AH184" i="4"/>
  <c r="AH99" i="4"/>
  <c r="AH97" i="4"/>
  <c r="AH203" i="4"/>
  <c r="AH78" i="4"/>
  <c r="AH13" i="4"/>
  <c r="AH217" i="4"/>
  <c r="AH70" i="4"/>
  <c r="AH185" i="4"/>
  <c r="AH39" i="4"/>
  <c r="AH216" i="4"/>
  <c r="AH31" i="4"/>
  <c r="AH181" i="4"/>
  <c r="AH60" i="4"/>
  <c r="AH148" i="4"/>
  <c r="AH63" i="4"/>
  <c r="AH146" i="4"/>
  <c r="AH61" i="4"/>
  <c r="AH227" i="4"/>
  <c r="AH98" i="4"/>
  <c r="AH19" i="4"/>
  <c r="AH62" i="4"/>
  <c r="AH11" i="4"/>
  <c r="AH147" i="4"/>
  <c r="AH38" i="4"/>
  <c r="AH75" i="4"/>
  <c r="AH104" i="4"/>
  <c r="AH150" i="4"/>
  <c r="AH103" i="4"/>
  <c r="AH119" i="4"/>
  <c r="AH76" i="4"/>
  <c r="AH29" i="4"/>
  <c r="AH17" i="4"/>
  <c r="AH58" i="4"/>
  <c r="AH154" i="4"/>
  <c r="AH109" i="4"/>
  <c r="AH110" i="4"/>
  <c r="AH66" i="4"/>
  <c r="AH102" i="4"/>
  <c r="AH175" i="4"/>
  <c r="AH81" i="4"/>
  <c r="AH107" i="4"/>
  <c r="AH32" i="4"/>
  <c r="AH15" i="4"/>
  <c r="AH41" i="4"/>
  <c r="AH106" i="4"/>
  <c r="AH33" i="4"/>
  <c r="AH36" i="4"/>
  <c r="AH108" i="4"/>
  <c r="AH46" i="4"/>
  <c r="AH37" i="4"/>
  <c r="AH35" i="4"/>
  <c r="AH34" i="4"/>
  <c r="AH307" i="4"/>
  <c r="AH306" i="4"/>
  <c r="AH304" i="4"/>
  <c r="AH305" i="4"/>
  <c r="AH310" i="4"/>
  <c r="AH311" i="4"/>
  <c r="AH312" i="4"/>
  <c r="AH313" i="4"/>
  <c r="AH300" i="4"/>
  <c r="AH301" i="4"/>
  <c r="AH299" i="4"/>
  <c r="AH302" i="4"/>
  <c r="AH303" i="4"/>
  <c r="AH308" i="4"/>
  <c r="AH314" i="4"/>
  <c r="AH342" i="4"/>
  <c r="AH333" i="4"/>
  <c r="AH331" i="4"/>
  <c r="AH332" i="4"/>
  <c r="AH334" i="4"/>
  <c r="AH324" i="4"/>
  <c r="AH341" i="4"/>
  <c r="AH323" i="4"/>
  <c r="AH322" i="4"/>
  <c r="AH325" i="4"/>
  <c r="AH339" i="4"/>
  <c r="AH346" i="4"/>
  <c r="AH318" i="4"/>
  <c r="AH326" i="4"/>
  <c r="AH327" i="4"/>
  <c r="AH328" i="4"/>
  <c r="AH329" i="4"/>
  <c r="AH319" i="4"/>
  <c r="AH320" i="4"/>
  <c r="AH321" i="4"/>
  <c r="AH347" i="4"/>
  <c r="AH338" i="4"/>
  <c r="AH337" i="4"/>
  <c r="AH340" i="4"/>
  <c r="AH330" i="4"/>
  <c r="AH317" i="4"/>
  <c r="AH316" i="4"/>
  <c r="AH315" i="4"/>
  <c r="AH335" i="4"/>
  <c r="AH336" i="4"/>
  <c r="AH345" i="4"/>
  <c r="AH343" i="4"/>
  <c r="AH344" i="4"/>
  <c r="AH351" i="4"/>
  <c r="AH348" i="4"/>
  <c r="AH361" i="4"/>
  <c r="AH362" i="4"/>
  <c r="AH352" i="4"/>
  <c r="AH353" i="4"/>
  <c r="AH354" i="4"/>
  <c r="AH349" i="4"/>
  <c r="AH350" i="4"/>
  <c r="AH358" i="4"/>
  <c r="AH359" i="4"/>
  <c r="AH364" i="4"/>
  <c r="AH365" i="4"/>
  <c r="AH366" i="4"/>
  <c r="AH367" i="4"/>
  <c r="AH356" i="4"/>
  <c r="AH357" i="4"/>
  <c r="AH368" i="4"/>
  <c r="AH363" i="4"/>
  <c r="AH369" i="4"/>
  <c r="AH360" i="4"/>
  <c r="AH355" i="4"/>
  <c r="AH371" i="4"/>
  <c r="AH377" i="4"/>
  <c r="AH378" i="4"/>
  <c r="AH379" i="4"/>
  <c r="AH373" i="4"/>
  <c r="AH370" i="4"/>
  <c r="AH376" i="4"/>
  <c r="AH374" i="4"/>
  <c r="AH375" i="4"/>
  <c r="AH381" i="4"/>
  <c r="AH372" i="4"/>
  <c r="AH384" i="4"/>
  <c r="AH386" i="4"/>
  <c r="AH385" i="4"/>
  <c r="AH383" i="4"/>
  <c r="AH382" i="4"/>
  <c r="AH390" i="4"/>
  <c r="AH389" i="4"/>
  <c r="AH394" i="4"/>
  <c r="AH388" i="4"/>
  <c r="AH407" i="4"/>
  <c r="AH391" i="4"/>
  <c r="AH397" i="4"/>
  <c r="AH398" i="4"/>
  <c r="AH399" i="4"/>
  <c r="AH400" i="4"/>
  <c r="AH403" i="4"/>
  <c r="AH404" i="4"/>
  <c r="AH405" i="4"/>
  <c r="AH393" i="4"/>
  <c r="AH402" i="4"/>
  <c r="AH406" i="4"/>
  <c r="AH409" i="4"/>
  <c r="AH410" i="4"/>
  <c r="AH411" i="4"/>
  <c r="AH401" i="4"/>
  <c r="AH392" i="4"/>
  <c r="AH395" i="4"/>
  <c r="AH396" i="4"/>
  <c r="AH408" i="4"/>
  <c r="AH387" i="4"/>
  <c r="AH188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N64" i="4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7" i="1"/>
  <c r="BA76" i="1"/>
  <c r="BA119" i="1"/>
  <c r="BA117" i="1"/>
  <c r="BA121" i="1"/>
  <c r="BA122" i="1"/>
  <c r="BA123" i="1"/>
  <c r="BA124" i="1"/>
  <c r="BA234" i="1"/>
  <c r="BA245" i="1"/>
  <c r="BA246" i="1"/>
  <c r="BA309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1" i="1"/>
  <c r="BA72" i="1"/>
  <c r="BA74" i="1"/>
  <c r="BA75" i="1"/>
  <c r="BA84" i="1"/>
  <c r="BA85" i="1"/>
  <c r="BA86" i="1"/>
  <c r="BA88" i="1"/>
  <c r="BA89" i="1"/>
  <c r="BA90" i="1"/>
  <c r="BA91" i="1"/>
  <c r="BA92" i="1"/>
  <c r="BA93" i="1"/>
  <c r="BA94" i="1"/>
  <c r="BA97" i="1"/>
  <c r="BA98" i="1"/>
  <c r="BA100" i="1"/>
  <c r="BA101" i="1"/>
  <c r="BA96" i="1"/>
  <c r="BA103" i="1"/>
  <c r="BA99" i="1"/>
  <c r="BA95" i="1"/>
  <c r="BA104" i="1"/>
  <c r="BA102" i="1"/>
  <c r="BA111" i="1"/>
  <c r="BA126" i="1"/>
  <c r="BA118" i="1"/>
  <c r="BA112" i="1"/>
  <c r="BA125" i="1"/>
  <c r="BA113" i="1"/>
  <c r="BA114" i="1"/>
  <c r="BA115" i="1"/>
  <c r="BA116" i="1"/>
  <c r="BA131" i="1"/>
  <c r="BA133" i="1"/>
  <c r="BA134" i="1"/>
  <c r="BA132" i="1"/>
  <c r="BA147" i="1"/>
  <c r="BA148" i="1"/>
  <c r="BA151" i="1"/>
  <c r="BA152" i="1"/>
  <c r="BA159" i="1"/>
  <c r="BA161" i="1"/>
  <c r="BA162" i="1"/>
  <c r="BA163" i="1"/>
  <c r="BA322" i="1"/>
  <c r="BA326" i="1"/>
  <c r="BA325" i="1"/>
  <c r="BA324" i="1"/>
  <c r="BA323" i="1"/>
  <c r="BA169" i="1"/>
  <c r="BA170" i="1"/>
  <c r="BA172" i="1"/>
  <c r="BA171" i="1"/>
  <c r="BA175" i="1"/>
  <c r="BA176" i="1"/>
  <c r="BA182" i="1"/>
  <c r="BA181" i="1"/>
  <c r="BA180" i="1"/>
  <c r="BA187" i="1"/>
  <c r="BA188" i="1"/>
  <c r="BA327" i="1"/>
  <c r="BA329" i="1"/>
  <c r="BA328" i="1"/>
  <c r="BA330" i="1"/>
  <c r="BA346" i="1"/>
  <c r="BA347" i="1"/>
  <c r="BA348" i="1"/>
  <c r="BA349" i="1"/>
  <c r="BA350" i="1"/>
  <c r="BA351" i="1"/>
  <c r="BA192" i="1"/>
  <c r="BA193" i="1"/>
  <c r="BA194" i="1"/>
  <c r="BA195" i="1"/>
  <c r="BA196" i="1"/>
  <c r="BA197" i="1"/>
  <c r="BA218" i="1"/>
  <c r="BA219" i="1"/>
  <c r="BA222" i="1"/>
  <c r="BA221" i="1"/>
  <c r="BA220" i="1"/>
  <c r="BA224" i="1"/>
  <c r="BA225" i="1"/>
  <c r="BA226" i="1"/>
  <c r="BA227" i="1"/>
  <c r="BA228" i="1"/>
  <c r="BA229" i="1"/>
  <c r="BA230" i="1"/>
  <c r="BA232" i="1"/>
  <c r="BA233" i="1"/>
  <c r="BA237" i="1"/>
  <c r="BA239" i="1"/>
  <c r="BA238" i="1"/>
  <c r="BA240" i="1"/>
  <c r="BA241" i="1"/>
  <c r="BA248" i="1"/>
  <c r="BA249" i="1"/>
  <c r="BA250" i="1"/>
  <c r="BA242" i="1"/>
  <c r="BA243" i="1"/>
  <c r="BA263" i="1"/>
  <c r="BA264" i="1"/>
  <c r="BA268" i="1"/>
  <c r="BA269" i="1"/>
  <c r="BA270" i="1"/>
  <c r="BA271" i="1"/>
  <c r="BA272" i="1"/>
  <c r="BA273" i="1"/>
  <c r="BA274" i="1"/>
  <c r="BA277" i="1"/>
  <c r="BA279" i="1"/>
  <c r="BA278" i="1"/>
  <c r="BA280" i="1"/>
  <c r="BA281" i="1"/>
  <c r="BA282" i="1"/>
  <c r="BA283" i="1"/>
  <c r="BA284" i="1"/>
  <c r="BA285" i="1"/>
  <c r="BA306" i="1"/>
  <c r="BA307" i="1"/>
  <c r="BA358" i="1"/>
  <c r="BA360" i="1"/>
  <c r="BA359" i="1"/>
  <c r="BA362" i="1"/>
  <c r="BA363" i="1"/>
  <c r="BA364" i="1"/>
  <c r="BA365" i="1"/>
  <c r="BA361" i="1"/>
  <c r="BA308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B147" i="1"/>
  <c r="AZ147" i="1"/>
  <c r="BB246" i="1"/>
  <c r="BB4" i="1"/>
  <c r="BB13" i="1"/>
  <c r="BB243" i="1"/>
  <c r="BB245" i="1"/>
  <c r="BB248" i="1"/>
  <c r="BB249" i="1"/>
  <c r="BB250" i="1"/>
  <c r="BB263" i="1"/>
  <c r="BB42" i="1"/>
  <c r="BB43" i="1"/>
  <c r="BB44" i="1"/>
  <c r="BB45" i="1"/>
  <c r="BB46" i="1"/>
  <c r="BB47" i="1"/>
  <c r="BB71" i="1"/>
  <c r="BB72" i="1"/>
  <c r="BB74" i="1"/>
  <c r="BB75" i="1"/>
  <c r="BB76" i="1"/>
  <c r="BB77" i="1"/>
  <c r="BB84" i="1"/>
  <c r="BB85" i="1"/>
  <c r="BB86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11" i="1"/>
  <c r="BB112" i="1"/>
  <c r="BB113" i="1"/>
  <c r="BB114" i="1"/>
  <c r="BB115" i="1"/>
  <c r="BB116" i="1"/>
  <c r="BB117" i="1"/>
  <c r="BB118" i="1"/>
  <c r="BB119" i="1"/>
  <c r="BB121" i="1"/>
  <c r="BB122" i="1"/>
  <c r="BB123" i="1"/>
  <c r="BB124" i="1"/>
  <c r="BB125" i="1"/>
  <c r="BB126" i="1"/>
  <c r="BB131" i="1"/>
  <c r="BB132" i="1"/>
  <c r="BB133" i="1"/>
  <c r="BB134" i="1"/>
  <c r="BB151" i="1"/>
  <c r="BB152" i="1"/>
  <c r="BB159" i="1"/>
  <c r="BB161" i="1"/>
  <c r="BB162" i="1"/>
  <c r="BB163" i="1"/>
  <c r="BB322" i="1"/>
  <c r="BB323" i="1"/>
  <c r="BB324" i="1"/>
  <c r="BB325" i="1"/>
  <c r="BB326" i="1"/>
  <c r="BB169" i="1"/>
  <c r="BB170" i="1"/>
  <c r="BB171" i="1"/>
  <c r="BB172" i="1"/>
  <c r="BB175" i="1"/>
  <c r="BB176" i="1"/>
  <c r="BB180" i="1"/>
  <c r="BB181" i="1"/>
  <c r="BB182" i="1"/>
  <c r="BB187" i="1"/>
  <c r="BB188" i="1"/>
  <c r="BB327" i="1"/>
  <c r="BB328" i="1"/>
  <c r="BB329" i="1"/>
  <c r="BB330" i="1"/>
  <c r="BB346" i="1"/>
  <c r="BB347" i="1"/>
  <c r="BB348" i="1"/>
  <c r="BB349" i="1"/>
  <c r="BB350" i="1"/>
  <c r="BB351" i="1"/>
  <c r="BB192" i="1"/>
  <c r="BB193" i="1"/>
  <c r="BB194" i="1"/>
  <c r="BB195" i="1"/>
  <c r="BB196" i="1"/>
  <c r="BB197" i="1"/>
  <c r="BB218" i="1"/>
  <c r="BB219" i="1"/>
  <c r="BB220" i="1"/>
  <c r="BB221" i="1"/>
  <c r="BB222" i="1"/>
  <c r="BB224" i="1"/>
  <c r="BB225" i="1"/>
  <c r="BB226" i="1"/>
  <c r="BB227" i="1"/>
  <c r="BB228" i="1"/>
  <c r="BB229" i="1"/>
  <c r="BB230" i="1"/>
  <c r="BB232" i="1"/>
  <c r="BB233" i="1"/>
  <c r="BB234" i="1"/>
  <c r="BB237" i="1"/>
  <c r="BB238" i="1"/>
  <c r="BB239" i="1"/>
  <c r="BB240" i="1"/>
  <c r="BB241" i="1"/>
  <c r="BB242" i="1"/>
  <c r="BB39" i="1"/>
  <c r="BB40" i="1"/>
  <c r="BB41" i="1"/>
  <c r="AZ39" i="1"/>
  <c r="AZ245" i="1"/>
  <c r="AZ246" i="1"/>
  <c r="AZ248" i="1"/>
  <c r="AZ249" i="1"/>
  <c r="AZ250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C182" i="1"/>
  <c r="BC181" i="1"/>
  <c r="BC38" i="1"/>
  <c r="BC104" i="1"/>
  <c r="BC250" i="1"/>
  <c r="BC330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1" i="4"/>
  <c r="AF128" i="4"/>
  <c r="AF157" i="4"/>
  <c r="AF88" i="4"/>
  <c r="AF287" i="4"/>
  <c r="AF159" i="4"/>
  <c r="AF160" i="4"/>
  <c r="AF97" i="4"/>
  <c r="AF3" i="4"/>
  <c r="AF277" i="4"/>
  <c r="AF265" i="4"/>
  <c r="AF125" i="4"/>
  <c r="AF174" i="4"/>
  <c r="AF169" i="4"/>
  <c r="AF171" i="4"/>
  <c r="AF172" i="4"/>
  <c r="AF298" i="4"/>
  <c r="AF74" i="4"/>
  <c r="AF45" i="4"/>
  <c r="AF170" i="4"/>
  <c r="AF207" i="4"/>
  <c r="AF208" i="4"/>
  <c r="AF136" i="4"/>
  <c r="AF75" i="4"/>
  <c r="AF175" i="4"/>
  <c r="AF173" i="4"/>
  <c r="AF182" i="4"/>
  <c r="AF200" i="4"/>
  <c r="AF201" i="4"/>
  <c r="AF72" i="4"/>
  <c r="AF126" i="4"/>
  <c r="AF217" i="4"/>
  <c r="AF216" i="4"/>
  <c r="AF269" i="4"/>
  <c r="AF270" i="4"/>
  <c r="AF116" i="4"/>
  <c r="AF183" i="4"/>
  <c r="AF85" i="4"/>
  <c r="AF86" i="4"/>
  <c r="AF118" i="4"/>
  <c r="AF117" i="4"/>
  <c r="AF249" i="4"/>
  <c r="AF258" i="4"/>
  <c r="AF235" i="4"/>
  <c r="AF178" i="4"/>
  <c r="AF91" i="4"/>
  <c r="AF96" i="4"/>
  <c r="AF90" i="4"/>
  <c r="AF185" i="4"/>
  <c r="AF184" i="4"/>
  <c r="AF127" i="4"/>
  <c r="AF95" i="4"/>
  <c r="AF155" i="4"/>
  <c r="AF109" i="4"/>
  <c r="AF156" i="4"/>
  <c r="AF49" i="4"/>
  <c r="AF50" i="4"/>
  <c r="AF115" i="4"/>
  <c r="AF47" i="4"/>
  <c r="AF92" i="4"/>
  <c r="AF93" i="4"/>
  <c r="AF26" i="4"/>
  <c r="AF130" i="4"/>
  <c r="AF132" i="4"/>
  <c r="AF133" i="4"/>
  <c r="AF204" i="4"/>
  <c r="AF5" i="4"/>
  <c r="AF6" i="4"/>
  <c r="AF4" i="4"/>
  <c r="AF129" i="4"/>
  <c r="AF253" i="4"/>
  <c r="AF233" i="4"/>
  <c r="AF247" i="4"/>
  <c r="AF120" i="4"/>
  <c r="AF2" i="4"/>
  <c r="AF273" i="4"/>
  <c r="AF295" i="4"/>
  <c r="AF271" i="4"/>
  <c r="AF241" i="4"/>
  <c r="AF244" i="4"/>
  <c r="AF263" i="4"/>
  <c r="AF239" i="4"/>
  <c r="AF14" i="4"/>
  <c r="AF59" i="4"/>
  <c r="AF290" i="4"/>
  <c r="AF291" i="4"/>
  <c r="AF27" i="4"/>
  <c r="AF65" i="4"/>
  <c r="AF274" i="4"/>
  <c r="AF153" i="4"/>
  <c r="AF203" i="4"/>
  <c r="AF98" i="4"/>
  <c r="AF238" i="4"/>
  <c r="AF240" i="4"/>
  <c r="AF142" i="4"/>
  <c r="AF144" i="4"/>
  <c r="AF285" i="4"/>
  <c r="AF138" i="4"/>
  <c r="AF143" i="4"/>
  <c r="AF281" i="4"/>
  <c r="AF256" i="4"/>
  <c r="AF145" i="4"/>
  <c r="AF113" i="4"/>
  <c r="AF213" i="4"/>
  <c r="AF190" i="4"/>
  <c r="AF255" i="4"/>
  <c r="AF28" i="4"/>
  <c r="AF73" i="4"/>
  <c r="AF187" i="4"/>
  <c r="AF210" i="4"/>
  <c r="AF250" i="4"/>
  <c r="AF77" i="4"/>
  <c r="AF25" i="4"/>
  <c r="AF186" i="4"/>
  <c r="AF9" i="4"/>
  <c r="AF278" i="4"/>
  <c r="AF284" i="4"/>
  <c r="AF8" i="4"/>
  <c r="AF296" i="4"/>
  <c r="AF251" i="4"/>
  <c r="AF252" i="4"/>
  <c r="AF279" i="4"/>
  <c r="AF280" i="4"/>
  <c r="AF196" i="4"/>
  <c r="AF218" i="4"/>
  <c r="AF228" i="4"/>
  <c r="AF297" i="4"/>
  <c r="AF294" i="4"/>
  <c r="AF246" i="4"/>
  <c r="AF248" i="4"/>
  <c r="AF194" i="4"/>
  <c r="AF141" i="4"/>
  <c r="AF191" i="4"/>
  <c r="AF230" i="4"/>
  <c r="AF237" i="4"/>
  <c r="AF222" i="4"/>
  <c r="AF231" i="4"/>
  <c r="AF122" i="4"/>
  <c r="AF229" i="4"/>
  <c r="AF261" i="4"/>
  <c r="AF236" i="4"/>
  <c r="AF289" i="4"/>
  <c r="AF223" i="4"/>
  <c r="AF111" i="4"/>
  <c r="AF123" i="4"/>
  <c r="AF124" i="4"/>
  <c r="AF211" i="4"/>
  <c r="AF165" i="4"/>
  <c r="AF166" i="4"/>
  <c r="AF167" i="4"/>
  <c r="AF80" i="4"/>
  <c r="AF52" i="4"/>
  <c r="AF54" i="4"/>
  <c r="AF202" i="4"/>
  <c r="AF193" i="4"/>
  <c r="AF112" i="4"/>
  <c r="AF215" i="4"/>
  <c r="AF53" i="4"/>
  <c r="AF89" i="4"/>
  <c r="AF51" i="4"/>
  <c r="AF55" i="4"/>
  <c r="AF57" i="4"/>
  <c r="AF20" i="4"/>
  <c r="AF101" i="4"/>
  <c r="AF44" i="4"/>
  <c r="AF99" i="4"/>
  <c r="AF70" i="4"/>
  <c r="AF181" i="4"/>
  <c r="AF63" i="4"/>
  <c r="AF61" i="4"/>
  <c r="AF62" i="4"/>
  <c r="AF11" i="4"/>
  <c r="AF38" i="4"/>
  <c r="AF104" i="4"/>
  <c r="AF29" i="4"/>
  <c r="AF58" i="4"/>
  <c r="AF154" i="4"/>
  <c r="AF102" i="4"/>
  <c r="AF15" i="4"/>
  <c r="AF106" i="4"/>
  <c r="AF108" i="4"/>
  <c r="AF37" i="4"/>
  <c r="AF34" i="4"/>
  <c r="AF188" i="4"/>
  <c r="AF24" i="4"/>
  <c r="AF220" i="4"/>
  <c r="AF212" i="4"/>
  <c r="AF195" i="4"/>
  <c r="AF209" i="4"/>
  <c r="AF7" i="4"/>
  <c r="AF179" i="4"/>
  <c r="AF192" i="4"/>
  <c r="AF189" i="4"/>
  <c r="AF69" i="4"/>
  <c r="AF56" i="4"/>
  <c r="AF60" i="4"/>
  <c r="AF131" i="4"/>
  <c r="AF264" i="4"/>
  <c r="AF199" i="4"/>
  <c r="AF219" i="4"/>
  <c r="AF168" i="4"/>
  <c r="AF21" i="4"/>
  <c r="AF43" i="4"/>
  <c r="AF150" i="4"/>
  <c r="AF180" i="4"/>
  <c r="AF121" i="4"/>
  <c r="AF10" i="4"/>
  <c r="AF260" i="4"/>
  <c r="AF13" i="4"/>
  <c r="AF107" i="4"/>
  <c r="AF221" i="4"/>
  <c r="AF254" i="4"/>
  <c r="AF23" i="4"/>
  <c r="AF206" i="4"/>
  <c r="AF71" i="4"/>
  <c r="AF79" i="4"/>
  <c r="AF205" i="4"/>
  <c r="AF31" i="4"/>
  <c r="AF148" i="4"/>
  <c r="AF146" i="4"/>
  <c r="AF147" i="4"/>
  <c r="AF42" i="4"/>
  <c r="AF224" i="4"/>
  <c r="AF225" i="4"/>
  <c r="AF78" i="4"/>
  <c r="AF227" i="4"/>
  <c r="AF18" i="4"/>
  <c r="AF286" i="4"/>
  <c r="AF114" i="4"/>
  <c r="AF293" i="4"/>
  <c r="AF12" i="4"/>
  <c r="AF19" i="4"/>
  <c r="AF162" i="4"/>
  <c r="AF48" i="4"/>
  <c r="AF275" i="4"/>
  <c r="AF149" i="4"/>
  <c r="AF163" i="4"/>
  <c r="AF164" i="4"/>
  <c r="AF161" i="4"/>
  <c r="AF198" i="4"/>
  <c r="AF82" i="4"/>
  <c r="AF83" i="4"/>
  <c r="AF84" i="4"/>
  <c r="AF68" i="4"/>
  <c r="AF87" i="4"/>
  <c r="AF100" i="4"/>
  <c r="AF17" i="4"/>
  <c r="AF242" i="4"/>
  <c r="AF272" i="4"/>
  <c r="AF105" i="4"/>
  <c r="AF64" i="4"/>
  <c r="AF176" i="4"/>
  <c r="AF139" i="4"/>
  <c r="AF140" i="4"/>
  <c r="AF177" i="4"/>
  <c r="AF137" i="4"/>
  <c r="AF16" i="4"/>
  <c r="AF292" i="4"/>
  <c r="AF197" i="4"/>
  <c r="AF234" i="4"/>
  <c r="AF259" i="4"/>
  <c r="AF40" i="4"/>
  <c r="AF39" i="4"/>
  <c r="AF103" i="4"/>
  <c r="AF32" i="4"/>
  <c r="AF33" i="4"/>
  <c r="AF36" i="4"/>
  <c r="AF46" i="4"/>
  <c r="AF35" i="4"/>
  <c r="AF276" i="4"/>
  <c r="AF94" i="4"/>
  <c r="AF119" i="4"/>
  <c r="AF226" i="4"/>
  <c r="AF245" i="4"/>
  <c r="AF266" i="4"/>
  <c r="AF110" i="4"/>
  <c r="AF152" i="4"/>
  <c r="AF158" i="4"/>
  <c r="AF41" i="4"/>
  <c r="AF257" i="4"/>
  <c r="AF30" i="4"/>
  <c r="AF81" i="4"/>
  <c r="AF76" i="4"/>
  <c r="AF22" i="4"/>
  <c r="AF267" i="4"/>
  <c r="AF134" i="4"/>
  <c r="AF135" i="4"/>
  <c r="AF243" i="4"/>
  <c r="AF268" i="4"/>
  <c r="AF66" i="4"/>
  <c r="AF283" i="4"/>
  <c r="AF214" i="4"/>
  <c r="AF303" i="4"/>
  <c r="AF307" i="4"/>
  <c r="AF304" i="4"/>
  <c r="AF305" i="4"/>
  <c r="AF300" i="4"/>
  <c r="AF301" i="4"/>
  <c r="AF299" i="4"/>
  <c r="AF302" i="4"/>
  <c r="AF310" i="4"/>
  <c r="AF311" i="4"/>
  <c r="AF312" i="4"/>
  <c r="AF308" i="4"/>
  <c r="AF314" i="4"/>
  <c r="AF306" i="4"/>
  <c r="AF313" i="4"/>
  <c r="AF341" i="4"/>
  <c r="AF335" i="4"/>
  <c r="AF336" i="4"/>
  <c r="AF333" i="4"/>
  <c r="AF331" i="4"/>
  <c r="AF332" i="4"/>
  <c r="AF318" i="4"/>
  <c r="AF326" i="4"/>
  <c r="AF327" i="4"/>
  <c r="AF328" i="4"/>
  <c r="AF329" i="4"/>
  <c r="AF315" i="4"/>
  <c r="AF334" i="4"/>
  <c r="AF330" i="4"/>
  <c r="AF342" i="4"/>
  <c r="AF323" i="4"/>
  <c r="AF322" i="4"/>
  <c r="AF325" i="4"/>
  <c r="AF317" i="4"/>
  <c r="AF324" i="4"/>
  <c r="AF346" i="4"/>
  <c r="AF338" i="4"/>
  <c r="AF339" i="4"/>
  <c r="AF337" i="4"/>
  <c r="AF316" i="4"/>
  <c r="AF340" i="4"/>
  <c r="AF319" i="4"/>
  <c r="AF320" i="4"/>
  <c r="AF321" i="4"/>
  <c r="AF347" i="4"/>
  <c r="AF345" i="4"/>
  <c r="AF343" i="4"/>
  <c r="AF344" i="4"/>
  <c r="AF361" i="4"/>
  <c r="AF362" i="4"/>
  <c r="AF368" i="4"/>
  <c r="AF363" i="4"/>
  <c r="AF369" i="4"/>
  <c r="AF360" i="4"/>
  <c r="AF357" i="4"/>
  <c r="AF351" i="4"/>
  <c r="AF355" i="4"/>
  <c r="AF350" i="4"/>
  <c r="AF358" i="4"/>
  <c r="AF359" i="4"/>
  <c r="AF364" i="4"/>
  <c r="AF365" i="4"/>
  <c r="AF366" i="4"/>
  <c r="AF367" i="4"/>
  <c r="AF356" i="4"/>
  <c r="AF352" i="4"/>
  <c r="AF353" i="4"/>
  <c r="AF354" i="4"/>
  <c r="AF348" i="4"/>
  <c r="AF349" i="4"/>
  <c r="AF371" i="4"/>
  <c r="AF377" i="4"/>
  <c r="AF378" i="4"/>
  <c r="AF379" i="4"/>
  <c r="AF373" i="4"/>
  <c r="AF370" i="4"/>
  <c r="AF376" i="4"/>
  <c r="AF374" i="4"/>
  <c r="AF375" i="4"/>
  <c r="AF372" i="4"/>
  <c r="AF381" i="4"/>
  <c r="AF386" i="4"/>
  <c r="AF383" i="4"/>
  <c r="AF385" i="4"/>
  <c r="AF382" i="4"/>
  <c r="AF384" i="4"/>
  <c r="AF390" i="4"/>
  <c r="AF395" i="4"/>
  <c r="AF408" i="4"/>
  <c r="AF397" i="4"/>
  <c r="AF398" i="4"/>
  <c r="AF399" i="4"/>
  <c r="AF400" i="4"/>
  <c r="AF403" i="4"/>
  <c r="AF404" i="4"/>
  <c r="AF405" i="4"/>
  <c r="AF407" i="4"/>
  <c r="AF387" i="4"/>
  <c r="AF389" i="4"/>
  <c r="AF396" i="4"/>
  <c r="AF388" i="4"/>
  <c r="AF391" i="4"/>
  <c r="AF392" i="4"/>
  <c r="AF393" i="4"/>
  <c r="AF402" i="4"/>
  <c r="AF394" i="4"/>
  <c r="AF406" i="4"/>
  <c r="AF409" i="4"/>
  <c r="AF410" i="4"/>
  <c r="AF411" i="4"/>
  <c r="AF401" i="4"/>
  <c r="AF288" i="4"/>
  <c r="AE24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9" i="1"/>
  <c r="BC159" i="1"/>
  <c r="AZ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K35" i="2"/>
  <c r="K176" i="4"/>
  <c r="K34" i="2"/>
  <c r="K32" i="2"/>
  <c r="K139" i="4"/>
  <c r="K33" i="2"/>
  <c r="K8" i="2"/>
  <c r="K16" i="2"/>
  <c r="K140" i="4"/>
  <c r="K31" i="2"/>
  <c r="K177" i="4"/>
  <c r="K137" i="4"/>
  <c r="K47" i="4"/>
  <c r="K115" i="4"/>
  <c r="AL26" i="4"/>
  <c r="AL288" i="4"/>
  <c r="AL130" i="4"/>
  <c r="AL132" i="4"/>
  <c r="AL133" i="4"/>
  <c r="AL204" i="4"/>
  <c r="AL5" i="4"/>
  <c r="AL6" i="4"/>
  <c r="AL129" i="4"/>
  <c r="AL253" i="4"/>
  <c r="AL277" i="4"/>
  <c r="AL128" i="4"/>
  <c r="AL233" i="4"/>
  <c r="AL265" i="4"/>
  <c r="AL247" i="4"/>
  <c r="AL269" i="4"/>
  <c r="AL151" i="4"/>
  <c r="AL120" i="4"/>
  <c r="AL2" i="4"/>
  <c r="AL242" i="4"/>
  <c r="AL273" i="4"/>
  <c r="AL295" i="4"/>
  <c r="AL266" i="4"/>
  <c r="AL271" i="4"/>
  <c r="AL272" i="4"/>
  <c r="AL270" i="4"/>
  <c r="AL241" i="4"/>
  <c r="AL267" i="4"/>
  <c r="AL105" i="4"/>
  <c r="AL268" i="4"/>
  <c r="AL290" i="4"/>
  <c r="AL291" i="4"/>
  <c r="AL116" i="4"/>
  <c r="AL183" i="4"/>
  <c r="AL134" i="4"/>
  <c r="AL27" i="4"/>
  <c r="AL85" i="4"/>
  <c r="AL86" i="4"/>
  <c r="AL115" i="4"/>
  <c r="AL65" i="4"/>
  <c r="AL118" i="4"/>
  <c r="AL274" i="4"/>
  <c r="AL153" i="4"/>
  <c r="AL203" i="4"/>
  <c r="AL98" i="4"/>
  <c r="AL110" i="4"/>
  <c r="AL64" i="4"/>
  <c r="AL238" i="4"/>
  <c r="AL240" i="4"/>
  <c r="AL176" i="4"/>
  <c r="AL139" i="4"/>
  <c r="AL140" i="4"/>
  <c r="AL142" i="4"/>
  <c r="AL144" i="4"/>
  <c r="AL125" i="4"/>
  <c r="AL285" i="4"/>
  <c r="AL135" i="4"/>
  <c r="AL177" i="4"/>
  <c r="AL138" i="4"/>
  <c r="AL143" i="4"/>
  <c r="AL281" i="4"/>
  <c r="AL256" i="4"/>
  <c r="AL145" i="4"/>
  <c r="AL137" i="4"/>
  <c r="AL117" i="4"/>
  <c r="AL113" i="4"/>
  <c r="AL243" i="4"/>
  <c r="AL213" i="4"/>
  <c r="AL190" i="4"/>
  <c r="AL249" i="4"/>
  <c r="AL258" i="4"/>
  <c r="AL255" i="4"/>
  <c r="AL187" i="4"/>
  <c r="AL210" i="4"/>
  <c r="AL250" i="4"/>
  <c r="AL77" i="4"/>
  <c r="AL25" i="4"/>
  <c r="AL186" i="4"/>
  <c r="AL9" i="4"/>
  <c r="AL16" i="4"/>
  <c r="AL278" i="4"/>
  <c r="AL284" i="4"/>
  <c r="AL8" i="4"/>
  <c r="AL296" i="4"/>
  <c r="AL251" i="4"/>
  <c r="AL252" i="4"/>
  <c r="AL279" i="4"/>
  <c r="AL280" i="4"/>
  <c r="AL196" i="4"/>
  <c r="AL218" i="4"/>
  <c r="AL228" i="4"/>
  <c r="AL292" i="4"/>
  <c r="AL297" i="4"/>
  <c r="AL197" i="4"/>
  <c r="AL294" i="4"/>
  <c r="AL246" i="4"/>
  <c r="AL248" i="4"/>
  <c r="AL194" i="4"/>
  <c r="AL141" i="4"/>
  <c r="AL234" i="4"/>
  <c r="AL235" i="4"/>
  <c r="AL191" i="4"/>
  <c r="AL230" i="4"/>
  <c r="AL178" i="4"/>
  <c r="AL237" i="4"/>
  <c r="AL222" i="4"/>
  <c r="AL231" i="4"/>
  <c r="AL122" i="4"/>
  <c r="AL229" i="4"/>
  <c r="AL259" i="4"/>
  <c r="AL261" i="4"/>
  <c r="AL236" i="4"/>
  <c r="AL289" i="4"/>
  <c r="AL223" i="4"/>
  <c r="AL111" i="4"/>
  <c r="AL123" i="4"/>
  <c r="AL91" i="4"/>
  <c r="AL92" i="4"/>
  <c r="AL93" i="4"/>
  <c r="AL96" i="4"/>
  <c r="AL152" i="4"/>
  <c r="AL158" i="4"/>
  <c r="AL124" i="4"/>
  <c r="AL211" i="4"/>
  <c r="AL165" i="4"/>
  <c r="AL166" i="4"/>
  <c r="AL167" i="4"/>
  <c r="AL174" i="4"/>
  <c r="AL80" i="4"/>
  <c r="AL169" i="4"/>
  <c r="AL171" i="4"/>
  <c r="AL172" i="4"/>
  <c r="AL298" i="4"/>
  <c r="AL74" i="4"/>
  <c r="AL45" i="4"/>
  <c r="AL170" i="4"/>
  <c r="AL88" i="4"/>
  <c r="AL90" i="4"/>
  <c r="AL52" i="4"/>
  <c r="AL54" i="4"/>
  <c r="AL202" i="4"/>
  <c r="AL193" i="4"/>
  <c r="AL112" i="4"/>
  <c r="AL207" i="4"/>
  <c r="AL208" i="4"/>
  <c r="AL215" i="4"/>
  <c r="AL283" i="4"/>
  <c r="AL53" i="4"/>
  <c r="AL89" i="4"/>
  <c r="AL51" i="4"/>
  <c r="AL55" i="4"/>
  <c r="AL57" i="4"/>
  <c r="AL20" i="4"/>
  <c r="AL136" i="4"/>
  <c r="AL101" i="4"/>
  <c r="AL44" i="4"/>
  <c r="AL159" i="4"/>
  <c r="AL40" i="4"/>
  <c r="AL99" i="4"/>
  <c r="AL217" i="4"/>
  <c r="AL70" i="4"/>
  <c r="AL185" i="4"/>
  <c r="AL39" i="4"/>
  <c r="AL216" i="4"/>
  <c r="AL181" i="4"/>
  <c r="AL63" i="4"/>
  <c r="AL61" i="4"/>
  <c r="AL62" i="4"/>
  <c r="AL11" i="4"/>
  <c r="AL38" i="4"/>
  <c r="AL75" i="4"/>
  <c r="AL104" i="4"/>
  <c r="AL103" i="4"/>
  <c r="AL29" i="4"/>
  <c r="AL58" i="4"/>
  <c r="AL154" i="4"/>
  <c r="AL102" i="4"/>
  <c r="AL175" i="4"/>
  <c r="AL32" i="4"/>
  <c r="AL15" i="4"/>
  <c r="AL41" i="4"/>
  <c r="AL106" i="4"/>
  <c r="AL33" i="4"/>
  <c r="AL36" i="4"/>
  <c r="AL108" i="4"/>
  <c r="AL46" i="4"/>
  <c r="AL37" i="4"/>
  <c r="AL34" i="4"/>
  <c r="AL276" i="4"/>
  <c r="AL188" i="4"/>
  <c r="AL24" i="4"/>
  <c r="AL220" i="4"/>
  <c r="AL212" i="4"/>
  <c r="AL257" i="4"/>
  <c r="AL195" i="4"/>
  <c r="AL209" i="4"/>
  <c r="AL184" i="4"/>
  <c r="AL7" i="4"/>
  <c r="AL179" i="4"/>
  <c r="AL192" i="4"/>
  <c r="AL189" i="4"/>
  <c r="AL127" i="4"/>
  <c r="AL69" i="4"/>
  <c r="AL56" i="4"/>
  <c r="AL60" i="4"/>
  <c r="AL131" i="4"/>
  <c r="AL264" i="4"/>
  <c r="AL199" i="4"/>
  <c r="AL219" i="4"/>
  <c r="AL168" i="4"/>
  <c r="AL21" i="4"/>
  <c r="AL43" i="4"/>
  <c r="AL150" i="4"/>
  <c r="AL180" i="4"/>
  <c r="AL121" i="4"/>
  <c r="AL10" i="4"/>
  <c r="AL260" i="4"/>
  <c r="AL95" i="4"/>
  <c r="AL160" i="4"/>
  <c r="AL13" i="4"/>
  <c r="AL107" i="4"/>
  <c r="AL23" i="4"/>
  <c r="AL155" i="4"/>
  <c r="AL206" i="4"/>
  <c r="AL182" i="4"/>
  <c r="AL94" i="4"/>
  <c r="AL71" i="4"/>
  <c r="AL79" i="4"/>
  <c r="AL205" i="4"/>
  <c r="AL31" i="4"/>
  <c r="AL148" i="4"/>
  <c r="AL146" i="4"/>
  <c r="AL147" i="4"/>
  <c r="AL119" i="4"/>
  <c r="AL109" i="4"/>
  <c r="AL66" i="4"/>
  <c r="AL200" i="4"/>
  <c r="AL201" i="4"/>
  <c r="AL42" i="4"/>
  <c r="AL157" i="4"/>
  <c r="AL224" i="4"/>
  <c r="AL225" i="4"/>
  <c r="AL226" i="4"/>
  <c r="AL78" i="4"/>
  <c r="AL227" i="4"/>
  <c r="AL72" i="4"/>
  <c r="AL3" i="4"/>
  <c r="AL18" i="4"/>
  <c r="AL286" i="4"/>
  <c r="AL114" i="4"/>
  <c r="AL214" i="4"/>
  <c r="AL293" i="4"/>
  <c r="AL12" i="4"/>
  <c r="AL19" i="4"/>
  <c r="AL76" i="4"/>
  <c r="AL162" i="4"/>
  <c r="AL48" i="4"/>
  <c r="AL275" i="4"/>
  <c r="AL149" i="4"/>
  <c r="AL163" i="4"/>
  <c r="AL164" i="4"/>
  <c r="AL161" i="4"/>
  <c r="AL198" i="4"/>
  <c r="AL82" i="4"/>
  <c r="AL83" i="4"/>
  <c r="AL84" i="4"/>
  <c r="AL68" i="4"/>
  <c r="AL87" i="4"/>
  <c r="AL100" i="4"/>
  <c r="AL49" i="4"/>
  <c r="AL50" i="4"/>
  <c r="AL126" i="4"/>
  <c r="AL22" i="4"/>
  <c r="AL17" i="4"/>
  <c r="AL307" i="4"/>
  <c r="AL306" i="4"/>
  <c r="AL304" i="4"/>
  <c r="AL305" i="4"/>
  <c r="AL300" i="4"/>
  <c r="AL301" i="4"/>
  <c r="AL299" i="4"/>
  <c r="AL302" i="4"/>
  <c r="AL303" i="4"/>
  <c r="AL310" i="4"/>
  <c r="AL311" i="4"/>
  <c r="AL312" i="4"/>
  <c r="AL313" i="4"/>
  <c r="AL308" i="4"/>
  <c r="AL314" i="4"/>
  <c r="AL333" i="4"/>
  <c r="AL331" i="4"/>
  <c r="AL332" i="4"/>
  <c r="AL341" i="4"/>
  <c r="AL318" i="4"/>
  <c r="AL319" i="4"/>
  <c r="AL320" i="4"/>
  <c r="AL321" i="4"/>
  <c r="AL347" i="4"/>
  <c r="AL326" i="4"/>
  <c r="AL327" i="4"/>
  <c r="AL328" i="4"/>
  <c r="AL329" i="4"/>
  <c r="AL315" i="4"/>
  <c r="AL335" i="4"/>
  <c r="AL336" i="4"/>
  <c r="AL342" i="4"/>
  <c r="AL334" i="4"/>
  <c r="AL323" i="4"/>
  <c r="AL322" i="4"/>
  <c r="AL325" i="4"/>
  <c r="AL330" i="4"/>
  <c r="AL317" i="4"/>
  <c r="AL345" i="4"/>
  <c r="AL343" i="4"/>
  <c r="AL344" i="4"/>
  <c r="AL324" i="4"/>
  <c r="AL338" i="4"/>
  <c r="AL339" i="4"/>
  <c r="AL337" i="4"/>
  <c r="AL316" i="4"/>
  <c r="AL340" i="4"/>
  <c r="AL346" i="4"/>
  <c r="AL351" i="4"/>
  <c r="AL350" i="4"/>
  <c r="AL361" i="4"/>
  <c r="AL362" i="4"/>
  <c r="AL348" i="4"/>
  <c r="AL358" i="4"/>
  <c r="AL359" i="4"/>
  <c r="AL364" i="4"/>
  <c r="AL349" i="4"/>
  <c r="AL365" i="4"/>
  <c r="AL366" i="4"/>
  <c r="AL367" i="4"/>
  <c r="AL352" i="4"/>
  <c r="AL353" i="4"/>
  <c r="AL354" i="4"/>
  <c r="AL368" i="4"/>
  <c r="AL363" i="4"/>
  <c r="AL369" i="4"/>
  <c r="AL360" i="4"/>
  <c r="AL355" i="4"/>
  <c r="AL356" i="4"/>
  <c r="AL357" i="4"/>
  <c r="AL371" i="4"/>
  <c r="AL377" i="4"/>
  <c r="AL378" i="4"/>
  <c r="AL379" i="4"/>
  <c r="AL373" i="4"/>
  <c r="AL370" i="4"/>
  <c r="AL376" i="4"/>
  <c r="AL381" i="4"/>
  <c r="AL374" i="4"/>
  <c r="AL375" i="4"/>
  <c r="AL372" i="4"/>
  <c r="AL383" i="4"/>
  <c r="AL385" i="4"/>
  <c r="AL386" i="4"/>
  <c r="AL384" i="4"/>
  <c r="AL382" i="4"/>
  <c r="AL390" i="4"/>
  <c r="AL395" i="4"/>
  <c r="AL408" i="4"/>
  <c r="AL397" i="4"/>
  <c r="AL398" i="4"/>
  <c r="AL399" i="4"/>
  <c r="AL400" i="4"/>
  <c r="AL403" i="4"/>
  <c r="AL404" i="4"/>
  <c r="AL405" i="4"/>
  <c r="AL407" i="4"/>
  <c r="AL387" i="4"/>
  <c r="AL389" i="4"/>
  <c r="AL396" i="4"/>
  <c r="AL388" i="4"/>
  <c r="AL391" i="4"/>
  <c r="AL392" i="4"/>
  <c r="AL393" i="4"/>
  <c r="AL402" i="4"/>
  <c r="AL394" i="4"/>
  <c r="AL406" i="4"/>
  <c r="AL409" i="4"/>
  <c r="AL410" i="4"/>
  <c r="AL411" i="4"/>
  <c r="AL401" i="4"/>
  <c r="AL4" i="4"/>
  <c r="AL244" i="4"/>
  <c r="AL263" i="4"/>
  <c r="AL239" i="4"/>
  <c r="AL14" i="4"/>
  <c r="AL59" i="4"/>
  <c r="AL287" i="4"/>
  <c r="AL28" i="4"/>
  <c r="AL47" i="4"/>
  <c r="AL73" i="4"/>
  <c r="AL221" i="4"/>
  <c r="AL254" i="4"/>
  <c r="AL173" i="4"/>
  <c r="AL30" i="4"/>
  <c r="AL97" i="4"/>
  <c r="AL81" i="4"/>
  <c r="AL156" i="4"/>
  <c r="AL245" i="4"/>
  <c r="F64" i="4"/>
  <c r="F65" i="4"/>
  <c r="E65" i="4"/>
  <c r="E64" i="4"/>
  <c r="M6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61" i="1"/>
  <c r="BC161" i="1"/>
  <c r="AZ162" i="1"/>
  <c r="BC162" i="1"/>
  <c r="BC249" i="1"/>
  <c r="AZ240" i="1"/>
  <c r="BC240" i="1"/>
  <c r="AZ239" i="1"/>
  <c r="BC239" i="1"/>
  <c r="AZ104" i="1"/>
  <c r="AZ365" i="1"/>
  <c r="BC365" i="1"/>
  <c r="BB365" i="1"/>
  <c r="AZ364" i="1"/>
  <c r="BC364" i="1"/>
  <c r="BB364" i="1"/>
  <c r="AZ222" i="1"/>
  <c r="BC222" i="1"/>
  <c r="AZ221" i="1"/>
  <c r="BC221" i="1"/>
  <c r="AZ43" i="1"/>
  <c r="BC43" i="1"/>
  <c r="AZ42" i="1"/>
  <c r="BC42" i="1"/>
  <c r="AZ41" i="1"/>
  <c r="BC41" i="1"/>
  <c r="AZ40" i="1"/>
  <c r="BC40" i="1"/>
  <c r="BC39" i="1"/>
  <c r="AZ126" i="1"/>
  <c r="BC126" i="1"/>
  <c r="AZ125" i="1"/>
  <c r="BC125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1" i="1"/>
  <c r="AZ72" i="1"/>
  <c r="AZ74" i="1"/>
  <c r="AZ75" i="1"/>
  <c r="AZ76" i="1"/>
  <c r="AZ77" i="1"/>
  <c r="AZ84" i="1"/>
  <c r="AZ85" i="1"/>
  <c r="AZ86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11" i="1"/>
  <c r="AZ112" i="1"/>
  <c r="AZ113" i="1"/>
  <c r="AZ114" i="1"/>
  <c r="AZ115" i="1"/>
  <c r="AZ116" i="1"/>
  <c r="AZ117" i="1"/>
  <c r="AZ118" i="1"/>
  <c r="AZ119" i="1"/>
  <c r="AZ121" i="1"/>
  <c r="AZ122" i="1"/>
  <c r="AZ123" i="1"/>
  <c r="AZ124" i="1"/>
  <c r="AZ131" i="1"/>
  <c r="AZ132" i="1"/>
  <c r="AZ133" i="1"/>
  <c r="AZ134" i="1"/>
  <c r="AZ151" i="1"/>
  <c r="AZ152" i="1"/>
  <c r="AZ169" i="1"/>
  <c r="AZ170" i="1"/>
  <c r="AZ171" i="1"/>
  <c r="AZ172" i="1"/>
  <c r="AZ175" i="1"/>
  <c r="AZ176" i="1"/>
  <c r="AZ180" i="1"/>
  <c r="AZ181" i="1"/>
  <c r="AZ182" i="1"/>
  <c r="AZ187" i="1"/>
  <c r="AZ188" i="1"/>
  <c r="AZ192" i="1"/>
  <c r="AZ193" i="1"/>
  <c r="AZ194" i="1"/>
  <c r="AZ195" i="1"/>
  <c r="AZ196" i="1"/>
  <c r="AZ197" i="1"/>
  <c r="AZ218" i="1"/>
  <c r="AZ219" i="1"/>
  <c r="AZ220" i="1"/>
  <c r="AZ224" i="1"/>
  <c r="AZ225" i="1"/>
  <c r="AZ226" i="1"/>
  <c r="AZ227" i="1"/>
  <c r="AZ228" i="1"/>
  <c r="AZ229" i="1"/>
  <c r="AZ230" i="1"/>
  <c r="AZ232" i="1"/>
  <c r="AZ233" i="1"/>
  <c r="AZ234" i="1"/>
  <c r="AZ237" i="1"/>
  <c r="AZ238" i="1"/>
  <c r="AZ241" i="1"/>
  <c r="AZ242" i="1"/>
  <c r="AZ243" i="1"/>
  <c r="AZ263" i="1"/>
  <c r="AZ264" i="1"/>
  <c r="AZ268" i="1"/>
  <c r="AZ269" i="1"/>
  <c r="AZ270" i="1"/>
  <c r="AZ271" i="1"/>
  <c r="AZ272" i="1"/>
  <c r="AZ273" i="1"/>
  <c r="AZ274" i="1"/>
  <c r="AZ277" i="1"/>
  <c r="AZ278" i="1"/>
  <c r="AZ279" i="1"/>
  <c r="AZ280" i="1"/>
  <c r="AZ281" i="1"/>
  <c r="AZ282" i="1"/>
  <c r="AZ283" i="1"/>
  <c r="AZ284" i="1"/>
  <c r="AZ285" i="1"/>
  <c r="AZ306" i="1"/>
  <c r="AZ307" i="1"/>
  <c r="AZ308" i="1"/>
  <c r="AZ309" i="1"/>
  <c r="AZ322" i="1"/>
  <c r="AZ323" i="1"/>
  <c r="AZ324" i="1"/>
  <c r="AZ325" i="1"/>
  <c r="AZ326" i="1"/>
  <c r="AZ327" i="1"/>
  <c r="AZ328" i="1"/>
  <c r="AZ329" i="1"/>
  <c r="AZ330" i="1"/>
  <c r="AZ346" i="1"/>
  <c r="AZ347" i="1"/>
  <c r="AZ348" i="1"/>
  <c r="AZ349" i="1"/>
  <c r="AZ350" i="1"/>
  <c r="AZ351" i="1"/>
  <c r="AZ358" i="1"/>
  <c r="AZ359" i="1"/>
  <c r="AZ360" i="1"/>
  <c r="AZ361" i="1"/>
  <c r="AZ362" i="1"/>
  <c r="AZ363" i="1"/>
  <c r="AZ2" i="1"/>
  <c r="BC45" i="1"/>
  <c r="BC44" i="1"/>
  <c r="BC226" i="1"/>
  <c r="BB363" i="1"/>
  <c r="BC363" i="1"/>
  <c r="BB362" i="1"/>
  <c r="BC362" i="1"/>
  <c r="BB361" i="1"/>
  <c r="BC361" i="1"/>
  <c r="BB360" i="1"/>
  <c r="BC360" i="1"/>
  <c r="BB359" i="1"/>
  <c r="BC359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B358" i="1"/>
  <c r="BC358" i="1"/>
  <c r="BC351" i="1"/>
  <c r="BC350" i="1"/>
  <c r="BC349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C348" i="1"/>
  <c r="BC347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C346" i="1"/>
  <c r="BC329" i="1"/>
  <c r="BC328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C327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C326" i="1"/>
  <c r="BC325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C324" i="1"/>
  <c r="BC323" i="1"/>
  <c r="BC322" i="1"/>
  <c r="BB309" i="1"/>
  <c r="BC309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B308" i="1"/>
  <c r="BC308" i="1"/>
  <c r="BB307" i="1"/>
  <c r="BC307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B306" i="1"/>
  <c r="BC306" i="1"/>
  <c r="BB285" i="1"/>
  <c r="BC285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B284" i="1"/>
  <c r="BC284" i="1"/>
  <c r="BB283" i="1"/>
  <c r="BC283" i="1"/>
  <c r="BB282" i="1"/>
  <c r="BC282" i="1"/>
  <c r="BB281" i="1"/>
  <c r="BC281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B280" i="1"/>
  <c r="BC280" i="1"/>
  <c r="BB279" i="1"/>
  <c r="BC279" i="1"/>
  <c r="BB278" i="1"/>
  <c r="BC278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B277" i="1"/>
  <c r="BC277" i="1"/>
  <c r="BB274" i="1"/>
  <c r="BC274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B273" i="1"/>
  <c r="BC273" i="1"/>
  <c r="BB272" i="1"/>
  <c r="BC272" i="1"/>
  <c r="BB271" i="1"/>
  <c r="BC271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B270" i="1"/>
  <c r="BC270" i="1"/>
  <c r="BB269" i="1"/>
  <c r="BC269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B268" i="1"/>
  <c r="BC268" i="1"/>
  <c r="BB264" i="1"/>
  <c r="BC264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C263" i="1"/>
  <c r="BC248" i="1"/>
  <c r="BC246" i="1"/>
  <c r="BC245" i="1"/>
  <c r="BC243" i="1"/>
  <c r="BC242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C241" i="1"/>
  <c r="BC238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C237" i="1"/>
  <c r="BC234" i="1"/>
  <c r="BC233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C232" i="1"/>
  <c r="BC230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C229" i="1"/>
  <c r="BC228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C227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C224" i="1"/>
  <c r="BC220" i="1"/>
  <c r="BC219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C218" i="1"/>
  <c r="BC197" i="1"/>
  <c r="BC196" i="1"/>
  <c r="BC195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C194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76" i="1"/>
  <c r="BC175" i="1"/>
  <c r="BC172" i="1"/>
  <c r="BC171" i="1"/>
  <c r="BC170" i="1"/>
  <c r="BC169" i="1"/>
  <c r="BC152" i="1"/>
  <c r="BC151" i="1"/>
  <c r="BC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C132" i="1"/>
  <c r="BC131" i="1"/>
  <c r="BC124" i="1"/>
  <c r="BC123" i="1"/>
  <c r="BC122" i="1"/>
  <c r="BC121" i="1"/>
  <c r="BC119" i="1"/>
  <c r="BC118" i="1"/>
  <c r="BC117" i="1"/>
  <c r="BC116" i="1"/>
  <c r="BC115" i="1"/>
  <c r="BC114" i="1"/>
  <c r="BC113" i="1"/>
  <c r="BC112" i="1"/>
  <c r="BC111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8" i="1"/>
  <c r="BC86" i="1"/>
  <c r="BC85" i="1"/>
  <c r="BC84" i="1"/>
  <c r="BC77" i="1"/>
  <c r="BC76" i="1"/>
  <c r="BC75" i="1"/>
  <c r="BC74" i="1"/>
  <c r="BC72" i="1"/>
  <c r="BC71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2" i="4"/>
  <c r="AI94" i="4"/>
  <c r="U94" i="4" a="1"/>
  <c r="U94" i="4"/>
  <c r="AI217" i="4"/>
  <c r="AI216" i="4"/>
  <c r="G39" i="3"/>
  <c r="G40" i="3"/>
  <c r="G41" i="3"/>
  <c r="T94" i="4" a="1"/>
  <c r="T94" i="4"/>
  <c r="T217" i="4" a="1"/>
  <c r="T217" i="4"/>
  <c r="T216" i="4" a="1"/>
  <c r="T216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3" i="4"/>
  <c r="R333" i="4"/>
  <c r="R331" i="4"/>
  <c r="R332" i="4"/>
  <c r="R340" i="4"/>
  <c r="R341" i="4"/>
  <c r="R335" i="4"/>
  <c r="R336" i="4"/>
  <c r="R325" i="4"/>
  <c r="R328" i="4"/>
  <c r="R326" i="4"/>
  <c r="R327" i="4"/>
  <c r="R344" i="4"/>
  <c r="R338" i="4"/>
  <c r="R345" i="4"/>
  <c r="R315" i="4"/>
  <c r="R322" i="4"/>
  <c r="R319" i="4"/>
  <c r="R50" i="2"/>
  <c r="R350" i="4"/>
  <c r="R337" i="4"/>
  <c r="R356" i="4"/>
  <c r="R366" i="4"/>
  <c r="R348" i="4"/>
  <c r="R364" i="4"/>
  <c r="R351" i="4"/>
  <c r="R365" i="4"/>
  <c r="R367" i="4"/>
  <c r="R318" i="4"/>
  <c r="R349" i="4"/>
  <c r="R359" i="4"/>
  <c r="R354" i="4"/>
  <c r="R358" i="4"/>
  <c r="R352" i="4"/>
  <c r="R353" i="4"/>
  <c r="R36" i="2"/>
  <c r="R84" i="4"/>
  <c r="R83" i="4"/>
  <c r="R320" i="4"/>
  <c r="R82" i="4"/>
  <c r="R330" i="4"/>
  <c r="R357" i="4"/>
  <c r="R346" i="4"/>
  <c r="R316" i="4"/>
  <c r="R342" i="4"/>
  <c r="R329" i="4"/>
  <c r="R339" i="4"/>
  <c r="R50" i="4"/>
  <c r="R361" i="4"/>
  <c r="R100" i="4"/>
  <c r="R49" i="4"/>
  <c r="R362" i="4"/>
  <c r="R321" i="4"/>
  <c r="R68" i="4"/>
  <c r="R37" i="2"/>
  <c r="R87" i="4"/>
  <c r="R379" i="4"/>
  <c r="R372" i="4"/>
  <c r="R317" i="4"/>
  <c r="R324" i="4"/>
  <c r="R158" i="4"/>
  <c r="R376" i="4"/>
  <c r="R373" i="4"/>
  <c r="R371" i="4"/>
  <c r="R381" i="4"/>
  <c r="R378" i="4"/>
  <c r="R377" i="4"/>
  <c r="R370" i="4"/>
  <c r="R374" i="4"/>
  <c r="R347" i="4"/>
  <c r="R375" i="4"/>
  <c r="R304" i="4"/>
  <c r="R314" i="4"/>
  <c r="R312" i="4"/>
  <c r="R305" i="4"/>
  <c r="R208" i="4"/>
  <c r="R308" i="4"/>
  <c r="R311" i="4"/>
  <c r="R301" i="4"/>
  <c r="R313" i="4"/>
  <c r="R306" i="4"/>
  <c r="R152" i="4"/>
  <c r="R310" i="4"/>
  <c r="R299" i="4"/>
  <c r="R302" i="4"/>
  <c r="R307" i="4"/>
  <c r="R300" i="4"/>
  <c r="R303" i="4"/>
  <c r="R111" i="4"/>
  <c r="R126" i="4"/>
  <c r="R276" i="4"/>
  <c r="R197" i="4"/>
  <c r="R179" i="4"/>
  <c r="R283" i="4"/>
  <c r="R62" i="4"/>
  <c r="R275" i="4"/>
  <c r="R218" i="4"/>
  <c r="R165" i="4"/>
  <c r="R171" i="4"/>
  <c r="R148" i="4"/>
  <c r="R160" i="4"/>
  <c r="R180" i="4"/>
  <c r="R146" i="4"/>
  <c r="R178" i="4"/>
  <c r="R226" i="4"/>
  <c r="R45" i="4"/>
  <c r="R225" i="4"/>
  <c r="R10" i="2"/>
  <c r="R34" i="4"/>
  <c r="R89" i="4"/>
  <c r="R35" i="4"/>
  <c r="R205" i="4"/>
  <c r="R138" i="4"/>
  <c r="R274" i="4"/>
  <c r="R157" i="4"/>
  <c r="R139" i="4"/>
  <c r="R200" i="4"/>
  <c r="R38" i="4"/>
  <c r="R237" i="4"/>
  <c r="R182" i="4"/>
  <c r="R267" i="4"/>
  <c r="R74" i="4"/>
  <c r="R224" i="4"/>
  <c r="R137" i="4"/>
  <c r="R217" i="4"/>
  <c r="R251" i="4"/>
  <c r="R201" i="4"/>
  <c r="R27" i="4"/>
  <c r="R119" i="4"/>
  <c r="R147" i="4"/>
  <c r="R154" i="4"/>
  <c r="R295" i="4"/>
  <c r="R223" i="4"/>
  <c r="R206" i="4"/>
  <c r="R202" i="4"/>
  <c r="R271" i="4"/>
  <c r="R207" i="4"/>
  <c r="R173" i="4"/>
  <c r="R95" i="4"/>
  <c r="R96" i="4"/>
  <c r="R184" i="4"/>
  <c r="R107" i="4"/>
  <c r="R273" i="4"/>
  <c r="R250" i="4"/>
  <c r="R291" i="4"/>
  <c r="R216" i="4"/>
  <c r="R292" i="4"/>
  <c r="R363" i="4"/>
  <c r="R174" i="4"/>
  <c r="R209" i="4"/>
  <c r="R52" i="4"/>
  <c r="R125" i="4"/>
  <c r="R140" i="4"/>
  <c r="R103" i="4"/>
  <c r="R39" i="4"/>
  <c r="R183" i="4"/>
  <c r="R268" i="4"/>
  <c r="R211" i="4"/>
  <c r="R26" i="2"/>
  <c r="R195" i="4"/>
  <c r="R172" i="4"/>
  <c r="R175" i="4"/>
  <c r="R176" i="4"/>
  <c r="R177" i="4"/>
  <c r="R28" i="4"/>
  <c r="R243" i="4"/>
  <c r="R75" i="4"/>
  <c r="R135" i="4"/>
  <c r="R136" i="4"/>
  <c r="R343" i="4"/>
  <c r="R264" i="4"/>
  <c r="R63" i="4"/>
  <c r="R150" i="4"/>
  <c r="R270" i="4"/>
  <c r="R193" i="4"/>
  <c r="R288" i="4"/>
  <c r="R233" i="4"/>
  <c r="R61" i="4"/>
  <c r="R235" i="4"/>
  <c r="R78" i="4"/>
  <c r="R101" i="4"/>
  <c r="R153" i="4"/>
  <c r="R227" i="4"/>
  <c r="R260" i="4"/>
  <c r="R21" i="4"/>
  <c r="R143" i="4"/>
  <c r="R368" i="4"/>
  <c r="R31" i="4"/>
  <c r="R72" i="4"/>
  <c r="R254" i="4"/>
  <c r="R54" i="4"/>
  <c r="R40" i="4"/>
  <c r="R266" i="4"/>
  <c r="R278" i="4"/>
  <c r="R213" i="4"/>
  <c r="R215" i="4"/>
  <c r="R297" i="4"/>
  <c r="R284" i="4"/>
  <c r="R144" i="4"/>
  <c r="R239" i="4"/>
  <c r="R167" i="4"/>
  <c r="R55" i="4"/>
  <c r="R57" i="4"/>
  <c r="R236" i="4"/>
  <c r="R121" i="4"/>
  <c r="R109" i="4"/>
  <c r="R53" i="4"/>
  <c r="R56" i="4"/>
  <c r="R104" i="4"/>
  <c r="R15" i="4"/>
  <c r="R187" i="4"/>
  <c r="R81" i="4"/>
  <c r="R255" i="4"/>
  <c r="R134" i="4"/>
  <c r="R88" i="4"/>
  <c r="R102" i="4"/>
  <c r="R241" i="4"/>
  <c r="R189" i="4"/>
  <c r="R269" i="4"/>
  <c r="R122" i="4"/>
  <c r="R127" i="4"/>
  <c r="R192" i="4"/>
  <c r="R92" i="4"/>
  <c r="R93" i="4"/>
  <c r="R97" i="4"/>
  <c r="R12" i="4"/>
  <c r="R188" i="4"/>
  <c r="R272" i="4"/>
  <c r="R203" i="4"/>
  <c r="R296" i="4"/>
  <c r="R94" i="4"/>
  <c r="R145" i="4"/>
  <c r="R185" i="4"/>
  <c r="R36" i="4"/>
  <c r="R230" i="4"/>
  <c r="R30" i="4"/>
  <c r="R265" i="4"/>
  <c r="R112" i="4"/>
  <c r="R91" i="4"/>
  <c r="R37" i="4"/>
  <c r="R238" i="4"/>
  <c r="R240" i="4"/>
  <c r="R244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5" i="4"/>
  <c r="R66" i="4"/>
  <c r="R289" i="4"/>
  <c r="R20" i="4"/>
  <c r="R170" i="4"/>
  <c r="R258" i="4"/>
  <c r="R13" i="4"/>
  <c r="R234" i="4"/>
  <c r="R151" i="4"/>
  <c r="R46" i="4"/>
  <c r="R169" i="4"/>
  <c r="R77" i="4"/>
  <c r="R99" i="4"/>
  <c r="R32" i="4"/>
  <c r="R242" i="4"/>
  <c r="R70" i="4"/>
  <c r="R168" i="4"/>
  <c r="R279" i="4"/>
  <c r="R280" i="4"/>
  <c r="R166" i="4"/>
  <c r="R257" i="4"/>
  <c r="R33" i="4"/>
  <c r="R60" i="4"/>
  <c r="R210" i="4"/>
  <c r="R220" i="4"/>
  <c r="R221" i="4"/>
  <c r="R247" i="4"/>
  <c r="R123" i="4"/>
  <c r="R281" i="4"/>
  <c r="R141" i="4"/>
  <c r="R259" i="4"/>
  <c r="R263" i="4"/>
  <c r="R42" i="4"/>
  <c r="R71" i="4"/>
  <c r="R80" i="4"/>
  <c r="R29" i="4"/>
  <c r="R246" i="4"/>
  <c r="R231" i="4"/>
  <c r="R287" i="4"/>
  <c r="R58" i="4"/>
  <c r="R186" i="4"/>
  <c r="R124" i="4"/>
  <c r="R73" i="4"/>
  <c r="R79" i="4"/>
  <c r="R196" i="4"/>
  <c r="R261" i="4"/>
  <c r="R285" i="4"/>
  <c r="R120" i="4"/>
  <c r="R76" i="4"/>
  <c r="R16" i="4"/>
  <c r="R48" i="4"/>
  <c r="R294" i="4"/>
  <c r="R59" i="4"/>
  <c r="R9" i="4"/>
  <c r="R10" i="4"/>
  <c r="R19" i="4"/>
  <c r="R249" i="4"/>
  <c r="R252" i="4"/>
  <c r="R253" i="4"/>
  <c r="R11" i="4"/>
  <c r="R256" i="4"/>
  <c r="R290" i="4"/>
  <c r="R105" i="4"/>
  <c r="R14" i="4"/>
  <c r="R190" i="4"/>
  <c r="R248" i="4"/>
  <c r="R194" i="4"/>
  <c r="R106" i="4"/>
  <c r="R8" i="4"/>
  <c r="R110" i="4"/>
  <c r="R212" i="4"/>
  <c r="R204" i="4"/>
  <c r="R3" i="4"/>
  <c r="R18" i="4"/>
  <c r="R43" i="4"/>
  <c r="R44" i="4"/>
  <c r="Z363" i="4"/>
  <c r="Z369" i="4"/>
  <c r="Z360" i="4"/>
  <c r="U2" i="12"/>
  <c r="R286" i="4"/>
  <c r="R293" i="4"/>
  <c r="R69" i="4"/>
  <c r="R334" i="4"/>
  <c r="Q2" i="12"/>
  <c r="O2" i="12"/>
  <c r="N396" i="4"/>
  <c r="N408" i="4"/>
  <c r="M2" i="12"/>
  <c r="K2" i="12"/>
  <c r="J188" i="4"/>
  <c r="J23" i="4"/>
  <c r="J179" i="4"/>
  <c r="J180" i="4"/>
  <c r="J286" i="4"/>
  <c r="J187" i="4"/>
  <c r="J238" i="4"/>
  <c r="J266" i="4"/>
  <c r="J240" i="4"/>
  <c r="J241" i="4"/>
  <c r="J243" i="4"/>
  <c r="J267" i="4"/>
  <c r="J244" i="4"/>
  <c r="J268" i="4"/>
  <c r="J121" i="4"/>
  <c r="J269" i="4"/>
  <c r="J270" i="4"/>
  <c r="J271" i="4"/>
  <c r="J272" i="4"/>
  <c r="J151" i="4"/>
  <c r="J210" i="4"/>
  <c r="J220" i="4"/>
  <c r="J221" i="4"/>
  <c r="J250" i="4"/>
  <c r="J192" i="4"/>
  <c r="J213" i="4"/>
  <c r="J77" i="4"/>
  <c r="J290" i="4"/>
  <c r="J199" i="4"/>
  <c r="J263" i="4"/>
  <c r="J186" i="4"/>
  <c r="J239" i="4"/>
  <c r="J242" i="4"/>
  <c r="J273" i="4"/>
  <c r="J9" i="4"/>
  <c r="J190" i="4"/>
  <c r="J10" i="4"/>
  <c r="J26" i="2"/>
  <c r="J16" i="4"/>
  <c r="J278" i="4"/>
  <c r="J284" i="4"/>
  <c r="J8" i="4"/>
  <c r="J68" i="4"/>
  <c r="J296" i="4"/>
  <c r="J251" i="4"/>
  <c r="J252" i="4"/>
  <c r="J279" i="4"/>
  <c r="J280" i="4"/>
  <c r="J281" i="4"/>
  <c r="J87" i="4"/>
  <c r="J291" i="4"/>
  <c r="J196" i="4"/>
  <c r="J218" i="4"/>
  <c r="J228" i="4"/>
  <c r="J292" i="4"/>
  <c r="J297" i="4"/>
  <c r="J197" i="4"/>
  <c r="J294" i="4"/>
  <c r="J100" i="4"/>
  <c r="J246" i="4"/>
  <c r="J194" i="4"/>
  <c r="J141" i="4"/>
  <c r="J116" i="4"/>
  <c r="J234" i="4"/>
  <c r="J235" i="4"/>
  <c r="J155" i="4"/>
  <c r="J191" i="4"/>
  <c r="J249" i="4"/>
  <c r="J295" i="4"/>
  <c r="J73" i="4"/>
  <c r="J212" i="4"/>
  <c r="J255" i="4"/>
  <c r="J256" i="4"/>
  <c r="J230" i="4"/>
  <c r="J258" i="4"/>
  <c r="J285" i="4"/>
  <c r="J237" i="4"/>
  <c r="J189" i="4"/>
  <c r="J277" i="4"/>
  <c r="J222" i="4"/>
  <c r="J254" i="4"/>
  <c r="J231" i="4"/>
  <c r="J219" i="4"/>
  <c r="J122" i="4"/>
  <c r="J229" i="4"/>
  <c r="J257" i="4"/>
  <c r="J260" i="4"/>
  <c r="J114" i="4"/>
  <c r="J145" i="4"/>
  <c r="J183" i="4"/>
  <c r="J236" i="4"/>
  <c r="J127" i="4"/>
  <c r="J289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6" i="4"/>
  <c r="J158" i="4"/>
  <c r="J275" i="4"/>
  <c r="J124" i="4"/>
  <c r="J211" i="4"/>
  <c r="J165" i="4"/>
  <c r="J166" i="4"/>
  <c r="J167" i="4"/>
  <c r="J174" i="4"/>
  <c r="J293" i="4"/>
  <c r="J144" i="4"/>
  <c r="J120" i="4"/>
  <c r="J80" i="4"/>
  <c r="J169" i="4"/>
  <c r="J171" i="4"/>
  <c r="J206" i="4"/>
  <c r="J172" i="4"/>
  <c r="J298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3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4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10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3" i="2"/>
  <c r="J110" i="4"/>
  <c r="J66" i="4"/>
  <c r="J102" i="4"/>
  <c r="J175" i="4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5" i="4"/>
  <c r="F46" i="2"/>
  <c r="F233" i="4"/>
  <c r="F264" i="4"/>
  <c r="F265" i="4"/>
  <c r="F238" i="4"/>
  <c r="F266" i="4"/>
  <c r="F240" i="4"/>
  <c r="F241" i="4"/>
  <c r="F243" i="4"/>
  <c r="F267" i="4"/>
  <c r="F244" i="4"/>
  <c r="F268" i="4"/>
  <c r="F247" i="4"/>
  <c r="F269" i="4"/>
  <c r="F270" i="4"/>
  <c r="F271" i="4"/>
  <c r="F272" i="4"/>
  <c r="F151" i="4"/>
  <c r="F250" i="4"/>
  <c r="F290" i="4"/>
  <c r="F287" i="4"/>
  <c r="F263" i="4"/>
  <c r="F239" i="4"/>
  <c r="F242" i="4"/>
  <c r="F273" i="4"/>
  <c r="F190" i="4"/>
  <c r="F278" i="4"/>
  <c r="F284" i="4"/>
  <c r="F68" i="4"/>
  <c r="F281" i="4"/>
  <c r="F37" i="2"/>
  <c r="F87" i="4"/>
  <c r="F291" i="4"/>
  <c r="F218" i="4"/>
  <c r="F197" i="4"/>
  <c r="F100" i="4"/>
  <c r="F116" i="4"/>
  <c r="F234" i="4"/>
  <c r="F295" i="4"/>
  <c r="F129" i="4"/>
  <c r="F212" i="4"/>
  <c r="F255" i="4"/>
  <c r="F256" i="4"/>
  <c r="F12" i="2"/>
  <c r="F149" i="4"/>
  <c r="F237" i="4"/>
  <c r="F204" i="4"/>
  <c r="F257" i="4"/>
  <c r="F114" i="4"/>
  <c r="F145" i="4"/>
  <c r="F183" i="4"/>
  <c r="F236" i="4"/>
  <c r="F289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6" i="4"/>
  <c r="F152" i="4"/>
  <c r="F158" i="4"/>
  <c r="F275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8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3" i="4"/>
  <c r="F118" i="4"/>
  <c r="F53" i="4"/>
  <c r="F13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4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10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50" i="2"/>
  <c r="F46" i="4"/>
  <c r="F37" i="4"/>
  <c r="F34" i="4"/>
  <c r="F35" i="4"/>
  <c r="F304" i="4"/>
  <c r="F305" i="4"/>
  <c r="F306" i="4"/>
  <c r="F307" i="4"/>
  <c r="F310" i="4"/>
  <c r="F311" i="4"/>
  <c r="F312" i="4"/>
  <c r="F313" i="4"/>
  <c r="F300" i="4"/>
  <c r="F301" i="4"/>
  <c r="F299" i="4"/>
  <c r="F302" i="4"/>
  <c r="F303" i="4"/>
  <c r="F314" i="4"/>
  <c r="F51" i="2"/>
  <c r="F308" i="4"/>
  <c r="F342" i="4"/>
  <c r="F333" i="4"/>
  <c r="F331" i="4"/>
  <c r="F332" i="4"/>
  <c r="F324" i="4"/>
  <c r="F334" i="4"/>
  <c r="F323" i="4"/>
  <c r="F341" i="4"/>
  <c r="F316" i="4"/>
  <c r="F339" i="4"/>
  <c r="F322" i="4"/>
  <c r="F346" i="4"/>
  <c r="F325" i="4"/>
  <c r="F318" i="4"/>
  <c r="F319" i="4"/>
  <c r="F320" i="4"/>
  <c r="F321" i="4"/>
  <c r="F347" i="4"/>
  <c r="F337" i="4"/>
  <c r="F338" i="4"/>
  <c r="F340" i="4"/>
  <c r="F326" i="4"/>
  <c r="F327" i="4"/>
  <c r="F328" i="4"/>
  <c r="F329" i="4"/>
  <c r="F330" i="4"/>
  <c r="F317" i="4"/>
  <c r="F315" i="4"/>
  <c r="F335" i="4"/>
  <c r="F336" i="4"/>
  <c r="F345" i="4"/>
  <c r="F343" i="4"/>
  <c r="F344" i="4"/>
  <c r="F351" i="4"/>
  <c r="F350" i="4"/>
  <c r="F361" i="4"/>
  <c r="F362" i="4"/>
  <c r="F348" i="4"/>
  <c r="F358" i="4"/>
  <c r="F359" i="4"/>
  <c r="F364" i="4"/>
  <c r="F349" i="4"/>
  <c r="F365" i="4"/>
  <c r="F366" i="4"/>
  <c r="F367" i="4"/>
  <c r="F352" i="4"/>
  <c r="F353" i="4"/>
  <c r="F354" i="4"/>
  <c r="F356" i="4"/>
  <c r="F357" i="4"/>
  <c r="F355" i="4"/>
  <c r="F368" i="4"/>
  <c r="F363" i="4"/>
  <c r="F369" i="4"/>
  <c r="F360" i="4"/>
  <c r="F379" i="4"/>
  <c r="F377" i="4"/>
  <c r="F373" i="4"/>
  <c r="F374" i="4"/>
  <c r="F370" i="4"/>
  <c r="F371" i="4"/>
  <c r="F375" i="4"/>
  <c r="F376" i="4"/>
  <c r="F378" i="4"/>
  <c r="F372" i="4"/>
  <c r="F381" i="4"/>
  <c r="F390" i="4"/>
  <c r="F389" i="4"/>
  <c r="F396" i="4"/>
  <c r="F388" i="4"/>
  <c r="F397" i="4"/>
  <c r="F398" i="4"/>
  <c r="F399" i="4"/>
  <c r="F400" i="4"/>
  <c r="F401" i="4"/>
  <c r="F391" i="4"/>
  <c r="F392" i="4"/>
  <c r="F393" i="4"/>
  <c r="F402" i="4"/>
  <c r="F403" i="4"/>
  <c r="F404" i="4"/>
  <c r="F405" i="4"/>
  <c r="F394" i="4"/>
  <c r="F395" i="4"/>
  <c r="F406" i="4"/>
  <c r="F407" i="4"/>
  <c r="F408" i="4"/>
  <c r="F409" i="4"/>
  <c r="F410" i="4"/>
  <c r="F411" i="4"/>
  <c r="F387" i="4"/>
  <c r="E2" i="12"/>
  <c r="C2" i="12"/>
  <c r="E245" i="4"/>
  <c r="E46" i="2"/>
  <c r="E233" i="4"/>
  <c r="E264" i="4"/>
  <c r="E265" i="4"/>
  <c r="E238" i="4"/>
  <c r="E266" i="4"/>
  <c r="E240" i="4"/>
  <c r="E241" i="4"/>
  <c r="E243" i="4"/>
  <c r="E267" i="4"/>
  <c r="E244" i="4"/>
  <c r="E268" i="4"/>
  <c r="E247" i="4"/>
  <c r="E269" i="4"/>
  <c r="E270" i="4"/>
  <c r="E271" i="4"/>
  <c r="E272" i="4"/>
  <c r="E151" i="4"/>
  <c r="E250" i="4"/>
  <c r="E290" i="4"/>
  <c r="E287" i="4"/>
  <c r="E263" i="4"/>
  <c r="E239" i="4"/>
  <c r="E242" i="4"/>
  <c r="E273" i="4"/>
  <c r="E190" i="4"/>
  <c r="E278" i="4"/>
  <c r="E284" i="4"/>
  <c r="E68" i="4"/>
  <c r="E281" i="4"/>
  <c r="E37" i="2"/>
  <c r="E87" i="4"/>
  <c r="E291" i="4"/>
  <c r="E218" i="4"/>
  <c r="E197" i="4"/>
  <c r="E100" i="4"/>
  <c r="E116" i="4"/>
  <c r="E234" i="4"/>
  <c r="E295" i="4"/>
  <c r="E129" i="4"/>
  <c r="E212" i="4"/>
  <c r="E255" i="4"/>
  <c r="E256" i="4"/>
  <c r="E12" i="2"/>
  <c r="E149" i="4"/>
  <c r="E237" i="4"/>
  <c r="E204" i="4"/>
  <c r="E257" i="4"/>
  <c r="E114" i="4"/>
  <c r="E145" i="4"/>
  <c r="E183" i="4"/>
  <c r="E236" i="4"/>
  <c r="E289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6" i="4"/>
  <c r="E152" i="4"/>
  <c r="E158" i="4"/>
  <c r="E275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8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3" i="4"/>
  <c r="E118" i="4"/>
  <c r="E53" i="4"/>
  <c r="E13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4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10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50" i="2"/>
  <c r="E46" i="4"/>
  <c r="E37" i="4"/>
  <c r="E34" i="4"/>
  <c r="E35" i="4"/>
  <c r="E304" i="4"/>
  <c r="E305" i="4"/>
  <c r="E306" i="4"/>
  <c r="E307" i="4"/>
  <c r="E310" i="4"/>
  <c r="E311" i="4"/>
  <c r="E312" i="4"/>
  <c r="E313" i="4"/>
  <c r="E300" i="4"/>
  <c r="E301" i="4"/>
  <c r="E299" i="4"/>
  <c r="E302" i="4"/>
  <c r="E303" i="4"/>
  <c r="E314" i="4"/>
  <c r="E51" i="2"/>
  <c r="E308" i="4"/>
  <c r="E342" i="4"/>
  <c r="E333" i="4"/>
  <c r="E331" i="4"/>
  <c r="E332" i="4"/>
  <c r="E324" i="4"/>
  <c r="E334" i="4"/>
  <c r="E323" i="4"/>
  <c r="E341" i="4"/>
  <c r="E316" i="4"/>
  <c r="E339" i="4"/>
  <c r="E322" i="4"/>
  <c r="E346" i="4"/>
  <c r="E325" i="4"/>
  <c r="E318" i="4"/>
  <c r="E319" i="4"/>
  <c r="E320" i="4"/>
  <c r="E321" i="4"/>
  <c r="E347" i="4"/>
  <c r="E337" i="4"/>
  <c r="E338" i="4"/>
  <c r="E340" i="4"/>
  <c r="E326" i="4"/>
  <c r="E327" i="4"/>
  <c r="E328" i="4"/>
  <c r="E329" i="4"/>
  <c r="E330" i="4"/>
  <c r="E317" i="4"/>
  <c r="E315" i="4"/>
  <c r="E335" i="4"/>
  <c r="E336" i="4"/>
  <c r="E345" i="4"/>
  <c r="E343" i="4"/>
  <c r="E344" i="4"/>
  <c r="E351" i="4"/>
  <c r="E350" i="4"/>
  <c r="E361" i="4"/>
  <c r="E362" i="4"/>
  <c r="E348" i="4"/>
  <c r="E358" i="4"/>
  <c r="E359" i="4"/>
  <c r="E364" i="4"/>
  <c r="E349" i="4"/>
  <c r="E365" i="4"/>
  <c r="E366" i="4"/>
  <c r="E367" i="4"/>
  <c r="E352" i="4"/>
  <c r="E353" i="4"/>
  <c r="E354" i="4"/>
  <c r="E356" i="4"/>
  <c r="E357" i="4"/>
  <c r="E355" i="4"/>
  <c r="E368" i="4"/>
  <c r="E363" i="4"/>
  <c r="E369" i="4"/>
  <c r="E360" i="4"/>
  <c r="E379" i="4"/>
  <c r="E377" i="4"/>
  <c r="E373" i="4"/>
  <c r="E374" i="4"/>
  <c r="E370" i="4"/>
  <c r="E371" i="4"/>
  <c r="E375" i="4"/>
  <c r="E376" i="4"/>
  <c r="E378" i="4"/>
  <c r="E372" i="4"/>
  <c r="E381" i="4"/>
  <c r="E390" i="4"/>
  <c r="E389" i="4"/>
  <c r="E396" i="4"/>
  <c r="E388" i="4"/>
  <c r="E397" i="4"/>
  <c r="E398" i="4"/>
  <c r="E399" i="4"/>
  <c r="E400" i="4"/>
  <c r="E401" i="4"/>
  <c r="E391" i="4"/>
  <c r="E392" i="4"/>
  <c r="E393" i="4"/>
  <c r="E402" i="4"/>
  <c r="E403" i="4"/>
  <c r="E404" i="4"/>
  <c r="E405" i="4"/>
  <c r="E394" i="4"/>
  <c r="E395" i="4"/>
  <c r="E406" i="4"/>
  <c r="E407" i="4"/>
  <c r="E408" i="4"/>
  <c r="E409" i="4"/>
  <c r="E410" i="4"/>
  <c r="E411" i="4"/>
  <c r="E387" i="4"/>
  <c r="D2" i="12"/>
  <c r="F2" i="12"/>
  <c r="I188" i="4"/>
  <c r="I23" i="4"/>
  <c r="I179" i="4"/>
  <c r="I180" i="4"/>
  <c r="I286" i="4"/>
  <c r="I187" i="4"/>
  <c r="I238" i="4"/>
  <c r="I266" i="4"/>
  <c r="I240" i="4"/>
  <c r="I241" i="4"/>
  <c r="I243" i="4"/>
  <c r="I267" i="4"/>
  <c r="I244" i="4"/>
  <c r="I268" i="4"/>
  <c r="I121" i="4"/>
  <c r="I269" i="4"/>
  <c r="I270" i="4"/>
  <c r="I271" i="4"/>
  <c r="I272" i="4"/>
  <c r="I151" i="4"/>
  <c r="I210" i="4"/>
  <c r="I220" i="4"/>
  <c r="I221" i="4"/>
  <c r="I250" i="4"/>
  <c r="I192" i="4"/>
  <c r="I213" i="4"/>
  <c r="I77" i="4"/>
  <c r="I290" i="4"/>
  <c r="I199" i="4"/>
  <c r="I263" i="4"/>
  <c r="I186" i="4"/>
  <c r="I239" i="4"/>
  <c r="I242" i="4"/>
  <c r="I273" i="4"/>
  <c r="I9" i="4"/>
  <c r="I190" i="4"/>
  <c r="I10" i="4"/>
  <c r="I26" i="2"/>
  <c r="I16" i="4"/>
  <c r="I278" i="4"/>
  <c r="I284" i="4"/>
  <c r="I8" i="4"/>
  <c r="I296" i="4"/>
  <c r="I251" i="4"/>
  <c r="I252" i="4"/>
  <c r="I279" i="4"/>
  <c r="I280" i="4"/>
  <c r="I281" i="4"/>
  <c r="I291" i="4"/>
  <c r="I196" i="4"/>
  <c r="I218" i="4"/>
  <c r="I228" i="4"/>
  <c r="I292" i="4"/>
  <c r="I297" i="4"/>
  <c r="I197" i="4"/>
  <c r="I294" i="4"/>
  <c r="I246" i="4"/>
  <c r="I194" i="4"/>
  <c r="I141" i="4"/>
  <c r="I116" i="4"/>
  <c r="I234" i="4"/>
  <c r="I235" i="4"/>
  <c r="I155" i="4"/>
  <c r="I191" i="4"/>
  <c r="I249" i="4"/>
  <c r="I295" i="4"/>
  <c r="I73" i="4"/>
  <c r="I212" i="4"/>
  <c r="I255" i="4"/>
  <c r="I256" i="4"/>
  <c r="I230" i="4"/>
  <c r="I258" i="4"/>
  <c r="I178" i="4"/>
  <c r="I285" i="4"/>
  <c r="I237" i="4"/>
  <c r="I189" i="4"/>
  <c r="I277" i="4"/>
  <c r="I222" i="4"/>
  <c r="I254" i="4"/>
  <c r="I231" i="4"/>
  <c r="I219" i="4"/>
  <c r="I122" i="4"/>
  <c r="I229" i="4"/>
  <c r="I257" i="4"/>
  <c r="I260" i="4"/>
  <c r="I114" i="4"/>
  <c r="I145" i="4"/>
  <c r="I183" i="4"/>
  <c r="I236" i="4"/>
  <c r="I127" i="4"/>
  <c r="I289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6" i="4"/>
  <c r="I158" i="4"/>
  <c r="I275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8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3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4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10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3" i="2"/>
  <c r="I110" i="4"/>
  <c r="I66" i="4"/>
  <c r="I102" i="4"/>
  <c r="I175" i="4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390" i="4"/>
  <c r="M389" i="4"/>
  <c r="M396" i="4"/>
  <c r="M388" i="4"/>
  <c r="M397" i="4"/>
  <c r="M398" i="4"/>
  <c r="M399" i="4"/>
  <c r="M400" i="4"/>
  <c r="M401" i="4"/>
  <c r="M391" i="4"/>
  <c r="M392" i="4"/>
  <c r="M393" i="4"/>
  <c r="M402" i="4"/>
  <c r="M403" i="4"/>
  <c r="M404" i="4"/>
  <c r="M405" i="4"/>
  <c r="M394" i="4"/>
  <c r="M395" i="4"/>
  <c r="M406" i="4"/>
  <c r="M407" i="4"/>
  <c r="M408" i="4"/>
  <c r="M409" i="4"/>
  <c r="M410" i="4"/>
  <c r="M411" i="4"/>
  <c r="M387" i="4"/>
  <c r="L2" i="12"/>
  <c r="N2" i="12"/>
  <c r="Q286" i="4"/>
  <c r="Q293" i="4"/>
  <c r="Q69" i="4"/>
  <c r="P2" i="12"/>
  <c r="R2" i="12"/>
  <c r="V2" i="12"/>
  <c r="Y316" i="4"/>
  <c r="Y360" i="4"/>
  <c r="B384" i="4"/>
  <c r="C384" i="4"/>
  <c r="B386" i="4"/>
  <c r="C386" i="4"/>
  <c r="B383" i="4"/>
  <c r="C383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304" i="4"/>
  <c r="AI305" i="4"/>
  <c r="AI306" i="4"/>
  <c r="AI307" i="4"/>
  <c r="AI311" i="4"/>
  <c r="AI312" i="4"/>
  <c r="AI313" i="4"/>
  <c r="AI301" i="4"/>
  <c r="AI299" i="4"/>
  <c r="AI302" i="4"/>
  <c r="AI303" i="4"/>
  <c r="AI314" i="4"/>
  <c r="AI308" i="4"/>
  <c r="AI342" i="4"/>
  <c r="AI333" i="4"/>
  <c r="AI331" i="4"/>
  <c r="AI332" i="4"/>
  <c r="AI324" i="4"/>
  <c r="AI334" i="4"/>
  <c r="AI323" i="4"/>
  <c r="AI341" i="4"/>
  <c r="AI316" i="4"/>
  <c r="AI339" i="4"/>
  <c r="AI322" i="4"/>
  <c r="AI346" i="4"/>
  <c r="AI325" i="4"/>
  <c r="AI318" i="4"/>
  <c r="AI319" i="4"/>
  <c r="AI320" i="4"/>
  <c r="AI321" i="4"/>
  <c r="AI347" i="4"/>
  <c r="AI337" i="4"/>
  <c r="AI338" i="4"/>
  <c r="AI340" i="4"/>
  <c r="AI326" i="4"/>
  <c r="AI327" i="4"/>
  <c r="AI328" i="4"/>
  <c r="AI329" i="4"/>
  <c r="AI330" i="4"/>
  <c r="AI317" i="4"/>
  <c r="AI315" i="4"/>
  <c r="AI335" i="4"/>
  <c r="AI336" i="4"/>
  <c r="AI345" i="4"/>
  <c r="AI343" i="4"/>
  <c r="AI344" i="4"/>
  <c r="AI351" i="4"/>
  <c r="AI350" i="4"/>
  <c r="AI361" i="4"/>
  <c r="AI362" i="4"/>
  <c r="AI348" i="4"/>
  <c r="AI358" i="4"/>
  <c r="AI359" i="4"/>
  <c r="AI364" i="4"/>
  <c r="AI349" i="4"/>
  <c r="AI365" i="4"/>
  <c r="AI366" i="4"/>
  <c r="AI367" i="4"/>
  <c r="AI352" i="4"/>
  <c r="AI353" i="4"/>
  <c r="AI354" i="4"/>
  <c r="AI356" i="4"/>
  <c r="AI357" i="4"/>
  <c r="AI355" i="4"/>
  <c r="AI368" i="4"/>
  <c r="AI363" i="4"/>
  <c r="AI369" i="4"/>
  <c r="AI360" i="4"/>
  <c r="AI379" i="4"/>
  <c r="AI377" i="4"/>
  <c r="AI373" i="4"/>
  <c r="AI374" i="4"/>
  <c r="AI370" i="4"/>
  <c r="AI371" i="4"/>
  <c r="AI375" i="4"/>
  <c r="AI376" i="4"/>
  <c r="AI378" i="4"/>
  <c r="AI372" i="4"/>
  <c r="AI381" i="4"/>
  <c r="AI384" i="4"/>
  <c r="AI386" i="4"/>
  <c r="AI385" i="4"/>
  <c r="AI383" i="4"/>
  <c r="AI382" i="4"/>
  <c r="AI390" i="4"/>
  <c r="AI389" i="4"/>
  <c r="AI396" i="4"/>
  <c r="AI388" i="4"/>
  <c r="AI397" i="4"/>
  <c r="AI398" i="4"/>
  <c r="AI399" i="4"/>
  <c r="AI400" i="4"/>
  <c r="AI401" i="4"/>
  <c r="AI391" i="4"/>
  <c r="AI392" i="4"/>
  <c r="AI393" i="4"/>
  <c r="AI402" i="4"/>
  <c r="AI403" i="4"/>
  <c r="AI404" i="4"/>
  <c r="AI405" i="4"/>
  <c r="AI394" i="4"/>
  <c r="AI395" i="4"/>
  <c r="AI406" i="4"/>
  <c r="AI407" i="4"/>
  <c r="AI408" i="4"/>
  <c r="AI409" i="4"/>
  <c r="AI410" i="4"/>
  <c r="AI411" i="4"/>
  <c r="AI387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6" i="4"/>
  <c r="AC288" i="4"/>
  <c r="AC4" i="4"/>
  <c r="AC5" i="4"/>
  <c r="AC204" i="4"/>
  <c r="AC6" i="4"/>
  <c r="AC130" i="4"/>
  <c r="AC132" i="4"/>
  <c r="AC133" i="4"/>
  <c r="AC277" i="4"/>
  <c r="AC128" i="4"/>
  <c r="AC129" i="4"/>
  <c r="AC253" i="4"/>
  <c r="AC59" i="4"/>
  <c r="AC105" i="4"/>
  <c r="AC120" i="4"/>
  <c r="AC14" i="4"/>
  <c r="AC233" i="4"/>
  <c r="AC265" i="4"/>
  <c r="AC266" i="4"/>
  <c r="AC239" i="4"/>
  <c r="AC241" i="4"/>
  <c r="AC242" i="4"/>
  <c r="AC267" i="4"/>
  <c r="AC244" i="4"/>
  <c r="AC268" i="4"/>
  <c r="AC247" i="4"/>
  <c r="AC269" i="4"/>
  <c r="AC270" i="4"/>
  <c r="AC271" i="4"/>
  <c r="AC272" i="4"/>
  <c r="AC273" i="4"/>
  <c r="AC151" i="4"/>
  <c r="AC2" i="4"/>
  <c r="AC295" i="4"/>
  <c r="AC287" i="4"/>
  <c r="AC263" i="4"/>
  <c r="AC238" i="4"/>
  <c r="AC240" i="4"/>
  <c r="AC243" i="4"/>
  <c r="AC64" i="4"/>
  <c r="AC65" i="4"/>
  <c r="AC203" i="4"/>
  <c r="AC274" i="4"/>
  <c r="AC153" i="4"/>
  <c r="AC125" i="4"/>
  <c r="AC190" i="4"/>
  <c r="AC249" i="4"/>
  <c r="AC73" i="4"/>
  <c r="AC213" i="4"/>
  <c r="AC110" i="4"/>
  <c r="AC47" i="4"/>
  <c r="AC85" i="4"/>
  <c r="AC86" i="4"/>
  <c r="AC255" i="4"/>
  <c r="AC281" i="4"/>
  <c r="AC256" i="4"/>
  <c r="AC290" i="4"/>
  <c r="AC291" i="4"/>
  <c r="AC113" i="4"/>
  <c r="AC134" i="4"/>
  <c r="AC135" i="4"/>
  <c r="AC176" i="4"/>
  <c r="AC177" i="4"/>
  <c r="AC137" i="4"/>
  <c r="AC138" i="4"/>
  <c r="AC139" i="4"/>
  <c r="AC140" i="4"/>
  <c r="AC258" i="4"/>
  <c r="AC98" i="4"/>
  <c r="AC115" i="4"/>
  <c r="AC116" i="4"/>
  <c r="AC117" i="4"/>
  <c r="AC142" i="4"/>
  <c r="AC118" i="4"/>
  <c r="AC27" i="4"/>
  <c r="AC143" i="4"/>
  <c r="AC144" i="4"/>
  <c r="AC28" i="4"/>
  <c r="AC145" i="4"/>
  <c r="AC285" i="4"/>
  <c r="AC183" i="4"/>
  <c r="AC102" i="4"/>
  <c r="AC103" i="4"/>
  <c r="AC104" i="4"/>
  <c r="AC29" i="4"/>
  <c r="AC58" i="4"/>
  <c r="AC30" i="4"/>
  <c r="AC13" i="4"/>
  <c r="AC264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4" i="4"/>
  <c r="AC235" i="4"/>
  <c r="AC219" i="4"/>
  <c r="AC236" i="4"/>
  <c r="AC237" i="4"/>
  <c r="AC202" i="4"/>
  <c r="AC186" i="4"/>
  <c r="AC187" i="4"/>
  <c r="AC188" i="4"/>
  <c r="AC150" i="4"/>
  <c r="AC246" i="4"/>
  <c r="AC189" i="4"/>
  <c r="AC121" i="4"/>
  <c r="AC41" i="4"/>
  <c r="AC276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6" i="4"/>
  <c r="AC127" i="4"/>
  <c r="AC191" i="4"/>
  <c r="AC70" i="4"/>
  <c r="AC248" i="4"/>
  <c r="AC250" i="4"/>
  <c r="AC289" i="4"/>
  <c r="AC192" i="4"/>
  <c r="AC222" i="4"/>
  <c r="AC251" i="4"/>
  <c r="AC74" i="4"/>
  <c r="AC20" i="4"/>
  <c r="AC75" i="4"/>
  <c r="AC278" i="4"/>
  <c r="AC43" i="4"/>
  <c r="AC212" i="4"/>
  <c r="AC77" i="4"/>
  <c r="AC223" i="4"/>
  <c r="AC158" i="4"/>
  <c r="AC252" i="4"/>
  <c r="AC10" i="4"/>
  <c r="AC159" i="4"/>
  <c r="AC21" i="4"/>
  <c r="AC160" i="4"/>
  <c r="AC44" i="4"/>
  <c r="AC45" i="4"/>
  <c r="AC11" i="4"/>
  <c r="AC254" i="4"/>
  <c r="AC193" i="4"/>
  <c r="AC194" i="4"/>
  <c r="AC279" i="4"/>
  <c r="AC280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8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2" i="4"/>
  <c r="AC229" i="4"/>
  <c r="AC230" i="4"/>
  <c r="AC257" i="4"/>
  <c r="AC141" i="4"/>
  <c r="AC297" i="4"/>
  <c r="AC259" i="4"/>
  <c r="AC260" i="4"/>
  <c r="AC261" i="4"/>
  <c r="AC197" i="4"/>
  <c r="AC178" i="4"/>
  <c r="AC179" i="4"/>
  <c r="AC180" i="4"/>
  <c r="AC199" i="4"/>
  <c r="AC181" i="4"/>
  <c r="AC294" i="4"/>
  <c r="AC231" i="4"/>
  <c r="AC209" i="4"/>
  <c r="AC283" i="4"/>
  <c r="AC284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3" i="4"/>
  <c r="AC114" i="4"/>
  <c r="AC286" i="4"/>
  <c r="AC275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7" i="4"/>
  <c r="AC306" i="4"/>
  <c r="AC304" i="4"/>
  <c r="AC305" i="4"/>
  <c r="AC300" i="4"/>
  <c r="AC301" i="4"/>
  <c r="AC299" i="4"/>
  <c r="AC302" i="4"/>
  <c r="AC303" i="4"/>
  <c r="AC310" i="4"/>
  <c r="AC311" i="4"/>
  <c r="AC312" i="4"/>
  <c r="AC313" i="4"/>
  <c r="AC308" i="4"/>
  <c r="AC314" i="4"/>
  <c r="AC335" i="4"/>
  <c r="AC336" i="4"/>
  <c r="AC318" i="4"/>
  <c r="AC315" i="4"/>
  <c r="AC319" i="4"/>
  <c r="AC320" i="4"/>
  <c r="AC321" i="4"/>
  <c r="AC347" i="4"/>
  <c r="AC326" i="4"/>
  <c r="AC327" i="4"/>
  <c r="AC328" i="4"/>
  <c r="AC329" i="4"/>
  <c r="AC341" i="4"/>
  <c r="AC331" i="4"/>
  <c r="AC332" i="4"/>
  <c r="AC333" i="4"/>
  <c r="AC343" i="4"/>
  <c r="AC344" i="4"/>
  <c r="AC345" i="4"/>
  <c r="AC342" i="4"/>
  <c r="AC322" i="4"/>
  <c r="AC317" i="4"/>
  <c r="AC323" i="4"/>
  <c r="AC330" i="4"/>
  <c r="AC325" i="4"/>
  <c r="AC334" i="4"/>
  <c r="AC324" i="4"/>
  <c r="AC338" i="4"/>
  <c r="AC337" i="4"/>
  <c r="AC316" i="4"/>
  <c r="AC339" i="4"/>
  <c r="AC340" i="4"/>
  <c r="AC346" i="4"/>
  <c r="AC350" i="4"/>
  <c r="AC361" i="4"/>
  <c r="AC362" i="4"/>
  <c r="AC368" i="4"/>
  <c r="AC363" i="4"/>
  <c r="AC369" i="4"/>
  <c r="AC351" i="4"/>
  <c r="AC348" i="4"/>
  <c r="AC358" i="4"/>
  <c r="AC359" i="4"/>
  <c r="AC364" i="4"/>
  <c r="AC349" i="4"/>
  <c r="AC365" i="4"/>
  <c r="AC366" i="4"/>
  <c r="AC367" i="4"/>
  <c r="AC360" i="4"/>
  <c r="AC352" i="4"/>
  <c r="AC353" i="4"/>
  <c r="AC354" i="4"/>
  <c r="AC355" i="4"/>
  <c r="AC356" i="4"/>
  <c r="AC357" i="4"/>
  <c r="AC371" i="4"/>
  <c r="AC377" i="4"/>
  <c r="AC378" i="4"/>
  <c r="AC379" i="4"/>
  <c r="AC373" i="4"/>
  <c r="AC370" i="4"/>
  <c r="AC376" i="4"/>
  <c r="AC381" i="4"/>
  <c r="AC374" i="4"/>
  <c r="AC375" i="4"/>
  <c r="AC372" i="4"/>
  <c r="AC383" i="4"/>
  <c r="AC385" i="4"/>
  <c r="AC386" i="4"/>
  <c r="AC384" i="4"/>
  <c r="AC382" i="4"/>
  <c r="AC390" i="4"/>
  <c r="AC395" i="4"/>
  <c r="AC408" i="4"/>
  <c r="AC397" i="4"/>
  <c r="AC398" i="4"/>
  <c r="AC399" i="4"/>
  <c r="AC400" i="4"/>
  <c r="AC403" i="4"/>
  <c r="AC387" i="4"/>
  <c r="AC404" i="4"/>
  <c r="AC405" i="4"/>
  <c r="AC407" i="4"/>
  <c r="AC396" i="4"/>
  <c r="AC388" i="4"/>
  <c r="AC389" i="4"/>
  <c r="AC391" i="4"/>
  <c r="AC392" i="4"/>
  <c r="AC393" i="4"/>
  <c r="AC402" i="4"/>
  <c r="AC394" i="4"/>
  <c r="AC406" i="4"/>
  <c r="AC409" i="4"/>
  <c r="AC410" i="4"/>
  <c r="AC411" i="4"/>
  <c r="AC401" i="4"/>
  <c r="AC245" i="4"/>
  <c r="AD24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6" i="4"/>
  <c r="AD288" i="4"/>
  <c r="AD4" i="4"/>
  <c r="AD5" i="4"/>
  <c r="AD204" i="4"/>
  <c r="AD6" i="4"/>
  <c r="AD130" i="4"/>
  <c r="AD132" i="4"/>
  <c r="AD133" i="4"/>
  <c r="AD277" i="4"/>
  <c r="AD128" i="4"/>
  <c r="AD129" i="4"/>
  <c r="AD253" i="4"/>
  <c r="AD59" i="4"/>
  <c r="AD105" i="4"/>
  <c r="AD120" i="4"/>
  <c r="AD14" i="4"/>
  <c r="AD233" i="4"/>
  <c r="AD265" i="4"/>
  <c r="AD266" i="4"/>
  <c r="AD239" i="4"/>
  <c r="AD241" i="4"/>
  <c r="AD242" i="4"/>
  <c r="AD267" i="4"/>
  <c r="AD244" i="4"/>
  <c r="AD268" i="4"/>
  <c r="AD247" i="4"/>
  <c r="AD269" i="4"/>
  <c r="AD270" i="4"/>
  <c r="AD271" i="4"/>
  <c r="AD272" i="4"/>
  <c r="AD273" i="4"/>
  <c r="AD151" i="4"/>
  <c r="AD2" i="4"/>
  <c r="AD295" i="4"/>
  <c r="AD287" i="4"/>
  <c r="AD263" i="4"/>
  <c r="AD238" i="4"/>
  <c r="AD240" i="4"/>
  <c r="AD243" i="4"/>
  <c r="AD64" i="4"/>
  <c r="AD65" i="4"/>
  <c r="AD203" i="4"/>
  <c r="AD274" i="4"/>
  <c r="AD153" i="4"/>
  <c r="AD125" i="4"/>
  <c r="AD190" i="4"/>
  <c r="AD249" i="4"/>
  <c r="AD73" i="4"/>
  <c r="AD213" i="4"/>
  <c r="AD110" i="4"/>
  <c r="AD47" i="4"/>
  <c r="AD85" i="4"/>
  <c r="AD86" i="4"/>
  <c r="AD255" i="4"/>
  <c r="AD281" i="4"/>
  <c r="AD256" i="4"/>
  <c r="AD290" i="4"/>
  <c r="AD291" i="4"/>
  <c r="AD113" i="4"/>
  <c r="AD134" i="4"/>
  <c r="AD135" i="4"/>
  <c r="AD176" i="4"/>
  <c r="AD177" i="4"/>
  <c r="AD137" i="4"/>
  <c r="AD138" i="4"/>
  <c r="AD139" i="4"/>
  <c r="AD140" i="4"/>
  <c r="AD258" i="4"/>
  <c r="AD98" i="4"/>
  <c r="AD115" i="4"/>
  <c r="AD116" i="4"/>
  <c r="AD117" i="4"/>
  <c r="AD142" i="4"/>
  <c r="AD118" i="4"/>
  <c r="AD27" i="4"/>
  <c r="AD143" i="4"/>
  <c r="AD144" i="4"/>
  <c r="AD28" i="4"/>
  <c r="AD145" i="4"/>
  <c r="AD285" i="4"/>
  <c r="AD183" i="4"/>
  <c r="AD102" i="4"/>
  <c r="AD103" i="4"/>
  <c r="AD104" i="4"/>
  <c r="AD29" i="4"/>
  <c r="AD58" i="4"/>
  <c r="AD30" i="4"/>
  <c r="AD13" i="4"/>
  <c r="AD264" i="4"/>
  <c r="AD32" i="4"/>
  <c r="AD33" i="4"/>
  <c r="AD34" i="4"/>
  <c r="AD35" i="4"/>
  <c r="AD36" i="4"/>
  <c r="AD37" i="4"/>
  <c r="AD60" i="4"/>
  <c r="AD61" i="4"/>
  <c r="AD62" i="4"/>
  <c r="AD15" i="4"/>
  <c r="AD106" i="4"/>
  <c r="AD107" i="4"/>
  <c r="AD38" i="4"/>
  <c r="AD39" i="4"/>
  <c r="AD40" i="4"/>
  <c r="AD63" i="4"/>
  <c r="AD234" i="4"/>
  <c r="AD235" i="4"/>
  <c r="AD219" i="4"/>
  <c r="AD236" i="4"/>
  <c r="AD237" i="4"/>
  <c r="AD202" i="4"/>
  <c r="AD186" i="4"/>
  <c r="AD187" i="4"/>
  <c r="AD188" i="4"/>
  <c r="AD150" i="4"/>
  <c r="AD246" i="4"/>
  <c r="AD189" i="4"/>
  <c r="AD121" i="4"/>
  <c r="AD41" i="4"/>
  <c r="AD276" i="4"/>
  <c r="AD152" i="4"/>
  <c r="AD16" i="4"/>
  <c r="AD8" i="4"/>
  <c r="AD9" i="4"/>
  <c r="AD210" i="4"/>
  <c r="AD220" i="4"/>
  <c r="AD221" i="4"/>
  <c r="AD122" i="4"/>
  <c r="AD123" i="4"/>
  <c r="AD124" i="4"/>
  <c r="AD154" i="4"/>
  <c r="AD211" i="4"/>
  <c r="AD108" i="4"/>
  <c r="AD69" i="4"/>
  <c r="AD296" i="4"/>
  <c r="AD127" i="4"/>
  <c r="AD191" i="4"/>
  <c r="AD70" i="4"/>
  <c r="AD248" i="4"/>
  <c r="AD250" i="4"/>
  <c r="AD289" i="4"/>
  <c r="AD192" i="4"/>
  <c r="AD222" i="4"/>
  <c r="AD251" i="4"/>
  <c r="AD74" i="4"/>
  <c r="AD20" i="4"/>
  <c r="AD75" i="4"/>
  <c r="AD278" i="4"/>
  <c r="AD43" i="4"/>
  <c r="AD212" i="4"/>
  <c r="AD77" i="4"/>
  <c r="AD223" i="4"/>
  <c r="AD158" i="4"/>
  <c r="AD252" i="4"/>
  <c r="AD10" i="4"/>
  <c r="AD159" i="4"/>
  <c r="AD21" i="4"/>
  <c r="AD160" i="4"/>
  <c r="AD44" i="4"/>
  <c r="AD45" i="4"/>
  <c r="AD11" i="4"/>
  <c r="AD254" i="4"/>
  <c r="AD193" i="4"/>
  <c r="AD194" i="4"/>
  <c r="AD279" i="4"/>
  <c r="AD280" i="4"/>
  <c r="AD46" i="4"/>
  <c r="AD80" i="4"/>
  <c r="AD81" i="4"/>
  <c r="AD215" i="4"/>
  <c r="AD7" i="4"/>
  <c r="AD111" i="4"/>
  <c r="AD112" i="4"/>
  <c r="AD24" i="4"/>
  <c r="AD25" i="4"/>
  <c r="AD131" i="4"/>
  <c r="AD165" i="4"/>
  <c r="AD166" i="4"/>
  <c r="AD167" i="4"/>
  <c r="AD168" i="4"/>
  <c r="AD169" i="4"/>
  <c r="AD170" i="4"/>
  <c r="AD171" i="4"/>
  <c r="AD195" i="4"/>
  <c r="AD207" i="4"/>
  <c r="AD208" i="4"/>
  <c r="AD136" i="4"/>
  <c r="AD172" i="4"/>
  <c r="AD173" i="4"/>
  <c r="AD174" i="4"/>
  <c r="AD175" i="4"/>
  <c r="AD298" i="4"/>
  <c r="AD196" i="4"/>
  <c r="AD88" i="4"/>
  <c r="AD89" i="4"/>
  <c r="AD90" i="4"/>
  <c r="AD91" i="4"/>
  <c r="AD92" i="4"/>
  <c r="AD93" i="4"/>
  <c r="AD95" i="4"/>
  <c r="AD96" i="4"/>
  <c r="AD216" i="4"/>
  <c r="AD217" i="4"/>
  <c r="AD218" i="4"/>
  <c r="AD228" i="4"/>
  <c r="AD97" i="4"/>
  <c r="AD292" i="4"/>
  <c r="AD229" i="4"/>
  <c r="AD230" i="4"/>
  <c r="AD257" i="4"/>
  <c r="AD141" i="4"/>
  <c r="AD297" i="4"/>
  <c r="AD259" i="4"/>
  <c r="AD260" i="4"/>
  <c r="AD261" i="4"/>
  <c r="AD197" i="4"/>
  <c r="AD178" i="4"/>
  <c r="AD179" i="4"/>
  <c r="AD180" i="4"/>
  <c r="AD199" i="4"/>
  <c r="AD181" i="4"/>
  <c r="AD294" i="4"/>
  <c r="AD231" i="4"/>
  <c r="AD209" i="4"/>
  <c r="AD283" i="4"/>
  <c r="AD284" i="4"/>
  <c r="AD51" i="4"/>
  <c r="AD52" i="4"/>
  <c r="AD53" i="4"/>
  <c r="AD54" i="4"/>
  <c r="AD55" i="4"/>
  <c r="AD56" i="4"/>
  <c r="AD57" i="4"/>
  <c r="AD99" i="4"/>
  <c r="AD184" i="4"/>
  <c r="AD185" i="4"/>
  <c r="AD101" i="4"/>
  <c r="AD146" i="4"/>
  <c r="AD119" i="4"/>
  <c r="AD147" i="4"/>
  <c r="AD31" i="4"/>
  <c r="AD148" i="4"/>
  <c r="AD66" i="4"/>
  <c r="AD155" i="4"/>
  <c r="AD156" i="4"/>
  <c r="AD71" i="4"/>
  <c r="AD109" i="4"/>
  <c r="AD79" i="4"/>
  <c r="AD23" i="4"/>
  <c r="AD205" i="4"/>
  <c r="AD206" i="4"/>
  <c r="AD94" i="4"/>
  <c r="AD182" i="4"/>
  <c r="AD157" i="4"/>
  <c r="AD42" i="4"/>
  <c r="AD224" i="4"/>
  <c r="AD78" i="4"/>
  <c r="AD225" i="4"/>
  <c r="AD226" i="4"/>
  <c r="AD227" i="4"/>
  <c r="AD200" i="4"/>
  <c r="AD201" i="4"/>
  <c r="AD18" i="4"/>
  <c r="AD72" i="4"/>
  <c r="AD3" i="4"/>
  <c r="AD19" i="4"/>
  <c r="AD76" i="4"/>
  <c r="AD214" i="4"/>
  <c r="AD12" i="4"/>
  <c r="AD293" i="4"/>
  <c r="AD114" i="4"/>
  <c r="AD286" i="4"/>
  <c r="AD275" i="4"/>
  <c r="AD162" i="4"/>
  <c r="AD48" i="4"/>
  <c r="AD149" i="4"/>
  <c r="AD161" i="4"/>
  <c r="AD163" i="4"/>
  <c r="AD164" i="4"/>
  <c r="AD198" i="4"/>
  <c r="AD68" i="4"/>
  <c r="AD82" i="4"/>
  <c r="AD83" i="4"/>
  <c r="AD84" i="4"/>
  <c r="AD87" i="4"/>
  <c r="AD49" i="4"/>
  <c r="AD50" i="4"/>
  <c r="AD100" i="4"/>
  <c r="AD126" i="4"/>
  <c r="AD22" i="4"/>
  <c r="AD17" i="4"/>
  <c r="AD307" i="4"/>
  <c r="AD306" i="4"/>
  <c r="AD304" i="4"/>
  <c r="AD305" i="4"/>
  <c r="AD300" i="4"/>
  <c r="AD301" i="4"/>
  <c r="AD299" i="4"/>
  <c r="AD302" i="4"/>
  <c r="AD303" i="4"/>
  <c r="AD310" i="4"/>
  <c r="AD311" i="4"/>
  <c r="AD312" i="4"/>
  <c r="AD313" i="4"/>
  <c r="AD308" i="4"/>
  <c r="AD314" i="4"/>
  <c r="AD335" i="4"/>
  <c r="AD336" i="4"/>
  <c r="AD318" i="4"/>
  <c r="AD315" i="4"/>
  <c r="AD319" i="4"/>
  <c r="AD320" i="4"/>
  <c r="AD321" i="4"/>
  <c r="AD347" i="4"/>
  <c r="AD326" i="4"/>
  <c r="AD327" i="4"/>
  <c r="AD328" i="4"/>
  <c r="AD329" i="4"/>
  <c r="AD341" i="4"/>
  <c r="AD331" i="4"/>
  <c r="AD332" i="4"/>
  <c r="AD333" i="4"/>
  <c r="AD343" i="4"/>
  <c r="AD344" i="4"/>
  <c r="AD345" i="4"/>
  <c r="AD342" i="4"/>
  <c r="AD322" i="4"/>
  <c r="AD317" i="4"/>
  <c r="AD323" i="4"/>
  <c r="AD330" i="4"/>
  <c r="AD325" i="4"/>
  <c r="AD334" i="4"/>
  <c r="AD324" i="4"/>
  <c r="AD338" i="4"/>
  <c r="AD337" i="4"/>
  <c r="AD316" i="4"/>
  <c r="AD339" i="4"/>
  <c r="AD340" i="4"/>
  <c r="AD346" i="4"/>
  <c r="AD350" i="4"/>
  <c r="AD361" i="4"/>
  <c r="AD362" i="4"/>
  <c r="AD368" i="4"/>
  <c r="AD363" i="4"/>
  <c r="AD369" i="4"/>
  <c r="AD351" i="4"/>
  <c r="AD348" i="4"/>
  <c r="AD358" i="4"/>
  <c r="AD359" i="4"/>
  <c r="AD364" i="4"/>
  <c r="AD349" i="4"/>
  <c r="AD365" i="4"/>
  <c r="AD366" i="4"/>
  <c r="AD367" i="4"/>
  <c r="AD360" i="4"/>
  <c r="AD352" i="4"/>
  <c r="AD353" i="4"/>
  <c r="AD354" i="4"/>
  <c r="AD355" i="4"/>
  <c r="AD356" i="4"/>
  <c r="AD357" i="4"/>
  <c r="AD371" i="4"/>
  <c r="AD377" i="4"/>
  <c r="AD378" i="4"/>
  <c r="AD379" i="4"/>
  <c r="AD373" i="4"/>
  <c r="AD370" i="4"/>
  <c r="AD376" i="4"/>
  <c r="AD381" i="4"/>
  <c r="AD374" i="4"/>
  <c r="AD375" i="4"/>
  <c r="AD372" i="4"/>
  <c r="AD383" i="4"/>
  <c r="AD385" i="4"/>
  <c r="AD386" i="4"/>
  <c r="AD384" i="4"/>
  <c r="AD382" i="4"/>
  <c r="AD390" i="4"/>
  <c r="AD395" i="4"/>
  <c r="AD408" i="4"/>
  <c r="AD397" i="4"/>
  <c r="AD398" i="4"/>
  <c r="AD399" i="4"/>
  <c r="AD400" i="4"/>
  <c r="AD403" i="4"/>
  <c r="AD387" i="4"/>
  <c r="AD404" i="4"/>
  <c r="AD405" i="4"/>
  <c r="AD407" i="4"/>
  <c r="AD396" i="4"/>
  <c r="AD388" i="4"/>
  <c r="AD389" i="4"/>
  <c r="AD391" i="4"/>
  <c r="AD392" i="4"/>
  <c r="AD393" i="4"/>
  <c r="AD402" i="4"/>
  <c r="AD394" i="4"/>
  <c r="AD406" i="4"/>
  <c r="AD409" i="4"/>
  <c r="AD410" i="4"/>
  <c r="AD411" i="4"/>
  <c r="AD401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66" i="4"/>
  <c r="AE58" i="4"/>
  <c r="AE59" i="4"/>
  <c r="AE60" i="4"/>
  <c r="AE61" i="4"/>
  <c r="AE62" i="4"/>
  <c r="AE63" i="4"/>
  <c r="AE64" i="4"/>
  <c r="AE65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81" i="4"/>
  <c r="AE182" i="4"/>
  <c r="AE183" i="4"/>
  <c r="AE184" i="4"/>
  <c r="AE185" i="4"/>
  <c r="AE178" i="4"/>
  <c r="AE179" i="4"/>
  <c r="AE180" i="4"/>
  <c r="AE186" i="4"/>
  <c r="AE187" i="4"/>
  <c r="AE188" i="4"/>
  <c r="AE189" i="4"/>
  <c r="AE190" i="4"/>
  <c r="AE191" i="4"/>
  <c r="AE192" i="4"/>
  <c r="AE193" i="4"/>
  <c r="AE194" i="4"/>
  <c r="AE195" i="4"/>
  <c r="AE196" i="4"/>
  <c r="AE198" i="4"/>
  <c r="AE199" i="4"/>
  <c r="AE200" i="4"/>
  <c r="AE201" i="4"/>
  <c r="AE197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3" i="4"/>
  <c r="AE234" i="4"/>
  <c r="AE235" i="4"/>
  <c r="AE236" i="4"/>
  <c r="AE237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3" i="4"/>
  <c r="AE238" i="4"/>
  <c r="AE239" i="4"/>
  <c r="AE240" i="4"/>
  <c r="AE241" i="4"/>
  <c r="AE242" i="4"/>
  <c r="AE243" i="4"/>
  <c r="AE244" i="4"/>
  <c r="AE264" i="4"/>
  <c r="AE265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3" i="4"/>
  <c r="AE284" i="4"/>
  <c r="AE285" i="4"/>
  <c r="AE286" i="4"/>
  <c r="AE287" i="4"/>
  <c r="AE266" i="4"/>
  <c r="AE267" i="4"/>
  <c r="AE268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10" i="4"/>
  <c r="AE311" i="4"/>
  <c r="AE312" i="4"/>
  <c r="AE313" i="4"/>
  <c r="AE314" i="4"/>
  <c r="AE315" i="4"/>
  <c r="AE317" i="4"/>
  <c r="AE318" i="4"/>
  <c r="AE319" i="4"/>
  <c r="AE320" i="4"/>
  <c r="AE321" i="4"/>
  <c r="AE322" i="4"/>
  <c r="AE323" i="4"/>
  <c r="AE324" i="4"/>
  <c r="AE326" i="4"/>
  <c r="AE327" i="4"/>
  <c r="AE328" i="4"/>
  <c r="AE329" i="4"/>
  <c r="AE330" i="4"/>
  <c r="AE331" i="4"/>
  <c r="AE332" i="4"/>
  <c r="AE333" i="4"/>
  <c r="AE325" i="4"/>
  <c r="AE334" i="4"/>
  <c r="AE335" i="4"/>
  <c r="AE336" i="4"/>
  <c r="AE337" i="4"/>
  <c r="AE316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60" i="4"/>
  <c r="AE356" i="4"/>
  <c r="AE357" i="4"/>
  <c r="AE358" i="4"/>
  <c r="AE359" i="4"/>
  <c r="AE361" i="4"/>
  <c r="AE362" i="4"/>
  <c r="AE363" i="4"/>
  <c r="AE368" i="4"/>
  <c r="AE369" i="4"/>
  <c r="AE364" i="4"/>
  <c r="AE365" i="4"/>
  <c r="AE366" i="4"/>
  <c r="AE367" i="4"/>
  <c r="AE370" i="4"/>
  <c r="AE371" i="4"/>
  <c r="AE372" i="4"/>
  <c r="AE373" i="4"/>
  <c r="AE374" i="4"/>
  <c r="AE375" i="4"/>
  <c r="AE376" i="4"/>
  <c r="AE377" i="4"/>
  <c r="AE378" i="4"/>
  <c r="AE379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6" i="4"/>
  <c r="AG382" i="4"/>
  <c r="AG384" i="4"/>
  <c r="AG383" i="4"/>
  <c r="AG396" i="4"/>
  <c r="AG388" i="4"/>
  <c r="AG389" i="4"/>
  <c r="AG390" i="4"/>
  <c r="AG397" i="4"/>
  <c r="AG398" i="4"/>
  <c r="AG399" i="4"/>
  <c r="AG400" i="4"/>
  <c r="AG401" i="4"/>
  <c r="AG391" i="4"/>
  <c r="AG392" i="4"/>
  <c r="AG393" i="4"/>
  <c r="AG402" i="4"/>
  <c r="AG403" i="4"/>
  <c r="AG387" i="4"/>
  <c r="AG404" i="4"/>
  <c r="AG405" i="4"/>
  <c r="AG394" i="4"/>
  <c r="AG395" i="4"/>
  <c r="AG406" i="4"/>
  <c r="AG407" i="4"/>
  <c r="AG408" i="4"/>
  <c r="AG409" i="4"/>
  <c r="AG410" i="4"/>
  <c r="AG411" i="4"/>
  <c r="AJ304" i="4"/>
  <c r="AJ305" i="4"/>
  <c r="AJ306" i="4"/>
  <c r="AJ307" i="4"/>
  <c r="AJ300" i="4"/>
  <c r="AJ310" i="4"/>
  <c r="AJ311" i="4"/>
  <c r="AJ312" i="4"/>
  <c r="AJ313" i="4"/>
  <c r="AJ301" i="4"/>
  <c r="AJ314" i="4"/>
  <c r="AJ308" i="4"/>
  <c r="AJ299" i="4"/>
  <c r="AJ302" i="4"/>
  <c r="AJ303" i="4"/>
  <c r="AJ343" i="4"/>
  <c r="AJ344" i="4"/>
  <c r="AJ345" i="4"/>
  <c r="AJ335" i="4"/>
  <c r="AJ336" i="4"/>
  <c r="AJ318" i="4"/>
  <c r="AJ315" i="4"/>
  <c r="AJ319" i="4"/>
  <c r="AJ320" i="4"/>
  <c r="AJ321" i="4"/>
  <c r="AJ347" i="4"/>
  <c r="AJ337" i="4"/>
  <c r="AJ316" i="4"/>
  <c r="AJ338" i="4"/>
  <c r="AJ339" i="4"/>
  <c r="AJ340" i="4"/>
  <c r="AJ342" i="4"/>
  <c r="AJ322" i="4"/>
  <c r="AJ317" i="4"/>
  <c r="AJ323" i="4"/>
  <c r="AJ346" i="4"/>
  <c r="AJ326" i="4"/>
  <c r="AJ327" i="4"/>
  <c r="AJ328" i="4"/>
  <c r="AJ329" i="4"/>
  <c r="AJ341" i="4"/>
  <c r="AJ331" i="4"/>
  <c r="AJ332" i="4"/>
  <c r="AJ333" i="4"/>
  <c r="AJ325" i="4"/>
  <c r="AJ334" i="4"/>
  <c r="AJ324" i="4"/>
  <c r="AJ330" i="4"/>
  <c r="AJ350" i="4"/>
  <c r="AJ356" i="4"/>
  <c r="AJ357" i="4"/>
  <c r="AJ355" i="4"/>
  <c r="AJ361" i="4"/>
  <c r="AJ362" i="4"/>
  <c r="AJ368" i="4"/>
  <c r="AJ363" i="4"/>
  <c r="AJ369" i="4"/>
  <c r="AJ351" i="4"/>
  <c r="AJ348" i="4"/>
  <c r="AJ358" i="4"/>
  <c r="AJ359" i="4"/>
  <c r="AJ364" i="4"/>
  <c r="AJ349" i="4"/>
  <c r="AJ365" i="4"/>
  <c r="AJ366" i="4"/>
  <c r="AJ367" i="4"/>
  <c r="AJ360" i="4"/>
  <c r="AJ352" i="4"/>
  <c r="AJ353" i="4"/>
  <c r="AJ354" i="4"/>
  <c r="AJ379" i="4"/>
  <c r="AJ377" i="4"/>
  <c r="AJ373" i="4"/>
  <c r="AJ374" i="4"/>
  <c r="AJ370" i="4"/>
  <c r="AJ371" i="4"/>
  <c r="AJ375" i="4"/>
  <c r="AJ376" i="4"/>
  <c r="AJ372" i="4"/>
  <c r="AJ378" i="4"/>
  <c r="AJ381" i="4"/>
  <c r="AJ385" i="4"/>
  <c r="AJ386" i="4"/>
  <c r="AJ382" i="4"/>
  <c r="AJ384" i="4"/>
  <c r="AJ383" i="4"/>
  <c r="AJ396" i="4"/>
  <c r="AJ388" i="4"/>
  <c r="AJ389" i="4"/>
  <c r="AJ390" i="4"/>
  <c r="AJ397" i="4"/>
  <c r="AJ398" i="4"/>
  <c r="AJ399" i="4"/>
  <c r="AJ400" i="4"/>
  <c r="AJ401" i="4"/>
  <c r="AJ391" i="4"/>
  <c r="AJ392" i="4"/>
  <c r="AJ393" i="4"/>
  <c r="AJ402" i="4"/>
  <c r="AJ403" i="4"/>
  <c r="AJ387" i="4"/>
  <c r="AJ404" i="4"/>
  <c r="AJ405" i="4"/>
  <c r="AJ394" i="4"/>
  <c r="AJ395" i="4"/>
  <c r="AJ406" i="4"/>
  <c r="AJ407" i="4"/>
  <c r="AJ408" i="4"/>
  <c r="AJ409" i="4"/>
  <c r="AJ410" i="4"/>
  <c r="AJ411" i="4"/>
  <c r="AG30" i="4"/>
  <c r="AG61" i="4"/>
  <c r="AG62" i="4"/>
  <c r="AG38" i="4"/>
  <c r="AG39" i="4"/>
  <c r="AG40" i="4"/>
  <c r="AG63" i="4"/>
  <c r="AG203" i="4"/>
  <c r="AG274" i="4"/>
  <c r="AG69" i="4"/>
  <c r="AG159" i="4"/>
  <c r="AG80" i="4"/>
  <c r="AG49" i="4"/>
  <c r="AG50" i="4"/>
  <c r="AG51" i="4"/>
  <c r="AG32" i="4"/>
  <c r="AG33" i="4"/>
  <c r="AG36" i="4"/>
  <c r="AG46" i="4"/>
  <c r="AG70" i="4"/>
  <c r="AG75" i="4"/>
  <c r="AG18" i="4"/>
  <c r="AG42" i="4"/>
  <c r="AG64" i="4"/>
  <c r="AG65" i="4"/>
  <c r="AG128" i="4"/>
  <c r="AG5" i="4"/>
  <c r="AG47" i="4"/>
  <c r="AG85" i="4"/>
  <c r="AG86" i="4"/>
  <c r="AG34" i="4"/>
  <c r="AG35" i="4"/>
  <c r="AG37" i="4"/>
  <c r="AG81" i="4"/>
  <c r="AG110" i="4"/>
  <c r="AG66" i="4"/>
  <c r="AG106" i="4"/>
  <c r="AG107" i="4"/>
  <c r="AG41" i="4"/>
  <c r="AG43" i="4"/>
  <c r="AG78" i="4"/>
  <c r="AG3" i="4"/>
  <c r="AG160" i="4"/>
  <c r="AG22" i="4"/>
  <c r="AG90" i="4"/>
  <c r="AG91" i="4"/>
  <c r="AG93" i="4"/>
  <c r="AG94" i="4"/>
  <c r="AG95" i="4"/>
  <c r="AG96" i="4"/>
  <c r="AG88" i="4"/>
  <c r="AG89" i="4"/>
  <c r="AG92" i="4"/>
  <c r="AG102" i="4"/>
  <c r="AG103" i="4"/>
  <c r="AG104" i="4"/>
  <c r="AG29" i="4"/>
  <c r="AG58" i="4"/>
  <c r="AG31" i="4"/>
  <c r="AG13" i="4"/>
  <c r="AG148" i="4"/>
  <c r="AG60" i="4"/>
  <c r="AG15" i="4"/>
  <c r="AG2" i="4"/>
  <c r="AG19" i="4"/>
  <c r="AG114" i="4"/>
  <c r="AG52" i="4"/>
  <c r="AG53" i="4"/>
  <c r="AG54" i="4"/>
  <c r="AG55" i="4"/>
  <c r="AG56" i="4"/>
  <c r="AG57" i="4"/>
  <c r="AG4" i="4"/>
  <c r="AG6" i="4"/>
  <c r="AG115" i="4"/>
  <c r="AG116" i="4"/>
  <c r="AG117" i="4"/>
  <c r="AG142" i="4"/>
  <c r="AG118" i="4"/>
  <c r="AG149" i="4"/>
  <c r="AG161" i="4"/>
  <c r="AG162" i="4"/>
  <c r="AG164" i="4"/>
  <c r="AG59" i="4"/>
  <c r="AG105" i="4"/>
  <c r="AG120" i="4"/>
  <c r="AG14" i="4"/>
  <c r="AG68" i="4"/>
  <c r="AG83" i="4"/>
  <c r="AG87" i="4"/>
  <c r="AG163" i="4"/>
  <c r="AG293" i="4"/>
  <c r="AG100" i="4"/>
  <c r="AG146" i="4"/>
  <c r="AG119" i="4"/>
  <c r="AG147" i="4"/>
  <c r="AG71" i="4"/>
  <c r="AG76" i="4"/>
  <c r="AG79" i="4"/>
  <c r="AG84" i="4"/>
  <c r="AG123" i="4"/>
  <c r="AG124" i="4"/>
  <c r="AG190" i="4"/>
  <c r="AG277" i="4"/>
  <c r="AG215" i="4"/>
  <c r="AG111" i="4"/>
  <c r="AG134" i="4"/>
  <c r="AG140" i="4"/>
  <c r="AG144" i="4"/>
  <c r="AG145" i="4"/>
  <c r="AG99" i="4"/>
  <c r="AG183" i="4"/>
  <c r="AG101" i="4"/>
  <c r="AG275" i="4"/>
  <c r="AG276" i="4"/>
  <c r="AG153" i="4"/>
  <c r="AG122" i="4"/>
  <c r="AG155" i="4"/>
  <c r="AG213" i="4"/>
  <c r="AG290" i="4"/>
  <c r="AG23" i="4"/>
  <c r="AG130" i="4"/>
  <c r="AG132" i="4"/>
  <c r="AG133" i="4"/>
  <c r="AG166" i="4"/>
  <c r="AG137" i="4"/>
  <c r="AG218" i="4"/>
  <c r="AG186" i="4"/>
  <c r="AG125" i="4"/>
  <c r="AG138" i="4"/>
  <c r="AG139" i="4"/>
  <c r="AG27" i="4"/>
  <c r="AG143" i="4"/>
  <c r="AG184" i="4"/>
  <c r="AG185" i="4"/>
  <c r="AG112" i="4"/>
  <c r="AG135" i="4"/>
  <c r="AG176" i="4"/>
  <c r="AG177" i="4"/>
  <c r="AG199" i="4"/>
  <c r="AG98" i="4"/>
  <c r="AG28" i="4"/>
  <c r="AG8" i="4"/>
  <c r="AG9" i="4"/>
  <c r="AG289" i="4"/>
  <c r="AG129" i="4"/>
  <c r="AG204" i="4"/>
  <c r="AG10" i="4"/>
  <c r="AG253" i="4"/>
  <c r="AG255" i="4"/>
  <c r="AG281" i="4"/>
  <c r="AG256" i="4"/>
  <c r="AG24" i="4"/>
  <c r="AG141" i="4"/>
  <c r="AG197" i="4"/>
  <c r="AG178" i="4"/>
  <c r="AG179" i="4"/>
  <c r="AG180" i="4"/>
  <c r="AG202" i="4"/>
  <c r="AG150" i="4"/>
  <c r="AG152" i="4"/>
  <c r="AG154" i="4"/>
  <c r="AG126" i="4"/>
  <c r="AG157" i="4"/>
  <c r="AG72" i="4"/>
  <c r="AG74" i="4"/>
  <c r="AG20" i="4"/>
  <c r="AG158" i="4"/>
  <c r="AG21" i="4"/>
  <c r="AG44" i="4"/>
  <c r="AG45" i="4"/>
  <c r="AG11" i="4"/>
  <c r="AG193" i="4"/>
  <c r="AG167" i="4"/>
  <c r="AG168" i="4"/>
  <c r="AG169" i="4"/>
  <c r="AG170" i="4"/>
  <c r="AG171" i="4"/>
  <c r="AG195" i="4"/>
  <c r="AG207" i="4"/>
  <c r="AG208" i="4"/>
  <c r="AG136" i="4"/>
  <c r="AG172" i="4"/>
  <c r="AG173" i="4"/>
  <c r="AG174" i="4"/>
  <c r="AG175" i="4"/>
  <c r="AG298" i="4"/>
  <c r="AG216" i="4"/>
  <c r="AG217" i="4"/>
  <c r="AG97" i="4"/>
  <c r="AG200" i="4"/>
  <c r="AG201" i="4"/>
  <c r="AG182" i="4"/>
  <c r="AG209" i="4"/>
  <c r="AG211" i="4"/>
  <c r="AG127" i="4"/>
  <c r="AG191" i="4"/>
  <c r="AG224" i="4"/>
  <c r="AG165" i="4"/>
  <c r="AG205" i="4"/>
  <c r="AG206" i="4"/>
  <c r="AG225" i="4"/>
  <c r="AG226" i="4"/>
  <c r="AG227" i="4"/>
  <c r="AG198" i="4"/>
  <c r="AG12" i="4"/>
  <c r="AG295" i="4"/>
  <c r="AG248" i="4"/>
  <c r="AG223" i="4"/>
  <c r="AG214" i="4"/>
  <c r="AG254" i="4"/>
  <c r="AG259" i="4"/>
  <c r="AG260" i="4"/>
  <c r="AG261" i="4"/>
  <c r="AG181" i="4"/>
  <c r="AG231" i="4"/>
  <c r="AG286" i="4"/>
  <c r="AG288" i="4"/>
  <c r="AG233" i="4"/>
  <c r="AG265" i="4"/>
  <c r="AG238" i="4"/>
  <c r="AG266" i="4"/>
  <c r="AG239" i="4"/>
  <c r="AG240" i="4"/>
  <c r="AG241" i="4"/>
  <c r="AG242" i="4"/>
  <c r="AG243" i="4"/>
  <c r="AG267" i="4"/>
  <c r="AG244" i="4"/>
  <c r="AG268" i="4"/>
  <c r="AG245" i="4"/>
  <c r="AG247" i="4"/>
  <c r="AG269" i="4"/>
  <c r="AG270" i="4"/>
  <c r="AG151" i="4"/>
  <c r="AG108" i="4"/>
  <c r="AG156" i="4"/>
  <c r="AG263" i="4"/>
  <c r="AG264" i="4"/>
  <c r="AG234" i="4"/>
  <c r="AG235" i="4"/>
  <c r="AG219" i="4"/>
  <c r="AG236" i="4"/>
  <c r="AG237" i="4"/>
  <c r="AG187" i="4"/>
  <c r="AG121" i="4"/>
  <c r="AG250" i="4"/>
  <c r="AG192" i="4"/>
  <c r="AG222" i="4"/>
  <c r="AG278" i="4"/>
  <c r="AG77" i="4"/>
  <c r="AG82" i="4"/>
  <c r="AG113" i="4"/>
  <c r="AG26" i="4"/>
  <c r="AG131" i="4"/>
  <c r="AG196" i="4"/>
  <c r="AG283" i="4"/>
  <c r="AG284" i="4"/>
  <c r="AG188" i="4"/>
  <c r="AG271" i="4"/>
  <c r="AG272" i="4"/>
  <c r="AG273" i="4"/>
  <c r="AG210" i="4"/>
  <c r="AG220" i="4"/>
  <c r="AG221" i="4"/>
  <c r="AG291" i="4"/>
  <c r="AG17" i="4"/>
  <c r="AG109" i="4"/>
  <c r="AG287" i="4"/>
  <c r="AG246" i="4"/>
  <c r="AG189" i="4"/>
  <c r="AG296" i="4"/>
  <c r="AG249" i="4"/>
  <c r="AG251" i="4"/>
  <c r="AG73" i="4"/>
  <c r="AG212" i="4"/>
  <c r="AG252" i="4"/>
  <c r="AG194" i="4"/>
  <c r="AG279" i="4"/>
  <c r="AG280" i="4"/>
  <c r="AG7" i="4"/>
  <c r="AG25" i="4"/>
  <c r="AG228" i="4"/>
  <c r="AG292" i="4"/>
  <c r="AG229" i="4"/>
  <c r="AG230" i="4"/>
  <c r="AG257" i="4"/>
  <c r="AG258" i="4"/>
  <c r="AG297" i="4"/>
  <c r="AG48" i="4"/>
  <c r="AG294" i="4"/>
  <c r="AG285" i="4"/>
  <c r="AG304" i="4"/>
  <c r="AG305" i="4"/>
  <c r="AG306" i="4"/>
  <c r="AG307" i="4"/>
  <c r="AG300" i="4"/>
  <c r="AG310" i="4"/>
  <c r="AG311" i="4"/>
  <c r="AG312" i="4"/>
  <c r="AG313" i="4"/>
  <c r="AG301" i="4"/>
  <c r="AG314" i="4"/>
  <c r="AG308" i="4"/>
  <c r="AG299" i="4"/>
  <c r="AG302" i="4"/>
  <c r="AG303" i="4"/>
  <c r="AG343" i="4"/>
  <c r="AG344" i="4"/>
  <c r="AG345" i="4"/>
  <c r="AG335" i="4"/>
  <c r="AG336" i="4"/>
  <c r="AG318" i="4"/>
  <c r="AG315" i="4"/>
  <c r="AG319" i="4"/>
  <c r="AG320" i="4"/>
  <c r="AG321" i="4"/>
  <c r="AG347" i="4"/>
  <c r="AG337" i="4"/>
  <c r="AG316" i="4"/>
  <c r="AG338" i="4"/>
  <c r="AG339" i="4"/>
  <c r="AG340" i="4"/>
  <c r="AG342" i="4"/>
  <c r="AG322" i="4"/>
  <c r="AG317" i="4"/>
  <c r="AG323" i="4"/>
  <c r="AG346" i="4"/>
  <c r="AG326" i="4"/>
  <c r="AG327" i="4"/>
  <c r="AG328" i="4"/>
  <c r="AG329" i="4"/>
  <c r="AG341" i="4"/>
  <c r="AG331" i="4"/>
  <c r="AG332" i="4"/>
  <c r="AG333" i="4"/>
  <c r="AG325" i="4"/>
  <c r="AG334" i="4"/>
  <c r="AG324" i="4"/>
  <c r="AG330" i="4"/>
  <c r="AG350" i="4"/>
  <c r="AG356" i="4"/>
  <c r="AG357" i="4"/>
  <c r="AG355" i="4"/>
  <c r="AG361" i="4"/>
  <c r="AG362" i="4"/>
  <c r="AG368" i="4"/>
  <c r="AG363" i="4"/>
  <c r="AG369" i="4"/>
  <c r="AG351" i="4"/>
  <c r="AG348" i="4"/>
  <c r="AG358" i="4"/>
  <c r="AG359" i="4"/>
  <c r="AG364" i="4"/>
  <c r="AG349" i="4"/>
  <c r="AG365" i="4"/>
  <c r="AG366" i="4"/>
  <c r="AG367" i="4"/>
  <c r="AG360" i="4"/>
  <c r="AG352" i="4"/>
  <c r="AG353" i="4"/>
  <c r="AG354" i="4"/>
  <c r="AG379" i="4"/>
  <c r="AG377" i="4"/>
  <c r="AG373" i="4"/>
  <c r="AG374" i="4"/>
  <c r="AG370" i="4"/>
  <c r="AG371" i="4"/>
  <c r="AG375" i="4"/>
  <c r="AG376" i="4"/>
  <c r="AG372" i="4"/>
  <c r="AG378" i="4"/>
  <c r="AG381" i="4"/>
  <c r="AG1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4" i="2"/>
  <c r="AP73" i="2"/>
  <c r="AP75" i="2"/>
  <c r="AP80" i="2"/>
  <c r="AP77" i="2"/>
  <c r="AP76" i="2"/>
  <c r="AP78" i="2"/>
  <c r="AP79" i="2"/>
  <c r="AP81" i="2"/>
  <c r="AP83" i="2"/>
  <c r="AP82" i="2"/>
  <c r="AP84" i="2"/>
  <c r="AP85" i="2"/>
  <c r="AQ74" i="2"/>
  <c r="AQ73" i="2"/>
  <c r="AQ75" i="2"/>
  <c r="AQ80" i="2"/>
  <c r="AQ77" i="2"/>
  <c r="AQ76" i="2"/>
  <c r="AQ78" i="2"/>
  <c r="AQ79" i="2"/>
  <c r="AQ81" i="2"/>
  <c r="AQ83" i="2"/>
  <c r="AQ82" i="2"/>
  <c r="AQ84" i="2"/>
  <c r="AQ85" i="2"/>
  <c r="AR74" i="2"/>
  <c r="AR73" i="2"/>
  <c r="AR75" i="2"/>
  <c r="AR80" i="2"/>
  <c r="AR77" i="2"/>
  <c r="AR76" i="2"/>
  <c r="AR78" i="2"/>
  <c r="AR79" i="2"/>
  <c r="AR81" i="2"/>
  <c r="AR83" i="2"/>
  <c r="AR82" i="2"/>
  <c r="AR84" i="2"/>
  <c r="AR85" i="2"/>
  <c r="AS74" i="2"/>
  <c r="AS73" i="2"/>
  <c r="AS75" i="2"/>
  <c r="AS80" i="2"/>
  <c r="AS77" i="2"/>
  <c r="AS76" i="2"/>
  <c r="AS78" i="2"/>
  <c r="AS79" i="2"/>
  <c r="AS81" i="2"/>
  <c r="AS83" i="2"/>
  <c r="AS82" i="2"/>
  <c r="AS84" i="2"/>
  <c r="AS85" i="2"/>
  <c r="AT74" i="2"/>
  <c r="AT73" i="2"/>
  <c r="AT75" i="2"/>
  <c r="AT80" i="2"/>
  <c r="AT77" i="2"/>
  <c r="AT76" i="2"/>
  <c r="AT78" i="2"/>
  <c r="AT79" i="2"/>
  <c r="AT81" i="2"/>
  <c r="AT83" i="2"/>
  <c r="AT82" i="2"/>
  <c r="AT84" i="2"/>
  <c r="AT85" i="2"/>
  <c r="AU74" i="2"/>
  <c r="AU73" i="2"/>
  <c r="AU75" i="2"/>
  <c r="AU80" i="2"/>
  <c r="AU77" i="2"/>
  <c r="AU76" i="2"/>
  <c r="AU78" i="2"/>
  <c r="AU79" i="2"/>
  <c r="AU81" i="2"/>
  <c r="AU83" i="2"/>
  <c r="AU82" i="2"/>
  <c r="AU84" i="2"/>
  <c r="AU85" i="2"/>
  <c r="AV74" i="2"/>
  <c r="AV73" i="2"/>
  <c r="AV75" i="2"/>
  <c r="AV80" i="2"/>
  <c r="AV77" i="2"/>
  <c r="AV76" i="2"/>
  <c r="AV78" i="2"/>
  <c r="AV79" i="2"/>
  <c r="AV81" i="2"/>
  <c r="AV83" i="2"/>
  <c r="AV82" i="2"/>
  <c r="AV84" i="2"/>
  <c r="AV85" i="2"/>
  <c r="AW74" i="2"/>
  <c r="AW73" i="2"/>
  <c r="AW75" i="2"/>
  <c r="AW80" i="2"/>
  <c r="AW77" i="2"/>
  <c r="AW76" i="2"/>
  <c r="AW78" i="2"/>
  <c r="AW79" i="2"/>
  <c r="AW81" i="2"/>
  <c r="AW83" i="2"/>
  <c r="AW82" i="2"/>
  <c r="AW84" i="2"/>
  <c r="AW85" i="2"/>
  <c r="AX74" i="2"/>
  <c r="AX73" i="2"/>
  <c r="AX75" i="2"/>
  <c r="AX80" i="2"/>
  <c r="AX77" i="2"/>
  <c r="AX76" i="2"/>
  <c r="AX78" i="2"/>
  <c r="AX79" i="2"/>
  <c r="AX81" i="2"/>
  <c r="AX83" i="2"/>
  <c r="AX82" i="2"/>
  <c r="AX84" i="2"/>
  <c r="AX85" i="2"/>
  <c r="AY74" i="2"/>
  <c r="AY73" i="2"/>
  <c r="AY75" i="2"/>
  <c r="AY80" i="2"/>
  <c r="AY77" i="2"/>
  <c r="AY76" i="2"/>
  <c r="AY78" i="2"/>
  <c r="AY79" i="2"/>
  <c r="AY81" i="2"/>
  <c r="AY83" i="2"/>
  <c r="AY82" i="2"/>
  <c r="AY84" i="2"/>
  <c r="AY85" i="2"/>
  <c r="AZ74" i="2"/>
  <c r="AZ73" i="2"/>
  <c r="AZ75" i="2"/>
  <c r="AZ80" i="2"/>
  <c r="AZ77" i="2"/>
  <c r="AZ76" i="2"/>
  <c r="AZ78" i="2"/>
  <c r="AZ79" i="2"/>
  <c r="AZ81" i="2"/>
  <c r="AZ83" i="2"/>
  <c r="AZ82" i="2"/>
  <c r="AZ84" i="2"/>
  <c r="AZ85" i="2"/>
  <c r="BA74" i="2"/>
  <c r="BA73" i="2"/>
  <c r="BA75" i="2"/>
  <c r="BA80" i="2"/>
  <c r="BA77" i="2"/>
  <c r="BA76" i="2"/>
  <c r="BA78" i="2"/>
  <c r="BA79" i="2"/>
  <c r="BA81" i="2"/>
  <c r="BA83" i="2"/>
  <c r="BA82" i="2"/>
  <c r="BA84" i="2"/>
  <c r="BA85" i="2"/>
  <c r="BB74" i="2"/>
  <c r="BB73" i="2"/>
  <c r="BB75" i="2"/>
  <c r="BB80" i="2"/>
  <c r="BB77" i="2"/>
  <c r="BB76" i="2"/>
  <c r="BB78" i="2"/>
  <c r="BB79" i="2"/>
  <c r="BB81" i="2"/>
  <c r="BB83" i="2"/>
  <c r="BB82" i="2"/>
  <c r="BB84" i="2"/>
  <c r="BB85" i="2"/>
  <c r="BC74" i="2"/>
  <c r="BC73" i="2"/>
  <c r="BC75" i="2"/>
  <c r="BC80" i="2"/>
  <c r="BC77" i="2"/>
  <c r="BC76" i="2"/>
  <c r="BC78" i="2"/>
  <c r="BC79" i="2"/>
  <c r="BC81" i="2"/>
  <c r="BC83" i="2"/>
  <c r="BC82" i="2"/>
  <c r="BC84" i="2"/>
  <c r="BC85" i="2"/>
  <c r="BD74" i="2"/>
  <c r="BD73" i="2"/>
  <c r="BD75" i="2"/>
  <c r="BD80" i="2"/>
  <c r="BD77" i="2"/>
  <c r="BD76" i="2"/>
  <c r="BD78" i="2"/>
  <c r="BD79" i="2"/>
  <c r="BD81" i="2"/>
  <c r="BD83" i="2"/>
  <c r="BD82" i="2"/>
  <c r="BD84" i="2"/>
  <c r="BD85" i="2"/>
  <c r="BE80" i="2"/>
  <c r="BE77" i="2"/>
  <c r="BE76" i="2"/>
  <c r="BE78" i="2"/>
  <c r="BE79" i="2"/>
  <c r="BE81" i="2"/>
  <c r="BE83" i="2"/>
  <c r="BE82" i="2"/>
  <c r="BE84" i="2"/>
  <c r="BF80" i="2"/>
  <c r="BF77" i="2"/>
  <c r="BF76" i="2"/>
  <c r="BF78" i="2"/>
  <c r="BF79" i="2"/>
  <c r="BF81" i="2"/>
  <c r="BF83" i="2"/>
  <c r="BF82" i="2"/>
  <c r="BF84" i="2"/>
  <c r="U30" i="2"/>
  <c r="U41" i="2"/>
  <c r="BG80" i="2"/>
  <c r="U37" i="2"/>
  <c r="U5" i="2"/>
  <c r="U22" i="2"/>
  <c r="U25" i="2"/>
  <c r="U38" i="2"/>
  <c r="U43" i="2"/>
  <c r="BG77" i="2"/>
  <c r="BG76" i="2"/>
  <c r="BG78" i="2"/>
  <c r="BG79" i="2"/>
  <c r="BG81" i="2"/>
  <c r="BG83" i="2"/>
  <c r="BG82" i="2"/>
  <c r="BG84" i="2"/>
  <c r="V41" i="2"/>
  <c r="BH80" i="2"/>
  <c r="V37" i="2"/>
  <c r="V22" i="2"/>
  <c r="V25" i="2"/>
  <c r="V38" i="2"/>
  <c r="V43" i="2"/>
  <c r="BH77" i="2"/>
  <c r="BH76" i="2"/>
  <c r="BH78" i="2"/>
  <c r="BH79" i="2"/>
  <c r="BH81" i="2"/>
  <c r="BH83" i="2"/>
  <c r="BH82" i="2"/>
  <c r="BH84" i="2"/>
  <c r="W41" i="2"/>
  <c r="BI80" i="2"/>
  <c r="W37" i="2"/>
  <c r="W5" i="2"/>
  <c r="W38" i="2"/>
  <c r="BI77" i="2"/>
  <c r="BI76" i="2"/>
  <c r="BI78" i="2"/>
  <c r="BI79" i="2"/>
  <c r="BI81" i="2"/>
  <c r="BI83" i="2"/>
  <c r="BI82" i="2"/>
  <c r="BI84" i="2"/>
  <c r="BJ80" i="2"/>
  <c r="BJ77" i="2"/>
  <c r="BJ76" i="2"/>
  <c r="BJ78" i="2"/>
  <c r="BJ79" i="2"/>
  <c r="BJ81" i="2"/>
  <c r="BJ83" i="2"/>
  <c r="BJ82" i="2"/>
  <c r="BJ84" i="2"/>
  <c r="BK80" i="2"/>
  <c r="BK77" i="2"/>
  <c r="BK76" i="2"/>
  <c r="BK78" i="2"/>
  <c r="BK79" i="2"/>
  <c r="BK81" i="2"/>
  <c r="BK83" i="2"/>
  <c r="BK82" i="2"/>
  <c r="BK84" i="2"/>
  <c r="BL80" i="2"/>
  <c r="BL77" i="2"/>
  <c r="BL76" i="2"/>
  <c r="BL78" i="2"/>
  <c r="BL79" i="2"/>
  <c r="BL81" i="2"/>
  <c r="BL83" i="2"/>
  <c r="BL82" i="2"/>
  <c r="BL84" i="2"/>
  <c r="AO74" i="2"/>
  <c r="AO73" i="2"/>
  <c r="AO75" i="2"/>
  <c r="AO80" i="2"/>
  <c r="AO77" i="2"/>
  <c r="AO76" i="2"/>
  <c r="AO78" i="2"/>
  <c r="AO79" i="2"/>
  <c r="AO81" i="2"/>
  <c r="AO83" i="2"/>
  <c r="AO82" i="2"/>
  <c r="AO84" i="2"/>
  <c r="AO85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8" i="4"/>
  <c r="AA233" i="4"/>
  <c r="AA264" i="4"/>
  <c r="AA265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4" i="4"/>
  <c r="AA235" i="4"/>
  <c r="AA219" i="4"/>
  <c r="AA236" i="4"/>
  <c r="AA237" i="4"/>
  <c r="AA202" i="4"/>
  <c r="AA186" i="4"/>
  <c r="AA187" i="4"/>
  <c r="AA188" i="4"/>
  <c r="AA150" i="4"/>
  <c r="AA238" i="4"/>
  <c r="AA266" i="4"/>
  <c r="AA239" i="4"/>
  <c r="AA240" i="4"/>
  <c r="AA241" i="4"/>
  <c r="AA242" i="4"/>
  <c r="AA243" i="4"/>
  <c r="AA267" i="4"/>
  <c r="AA244" i="4"/>
  <c r="AA268" i="4"/>
  <c r="AA245" i="4"/>
  <c r="AA246" i="4"/>
  <c r="AA189" i="4"/>
  <c r="AA121" i="4"/>
  <c r="AA64" i="4"/>
  <c r="AA65" i="4"/>
  <c r="AA247" i="4"/>
  <c r="AA269" i="4"/>
  <c r="AA270" i="4"/>
  <c r="AA271" i="4"/>
  <c r="AA272" i="4"/>
  <c r="AA273" i="4"/>
  <c r="AA151" i="4"/>
  <c r="AA203" i="4"/>
  <c r="AA41" i="4"/>
  <c r="AA66" i="4"/>
  <c r="AA274" i="4"/>
  <c r="AA275" i="4"/>
  <c r="AA276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6" i="4"/>
  <c r="AA126" i="4"/>
  <c r="AA155" i="4"/>
  <c r="AA190" i="4"/>
  <c r="AA156" i="4"/>
  <c r="AA277" i="4"/>
  <c r="AA2" i="4"/>
  <c r="AA17" i="4"/>
  <c r="AA157" i="4"/>
  <c r="AA127" i="4"/>
  <c r="AA191" i="4"/>
  <c r="AA18" i="4"/>
  <c r="AA70" i="4"/>
  <c r="AA19" i="4"/>
  <c r="AA42" i="4"/>
  <c r="AA248" i="4"/>
  <c r="AA71" i="4"/>
  <c r="AA249" i="4"/>
  <c r="AA72" i="4"/>
  <c r="AA250" i="4"/>
  <c r="AA289" i="4"/>
  <c r="AA128" i="4"/>
  <c r="AA295" i="4"/>
  <c r="AA192" i="4"/>
  <c r="AA4" i="4"/>
  <c r="AA222" i="4"/>
  <c r="AA251" i="4"/>
  <c r="AA73" i="4"/>
  <c r="AA74" i="4"/>
  <c r="AA129" i="4"/>
  <c r="AA20" i="4"/>
  <c r="AA75" i="4"/>
  <c r="AA278" i="4"/>
  <c r="AA43" i="4"/>
  <c r="AA76" i="4"/>
  <c r="AA5" i="4"/>
  <c r="AA212" i="4"/>
  <c r="AA213" i="4"/>
  <c r="AA77" i="4"/>
  <c r="AA223" i="4"/>
  <c r="AA204" i="4"/>
  <c r="AA158" i="4"/>
  <c r="AA224" i="4"/>
  <c r="AA252" i="4"/>
  <c r="AA10" i="4"/>
  <c r="AA159" i="4"/>
  <c r="AA21" i="4"/>
  <c r="AA253" i="4"/>
  <c r="AA6" i="4"/>
  <c r="AA78" i="4"/>
  <c r="AA3" i="4"/>
  <c r="AA160" i="4"/>
  <c r="AA109" i="4"/>
  <c r="AA44" i="4"/>
  <c r="AA214" i="4"/>
  <c r="AA45" i="4"/>
  <c r="AA11" i="4"/>
  <c r="AA79" i="4"/>
  <c r="AA254" i="4"/>
  <c r="AA22" i="4"/>
  <c r="AA193" i="4"/>
  <c r="AA194" i="4"/>
  <c r="AA279" i="4"/>
  <c r="AA280" i="4"/>
  <c r="AA46" i="4"/>
  <c r="AA80" i="4"/>
  <c r="AA81" i="4"/>
  <c r="AA110" i="4"/>
  <c r="AA215" i="4"/>
  <c r="AA82" i="4"/>
  <c r="AA83" i="4"/>
  <c r="AA84" i="4"/>
  <c r="AA47" i="4"/>
  <c r="AA85" i="4"/>
  <c r="AA86" i="4"/>
  <c r="AA255" i="4"/>
  <c r="AA281" i="4"/>
  <c r="AA256" i="4"/>
  <c r="AA87" i="4"/>
  <c r="AA290" i="4"/>
  <c r="AA291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8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2" i="4"/>
  <c r="AA229" i="4"/>
  <c r="AA230" i="4"/>
  <c r="AA257" i="4"/>
  <c r="AA141" i="4"/>
  <c r="AA261" i="4"/>
  <c r="AA197" i="4"/>
  <c r="AA178" i="4"/>
  <c r="AA179" i="4"/>
  <c r="AA180" i="4"/>
  <c r="AA198" i="4"/>
  <c r="AA199" i="4"/>
  <c r="AA98" i="4"/>
  <c r="AA12" i="4"/>
  <c r="AA258" i="4"/>
  <c r="AA293" i="4"/>
  <c r="AA181" i="4"/>
  <c r="AA114" i="4"/>
  <c r="AA48" i="4"/>
  <c r="AA200" i="4"/>
  <c r="AA201" i="4"/>
  <c r="AA182" i="4"/>
  <c r="AA49" i="4"/>
  <c r="AA231" i="4"/>
  <c r="AA209" i="4"/>
  <c r="AA283" i="4"/>
  <c r="AA284" i="4"/>
  <c r="AA297" i="4"/>
  <c r="AA50" i="4"/>
  <c r="AA115" i="4"/>
  <c r="AA116" i="4"/>
  <c r="AA117" i="4"/>
  <c r="AA142" i="4"/>
  <c r="AA118" i="4"/>
  <c r="AA27" i="4"/>
  <c r="AA143" i="4"/>
  <c r="AA144" i="4"/>
  <c r="AA28" i="4"/>
  <c r="AA259" i="4"/>
  <c r="AA260" i="4"/>
  <c r="AA145" i="4"/>
  <c r="AA285" i="4"/>
  <c r="AA286" i="4"/>
  <c r="AA51" i="4"/>
  <c r="AA294" i="4"/>
  <c r="AA52" i="4"/>
  <c r="AA53" i="4"/>
  <c r="AA54" i="4"/>
  <c r="AA55" i="4"/>
  <c r="AA56" i="4"/>
  <c r="AA57" i="4"/>
  <c r="AA99" i="4"/>
  <c r="AA100" i="4"/>
  <c r="AA183" i="4"/>
  <c r="AA287" i="4"/>
  <c r="AA184" i="4"/>
  <c r="AA185" i="4"/>
  <c r="AA101" i="4"/>
  <c r="AA263" i="4"/>
  <c r="AA304" i="4"/>
  <c r="AA305" i="4"/>
  <c r="AA306" i="4"/>
  <c r="AA307" i="4"/>
  <c r="AA300" i="4"/>
  <c r="AA310" i="4"/>
  <c r="AA311" i="4"/>
  <c r="AA312" i="4"/>
  <c r="AA313" i="4"/>
  <c r="AA301" i="4"/>
  <c r="AA314" i="4"/>
  <c r="AA308" i="4"/>
  <c r="AA299" i="4"/>
  <c r="AA302" i="4"/>
  <c r="AA303" i="4"/>
  <c r="AA343" i="4"/>
  <c r="AA344" i="4"/>
  <c r="AA345" i="4"/>
  <c r="AA335" i="4"/>
  <c r="AA336" i="4"/>
  <c r="AA318" i="4"/>
  <c r="AA315" i="4"/>
  <c r="AA319" i="4"/>
  <c r="AA320" i="4"/>
  <c r="AA321" i="4"/>
  <c r="AA347" i="4"/>
  <c r="AA337" i="4"/>
  <c r="AA316" i="4"/>
  <c r="AA338" i="4"/>
  <c r="AA339" i="4"/>
  <c r="AA340" i="4"/>
  <c r="AA342" i="4"/>
  <c r="AA322" i="4"/>
  <c r="AA317" i="4"/>
  <c r="AA323" i="4"/>
  <c r="AA324" i="4"/>
  <c r="AA346" i="4"/>
  <c r="AA326" i="4"/>
  <c r="AA327" i="4"/>
  <c r="AA328" i="4"/>
  <c r="AA329" i="4"/>
  <c r="AA341" i="4"/>
  <c r="AA330" i="4"/>
  <c r="AA331" i="4"/>
  <c r="AA332" i="4"/>
  <c r="AA333" i="4"/>
  <c r="AA325" i="4"/>
  <c r="AA334" i="4"/>
  <c r="AA350" i="4"/>
  <c r="AA356" i="4"/>
  <c r="AA360" i="4"/>
  <c r="AA357" i="4"/>
  <c r="AA355" i="4"/>
  <c r="AA361" i="4"/>
  <c r="AA362" i="4"/>
  <c r="AA368" i="4"/>
  <c r="AA363" i="4"/>
  <c r="AA369" i="4"/>
  <c r="AA351" i="4"/>
  <c r="AA348" i="4"/>
  <c r="AA358" i="4"/>
  <c r="AA359" i="4"/>
  <c r="AA364" i="4"/>
  <c r="AA349" i="4"/>
  <c r="AA365" i="4"/>
  <c r="AA366" i="4"/>
  <c r="AA352" i="4"/>
  <c r="AA353" i="4"/>
  <c r="AA367" i="4"/>
  <c r="AA354" i="4"/>
  <c r="AA379" i="4"/>
  <c r="AA377" i="4"/>
  <c r="AA373" i="4"/>
  <c r="AA374" i="4"/>
  <c r="AA370" i="4"/>
  <c r="AA371" i="4"/>
  <c r="AA375" i="4"/>
  <c r="AA376" i="4"/>
  <c r="AA372" i="4"/>
  <c r="AA378" i="4"/>
  <c r="AA381" i="4"/>
  <c r="AA382" i="4"/>
  <c r="AA384" i="4"/>
  <c r="AA386" i="4"/>
  <c r="AA385" i="4"/>
  <c r="AA383" i="4"/>
  <c r="AA396" i="4"/>
  <c r="AA388" i="4"/>
  <c r="AA389" i="4"/>
  <c r="AA390" i="4"/>
  <c r="AA397" i="4"/>
  <c r="AA398" i="4"/>
  <c r="AA399" i="4"/>
  <c r="AA400" i="4"/>
  <c r="AA401" i="4"/>
  <c r="AA391" i="4"/>
  <c r="AA392" i="4"/>
  <c r="AA393" i="4"/>
  <c r="AA402" i="4"/>
  <c r="AA403" i="4"/>
  <c r="AA387" i="4"/>
  <c r="AA404" i="4"/>
  <c r="AA405" i="4"/>
  <c r="AA394" i="4"/>
  <c r="AA395" i="4"/>
  <c r="AA406" i="4"/>
  <c r="AA407" i="4"/>
  <c r="AA408" i="4"/>
  <c r="AA409" i="4"/>
  <c r="AA410" i="4"/>
  <c r="AA411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3" i="2"/>
  <c r="BE74" i="2"/>
  <c r="BE75" i="2"/>
  <c r="BE85" i="2"/>
  <c r="BF73" i="2"/>
  <c r="BF74" i="2"/>
  <c r="BF75" i="2"/>
  <c r="BF85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3" i="2"/>
  <c r="BL74" i="2"/>
  <c r="BL75" i="2"/>
  <c r="BL85" i="2"/>
  <c r="BK73" i="2"/>
  <c r="BK74" i="2"/>
  <c r="BK75" i="2"/>
  <c r="BK85" i="2"/>
  <c r="BJ73" i="2"/>
  <c r="BJ74" i="2"/>
  <c r="BJ75" i="2"/>
  <c r="BJ85" i="2"/>
  <c r="W42" i="2"/>
  <c r="W12" i="2"/>
  <c r="W17" i="2"/>
  <c r="W10" i="2"/>
  <c r="W13" i="2"/>
  <c r="W11" i="2"/>
  <c r="W36" i="2"/>
  <c r="W26" i="2"/>
  <c r="BI73" i="2"/>
  <c r="BI74" i="2"/>
  <c r="BI75" i="2"/>
  <c r="BI85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3" i="2"/>
  <c r="BH74" i="2"/>
  <c r="BH75" i="2"/>
  <c r="BH85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3" i="2"/>
  <c r="BG74" i="2"/>
  <c r="BG75" i="2"/>
  <c r="BG85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6" i="4"/>
  <c r="AJ285" i="4"/>
  <c r="AJ294" i="4"/>
  <c r="AJ48" i="4"/>
  <c r="AJ297" i="4"/>
  <c r="AJ258" i="4"/>
  <c r="AJ257" i="4"/>
  <c r="AJ230" i="4"/>
  <c r="AJ229" i="4"/>
  <c r="AJ292" i="4"/>
  <c r="AJ228" i="4"/>
  <c r="AJ25" i="4"/>
  <c r="AJ7" i="4"/>
  <c r="AJ280" i="4"/>
  <c r="AJ279" i="4"/>
  <c r="AJ194" i="4"/>
  <c r="AJ252" i="4"/>
  <c r="AJ212" i="4"/>
  <c r="AJ73" i="4"/>
  <c r="AJ251" i="4"/>
  <c r="AJ249" i="4"/>
  <c r="AJ296" i="4"/>
  <c r="AJ189" i="4"/>
  <c r="AJ246" i="4"/>
  <c r="AJ287" i="4"/>
  <c r="AJ109" i="4"/>
  <c r="AJ17" i="4"/>
  <c r="AJ291" i="4"/>
  <c r="AJ221" i="4"/>
  <c r="AJ220" i="4"/>
  <c r="AJ210" i="4"/>
  <c r="AJ273" i="4"/>
  <c r="AJ272" i="4"/>
  <c r="AJ271" i="4"/>
  <c r="AJ188" i="4"/>
  <c r="AJ284" i="4"/>
  <c r="AJ283" i="4"/>
  <c r="AJ196" i="4"/>
  <c r="AJ131" i="4"/>
  <c r="AJ26" i="4"/>
  <c r="AJ113" i="4"/>
  <c r="AJ82" i="4"/>
  <c r="AJ77" i="4"/>
  <c r="AJ278" i="4"/>
  <c r="AJ222" i="4"/>
  <c r="AJ192" i="4"/>
  <c r="AJ250" i="4"/>
  <c r="AJ121" i="4"/>
  <c r="AJ187" i="4"/>
  <c r="AJ237" i="4"/>
  <c r="AJ236" i="4"/>
  <c r="AJ219" i="4"/>
  <c r="AJ235" i="4"/>
  <c r="AJ234" i="4"/>
  <c r="AJ264" i="4"/>
  <c r="AJ263" i="4"/>
  <c r="AJ156" i="4"/>
  <c r="AJ108" i="4"/>
  <c r="AJ151" i="4"/>
  <c r="AJ270" i="4"/>
  <c r="AJ269" i="4"/>
  <c r="AJ247" i="4"/>
  <c r="AJ245" i="4"/>
  <c r="AJ268" i="4"/>
  <c r="AJ244" i="4"/>
  <c r="AJ267" i="4"/>
  <c r="AJ243" i="4"/>
  <c r="AJ242" i="4"/>
  <c r="AJ241" i="4"/>
  <c r="AJ240" i="4"/>
  <c r="AJ239" i="4"/>
  <c r="AJ266" i="4"/>
  <c r="AJ238" i="4"/>
  <c r="AJ265" i="4"/>
  <c r="AJ233" i="4"/>
  <c r="AJ288" i="4"/>
  <c r="AJ286" i="4"/>
  <c r="AJ231" i="4"/>
  <c r="AJ181" i="4"/>
  <c r="AJ261" i="4"/>
  <c r="AJ260" i="4"/>
  <c r="AJ259" i="4"/>
  <c r="AJ254" i="4"/>
  <c r="AJ214" i="4"/>
  <c r="AJ223" i="4"/>
  <c r="AJ248" i="4"/>
  <c r="AJ295" i="4"/>
  <c r="AJ12" i="4"/>
  <c r="AJ198" i="4"/>
  <c r="AJ227" i="4"/>
  <c r="AJ226" i="4"/>
  <c r="AJ225" i="4"/>
  <c r="AJ206" i="4"/>
  <c r="AJ205" i="4"/>
  <c r="AJ165" i="4"/>
  <c r="AJ224" i="4"/>
  <c r="AJ191" i="4"/>
  <c r="AJ127" i="4"/>
  <c r="AJ211" i="4"/>
  <c r="AJ209" i="4"/>
  <c r="AJ182" i="4"/>
  <c r="AJ201" i="4"/>
  <c r="AJ200" i="4"/>
  <c r="AJ97" i="4"/>
  <c r="AJ217" i="4"/>
  <c r="AJ216" i="4"/>
  <c r="AJ298" i="4"/>
  <c r="AJ175" i="4"/>
  <c r="AJ174" i="4"/>
  <c r="AJ173" i="4"/>
  <c r="AJ172" i="4"/>
  <c r="AJ136" i="4"/>
  <c r="AJ208" i="4"/>
  <c r="AJ207" i="4"/>
  <c r="AJ195" i="4"/>
  <c r="AJ171" i="4"/>
  <c r="AJ170" i="4"/>
  <c r="AJ169" i="4"/>
  <c r="AJ168" i="4"/>
  <c r="AJ167" i="4"/>
  <c r="AJ193" i="4"/>
  <c r="AJ11" i="4"/>
  <c r="AJ45" i="4"/>
  <c r="AJ44" i="4"/>
  <c r="AJ21" i="4"/>
  <c r="AJ158" i="4"/>
  <c r="AJ20" i="4"/>
  <c r="AJ74" i="4"/>
  <c r="AJ72" i="4"/>
  <c r="AJ157" i="4"/>
  <c r="AJ126" i="4"/>
  <c r="AJ154" i="4"/>
  <c r="AJ152" i="4"/>
  <c r="AJ150" i="4"/>
  <c r="AJ202" i="4"/>
  <c r="AJ180" i="4"/>
  <c r="AJ179" i="4"/>
  <c r="AJ178" i="4"/>
  <c r="AJ197" i="4"/>
  <c r="AJ141" i="4"/>
  <c r="AJ24" i="4"/>
  <c r="AJ256" i="4"/>
  <c r="AJ281" i="4"/>
  <c r="AJ255" i="4"/>
  <c r="AJ253" i="4"/>
  <c r="AJ10" i="4"/>
  <c r="AJ204" i="4"/>
  <c r="AJ129" i="4"/>
  <c r="AJ289" i="4"/>
  <c r="AJ9" i="4"/>
  <c r="AJ8" i="4"/>
  <c r="AJ28" i="4"/>
  <c r="AJ98" i="4"/>
  <c r="AJ199" i="4"/>
  <c r="AJ177" i="4"/>
  <c r="AJ176" i="4"/>
  <c r="AJ135" i="4"/>
  <c r="AJ112" i="4"/>
  <c r="AJ185" i="4"/>
  <c r="AJ184" i="4"/>
  <c r="AJ143" i="4"/>
  <c r="AJ27" i="4"/>
  <c r="AJ139" i="4"/>
  <c r="AJ138" i="4"/>
  <c r="AJ125" i="4"/>
  <c r="AJ186" i="4"/>
  <c r="AJ218" i="4"/>
  <c r="AJ137" i="4"/>
  <c r="AJ166" i="4"/>
  <c r="AJ133" i="4"/>
  <c r="AJ132" i="4"/>
  <c r="AJ130" i="4"/>
  <c r="AJ23" i="4"/>
  <c r="AJ290" i="4"/>
  <c r="AJ213" i="4"/>
  <c r="AJ155" i="4"/>
  <c r="AJ122" i="4"/>
  <c r="AJ153" i="4"/>
  <c r="AJ276" i="4"/>
  <c r="AJ275" i="4"/>
  <c r="AJ101" i="4"/>
  <c r="AJ183" i="4"/>
  <c r="AJ99" i="4"/>
  <c r="AJ145" i="4"/>
  <c r="AJ144" i="4"/>
  <c r="AJ140" i="4"/>
  <c r="AJ134" i="4"/>
  <c r="AJ111" i="4"/>
  <c r="AJ215" i="4"/>
  <c r="AJ277" i="4"/>
  <c r="AJ190" i="4"/>
  <c r="AJ124" i="4"/>
  <c r="AJ123" i="4"/>
  <c r="AJ84" i="4"/>
  <c r="AJ79" i="4"/>
  <c r="AJ76" i="4"/>
  <c r="AJ71" i="4"/>
  <c r="AJ147" i="4"/>
  <c r="AJ119" i="4"/>
  <c r="AJ146" i="4"/>
  <c r="AJ100" i="4"/>
  <c r="AJ293" i="4"/>
  <c r="AJ163" i="4"/>
  <c r="AJ87" i="4"/>
  <c r="AJ83" i="4"/>
  <c r="AJ68" i="4"/>
  <c r="AJ14" i="4"/>
  <c r="AJ120" i="4"/>
  <c r="AJ105" i="4"/>
  <c r="AJ59" i="4"/>
  <c r="AJ164" i="4"/>
  <c r="AJ162" i="4"/>
  <c r="AJ161" i="4"/>
  <c r="AJ149" i="4"/>
  <c r="AJ118" i="4"/>
  <c r="AJ142" i="4"/>
  <c r="AJ117" i="4"/>
  <c r="AJ116" i="4"/>
  <c r="AJ115" i="4"/>
  <c r="AJ6" i="4"/>
  <c r="AJ4" i="4"/>
  <c r="AJ57" i="4"/>
  <c r="AJ56" i="4"/>
  <c r="AJ55" i="4"/>
  <c r="AJ54" i="4"/>
  <c r="AJ53" i="4"/>
  <c r="AJ52" i="4"/>
  <c r="AJ114" i="4"/>
  <c r="AJ19" i="4"/>
  <c r="AJ2" i="4"/>
  <c r="AJ15" i="4"/>
  <c r="AJ60" i="4"/>
  <c r="AJ148" i="4"/>
  <c r="AJ13" i="4"/>
  <c r="AJ31" i="4"/>
  <c r="AJ58" i="4"/>
  <c r="AJ29" i="4"/>
  <c r="AJ104" i="4"/>
  <c r="AJ103" i="4"/>
  <c r="AJ92" i="4"/>
  <c r="AJ89" i="4"/>
  <c r="AJ88" i="4"/>
  <c r="AJ96" i="4"/>
  <c r="AJ95" i="4"/>
  <c r="AJ94" i="4"/>
  <c r="AJ93" i="4"/>
  <c r="AJ91" i="4"/>
  <c r="AJ90" i="4"/>
  <c r="AJ22" i="4"/>
  <c r="AJ160" i="4"/>
  <c r="AJ3" i="4"/>
  <c r="AJ78" i="4"/>
  <c r="AJ43" i="4"/>
  <c r="AJ41" i="4"/>
  <c r="AJ107" i="4"/>
  <c r="AJ106" i="4"/>
  <c r="AJ66" i="4"/>
  <c r="AJ110" i="4"/>
  <c r="AJ81" i="4"/>
  <c r="AJ37" i="4"/>
  <c r="AJ35" i="4"/>
  <c r="AJ34" i="4"/>
  <c r="AJ86" i="4"/>
  <c r="AJ85" i="4"/>
  <c r="AJ47" i="4"/>
  <c r="AJ5" i="4"/>
  <c r="AJ128" i="4"/>
  <c r="AJ65" i="4"/>
  <c r="AJ64" i="4"/>
  <c r="AJ42" i="4"/>
  <c r="AJ18" i="4"/>
  <c r="AJ75" i="4"/>
  <c r="AJ70" i="4"/>
  <c r="AJ46" i="4"/>
  <c r="AJ36" i="4"/>
  <c r="AJ33" i="4"/>
  <c r="AJ32" i="4"/>
  <c r="AJ51" i="4"/>
  <c r="AJ50" i="4"/>
  <c r="AJ49" i="4"/>
  <c r="AJ80" i="4"/>
  <c r="AJ159" i="4"/>
  <c r="AJ69" i="4"/>
  <c r="AJ274" i="4"/>
  <c r="AJ203" i="4"/>
  <c r="AJ63" i="4"/>
  <c r="AJ40" i="4"/>
  <c r="AJ39" i="4"/>
  <c r="AJ38" i="4"/>
  <c r="AJ62" i="4"/>
  <c r="AJ61" i="4"/>
  <c r="AJ30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2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79" i="4"/>
  <c r="Y190" i="4"/>
  <c r="Y200" i="4"/>
  <c r="Y201" i="4"/>
  <c r="X2" i="12"/>
  <c r="S2" i="12"/>
  <c r="T2" i="12"/>
  <c r="X49" i="4"/>
  <c r="X50" i="4"/>
  <c r="X69" i="4"/>
  <c r="X51" i="4"/>
  <c r="X2" i="4"/>
  <c r="X159" i="4"/>
  <c r="X40" i="4"/>
  <c r="X203" i="4"/>
  <c r="X63" i="4"/>
  <c r="X61" i="4"/>
  <c r="X38" i="4"/>
  <c r="W2" i="12"/>
  <c r="Z179" i="4"/>
  <c r="Z190" i="4"/>
  <c r="Z200" i="4"/>
  <c r="Z201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<sst xmlns="http://schemas.openxmlformats.org/spreadsheetml/2006/main" count="14975" uniqueCount="1584">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</sst>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89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0909312"/>
        <c:axId val="-334332112"/>
      </c:lineChart>
      <c:catAx>
        <c:axId val="-4409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32112"/>
        <c:crosses val="autoZero"/>
        <c:auto val="1"/>
        <c:lblAlgn val="ctr"/>
        <c:lblOffset val="100"/>
        <c:noMultiLvlLbl val="0"/>
      </c:catAx>
      <c:valAx>
        <c:axId val="-3343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9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0869616"/>
        <c:axId val="-440867056"/>
      </c:lineChart>
      <c:catAx>
        <c:axId val="-4408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867056"/>
        <c:crosses val="autoZero"/>
        <c:auto val="1"/>
        <c:lblAlgn val="ctr"/>
        <c:lblOffset val="100"/>
        <c:noMultiLvlLbl val="0"/>
      </c:catAx>
      <c:valAx>
        <c:axId val="-4408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8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34371856"/>
        <c:axId val="-334376192"/>
      </c:lineChart>
      <c:catAx>
        <c:axId val="-33437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76192"/>
        <c:crosses val="autoZero"/>
        <c:auto val="1"/>
        <c:lblAlgn val="ctr"/>
        <c:lblOffset val="100"/>
        <c:noMultiLvlLbl val="0"/>
      </c:catAx>
      <c:valAx>
        <c:axId val="-3343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7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45"/>
  <sheetViews>
    <sheetView tabSelected="1" zoomScale="110" zoomScaleNormal="110" zoomScalePageLayoutView="110" workbookViewId="0">
      <pane xSplit="3" ySplit="1" topLeftCell="D50" activePane="bottomRight" state="frozenSplit"/>
      <selection pane="topRight" activeCell="D1" sqref="D1"/>
      <selection pane="bottomLeft" activeCell="A2" sqref="A2"/>
      <selection pane="bottomRight" activeCell="BG70" sqref="BG70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1381</v>
      </c>
      <c r="BB1" s="64" t="s">
        <v>1203</v>
      </c>
      <c r="BC1" s="61" t="s">
        <v>1168</v>
      </c>
      <c r="BD1" s="64" t="s">
        <v>1100</v>
      </c>
      <c r="BE1" s="61" t="s">
        <v>1374</v>
      </c>
      <c r="BF1" s="118" t="s">
        <v>1427</v>
      </c>
      <c r="BG1" s="76" t="s">
        <v>1382</v>
      </c>
      <c r="BH1" s="76" t="s">
        <v>1383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1289</v>
      </c>
    </row>
    <row r="2" spans="1:1029" x14ac:dyDescent="0.2">
      <c r="A2" s="3" t="str">
        <f t="shared" ref="A2:A74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4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1373</v>
      </c>
      <c r="BH2" s="49" t="s">
        <v>1378</v>
      </c>
      <c r="BI2" s="1"/>
      <c r="BJ2" s="70" t="s">
        <v>1288</v>
      </c>
      <c r="BK2" s="57" t="s">
        <v>1288</v>
      </c>
      <c r="BL2" s="57" t="s">
        <v>1288</v>
      </c>
      <c r="BM2" s="57" t="s">
        <v>1288</v>
      </c>
      <c r="BN2" s="57" t="s">
        <v>1288</v>
      </c>
      <c r="BO2" s="57" t="s">
        <v>1288</v>
      </c>
      <c r="BP2" s="57" t="s">
        <v>1288</v>
      </c>
      <c r="BQ2" s="57" t="s">
        <v>1288</v>
      </c>
      <c r="BR2" s="57" t="s">
        <v>1288</v>
      </c>
      <c r="BS2" s="57" t="s">
        <v>1288</v>
      </c>
      <c r="BT2" s="57" t="s">
        <v>1288</v>
      </c>
      <c r="BU2" s="57" t="s">
        <v>1288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1430</v>
      </c>
      <c r="BE3" s="3" t="s">
        <v>1429</v>
      </c>
      <c r="BF3" s="119">
        <v>2.8</v>
      </c>
      <c r="BG3" s="49" t="s">
        <v>1378</v>
      </c>
      <c r="BH3" s="49" t="s">
        <v>1378</v>
      </c>
      <c r="BI3" s="1"/>
      <c r="BJ3" s="70" t="s">
        <v>1288</v>
      </c>
      <c r="BK3" s="57" t="s">
        <v>1288</v>
      </c>
      <c r="BL3" s="57" t="s">
        <v>1288</v>
      </c>
      <c r="BM3" s="57" t="s">
        <v>1288</v>
      </c>
      <c r="BN3" s="57" t="s">
        <v>1288</v>
      </c>
      <c r="BO3" s="57" t="s">
        <v>1288</v>
      </c>
      <c r="BP3" s="57" t="s">
        <v>1288</v>
      </c>
      <c r="BQ3" s="57" t="s">
        <v>1288</v>
      </c>
      <c r="BR3" s="57" t="s">
        <v>1288</v>
      </c>
      <c r="BS3" s="57" t="s">
        <v>1288</v>
      </c>
      <c r="BT3" s="57" t="s">
        <v>1288</v>
      </c>
      <c r="BU3" s="57" t="s">
        <v>1288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1429</v>
      </c>
      <c r="BF4" s="119">
        <v>2.7</v>
      </c>
      <c r="BG4" s="49" t="s">
        <v>1378</v>
      </c>
      <c r="BH4" s="49" t="s">
        <v>1378</v>
      </c>
      <c r="BI4" s="1"/>
      <c r="BJ4" s="70" t="s">
        <v>1288</v>
      </c>
      <c r="BK4" s="57" t="s">
        <v>1288</v>
      </c>
      <c r="BL4" s="57" t="s">
        <v>1288</v>
      </c>
      <c r="BM4" s="57" t="s">
        <v>1288</v>
      </c>
      <c r="BN4" s="57" t="s">
        <v>1288</v>
      </c>
      <c r="BO4" s="57" t="s">
        <v>1288</v>
      </c>
      <c r="BP4" s="57" t="s">
        <v>1288</v>
      </c>
      <c r="BQ4" s="57" t="s">
        <v>1288</v>
      </c>
      <c r="BR4" s="57" t="s">
        <v>1288</v>
      </c>
      <c r="BS4" s="57" t="s">
        <v>1288</v>
      </c>
      <c r="BT4" s="57" t="s">
        <v>1288</v>
      </c>
      <c r="BU4" s="57" t="s">
        <v>1288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1468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1429</v>
      </c>
      <c r="BF5" s="119">
        <v>3.7</v>
      </c>
      <c r="BG5" s="49" t="s">
        <v>1378</v>
      </c>
      <c r="BH5" s="49" t="s">
        <v>1378</v>
      </c>
      <c r="BI5" s="1"/>
      <c r="BJ5" s="70" t="s">
        <v>1288</v>
      </c>
      <c r="BK5" s="57" t="s">
        <v>1288</v>
      </c>
      <c r="BL5" s="57" t="s">
        <v>1288</v>
      </c>
      <c r="BM5" s="57" t="s">
        <v>1288</v>
      </c>
      <c r="BN5" s="57" t="s">
        <v>1288</v>
      </c>
      <c r="BO5" s="57" t="s">
        <v>1288</v>
      </c>
      <c r="BP5" s="57" t="s">
        <v>1288</v>
      </c>
      <c r="BQ5" s="57" t="s">
        <v>1288</v>
      </c>
      <c r="BR5" s="57" t="s">
        <v>1288</v>
      </c>
      <c r="BS5" s="57" t="s">
        <v>1288</v>
      </c>
      <c r="BT5" s="57" t="s">
        <v>1288</v>
      </c>
      <c r="BU5" s="57" t="s">
        <v>1288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1505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1376</v>
      </c>
      <c r="BE6" s="3" t="s">
        <v>1292</v>
      </c>
      <c r="BF6" s="119">
        <v>3.78</v>
      </c>
      <c r="BG6" s="49" t="s">
        <v>1019</v>
      </c>
      <c r="BH6" s="49" t="s">
        <v>1019</v>
      </c>
      <c r="BI6" s="1"/>
      <c r="BJ6" s="70" t="s">
        <v>1288</v>
      </c>
      <c r="BK6" s="57" t="s">
        <v>1288</v>
      </c>
      <c r="BL6" s="57" t="s">
        <v>1288</v>
      </c>
      <c r="BM6" s="57" t="s">
        <v>1288</v>
      </c>
      <c r="BN6" s="57" t="s">
        <v>1288</v>
      </c>
      <c r="BO6" s="57" t="s">
        <v>1288</v>
      </c>
      <c r="BP6" s="57" t="s">
        <v>1288</v>
      </c>
      <c r="BQ6" s="57" t="s">
        <v>1288</v>
      </c>
      <c r="BR6" s="57" t="s">
        <v>1288</v>
      </c>
      <c r="BS6" s="57" t="s">
        <v>1288</v>
      </c>
      <c r="BT6" s="57" t="s">
        <v>1288</v>
      </c>
      <c r="BU6" s="57" t="s">
        <v>1288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1288</v>
      </c>
      <c r="BK7" s="112" t="s">
        <v>1288</v>
      </c>
      <c r="BL7" s="112" t="s">
        <v>1288</v>
      </c>
      <c r="BM7" s="112" t="s">
        <v>1288</v>
      </c>
      <c r="BN7" s="112" t="s">
        <v>1288</v>
      </c>
      <c r="BO7" s="112" t="s">
        <v>1288</v>
      </c>
      <c r="BP7" s="112" t="s">
        <v>1288</v>
      </c>
      <c r="BQ7" s="112" t="s">
        <v>1288</v>
      </c>
      <c r="BR7" s="112" t="s">
        <v>1288</v>
      </c>
      <c r="BS7" s="112" t="s">
        <v>1288</v>
      </c>
      <c r="BT7" s="112" t="s">
        <v>1288</v>
      </c>
      <c r="BU7" s="112" t="s">
        <v>1288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1560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1375</v>
      </c>
      <c r="BF8" s="120">
        <v>3</v>
      </c>
      <c r="BG8" s="51" t="s">
        <v>1</v>
      </c>
      <c r="BH8" s="51" t="s">
        <v>1</v>
      </c>
      <c r="BJ8" s="111" t="s">
        <v>1288</v>
      </c>
      <c r="BK8" s="112" t="s">
        <v>1288</v>
      </c>
      <c r="BL8" s="112" t="s">
        <v>1288</v>
      </c>
      <c r="BM8" s="112" t="s">
        <v>1288</v>
      </c>
      <c r="BN8" s="112" t="s">
        <v>1288</v>
      </c>
      <c r="BO8" s="112" t="s">
        <v>1288</v>
      </c>
      <c r="BP8" s="112" t="s">
        <v>1288</v>
      </c>
      <c r="BQ8" s="112" t="s">
        <v>1288</v>
      </c>
      <c r="BR8" s="112" t="s">
        <v>1288</v>
      </c>
      <c r="BS8" s="112" t="s">
        <v>1288</v>
      </c>
      <c r="BT8" s="112" t="s">
        <v>1288</v>
      </c>
      <c r="BU8" s="112" t="s">
        <v>1288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1559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1377</v>
      </c>
      <c r="BE9" s="9" t="s">
        <v>1375</v>
      </c>
      <c r="BF9" s="120">
        <v>2.9</v>
      </c>
      <c r="BG9" s="51" t="s">
        <v>1</v>
      </c>
      <c r="BH9" s="51" t="s">
        <v>1</v>
      </c>
      <c r="BJ9" s="111" t="s">
        <v>1288</v>
      </c>
      <c r="BK9" s="112" t="s">
        <v>1288</v>
      </c>
      <c r="BL9" s="112" t="s">
        <v>1288</v>
      </c>
      <c r="BM9" s="112" t="s">
        <v>1288</v>
      </c>
      <c r="BN9" s="112" t="s">
        <v>1288</v>
      </c>
      <c r="BO9" s="112" t="s">
        <v>1288</v>
      </c>
      <c r="BP9" s="112" t="s">
        <v>1288</v>
      </c>
      <c r="BQ9" s="112" t="s">
        <v>1288</v>
      </c>
      <c r="BR9" s="112" t="s">
        <v>1288</v>
      </c>
      <c r="BS9" s="112" t="s">
        <v>1288</v>
      </c>
      <c r="BT9" s="112" t="s">
        <v>1288</v>
      </c>
      <c r="BU9" s="112" t="s">
        <v>1288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1373</v>
      </c>
      <c r="BH10" s="49" t="s">
        <v>1378</v>
      </c>
      <c r="BI10" s="1"/>
      <c r="BJ10" s="70" t="s">
        <v>1288</v>
      </c>
      <c r="BK10" s="57" t="s">
        <v>1288</v>
      </c>
      <c r="BL10" s="57" t="s">
        <v>1288</v>
      </c>
      <c r="BM10" s="57" t="s">
        <v>1288</v>
      </c>
      <c r="BN10" s="57" t="s">
        <v>1288</v>
      </c>
      <c r="BO10" s="57" t="s">
        <v>1288</v>
      </c>
      <c r="BP10" s="57" t="s">
        <v>1288</v>
      </c>
      <c r="BQ10" s="57" t="s">
        <v>1288</v>
      </c>
      <c r="BR10" s="57" t="s">
        <v>1288</v>
      </c>
      <c r="BS10" s="57" t="s">
        <v>1288</v>
      </c>
      <c r="BT10" s="57" t="s">
        <v>1288</v>
      </c>
      <c r="BU10" s="57" t="s">
        <v>1288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1430</v>
      </c>
      <c r="BE11" s="3" t="s">
        <v>1429</v>
      </c>
      <c r="BF11" s="119">
        <v>2.7</v>
      </c>
      <c r="BG11" s="49" t="s">
        <v>1378</v>
      </c>
      <c r="BH11" s="49" t="s">
        <v>1378</v>
      </c>
      <c r="BI11" s="1"/>
      <c r="BJ11" s="70" t="s">
        <v>1288</v>
      </c>
      <c r="BK11" s="57" t="s">
        <v>1288</v>
      </c>
      <c r="BL11" s="57" t="s">
        <v>1288</v>
      </c>
      <c r="BM11" s="57" t="s">
        <v>1288</v>
      </c>
      <c r="BN11" s="57" t="s">
        <v>1288</v>
      </c>
      <c r="BO11" s="57" t="s">
        <v>1288</v>
      </c>
      <c r="BP11" s="57" t="s">
        <v>1288</v>
      </c>
      <c r="BQ11" s="57" t="s">
        <v>1288</v>
      </c>
      <c r="BR11" s="57" t="s">
        <v>1288</v>
      </c>
      <c r="BS11" s="57" t="s">
        <v>1288</v>
      </c>
      <c r="BT11" s="57" t="s">
        <v>1288</v>
      </c>
      <c r="BU11" s="57" t="s">
        <v>1288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1429</v>
      </c>
      <c r="BF12" s="119">
        <v>2.7</v>
      </c>
      <c r="BG12" s="49" t="s">
        <v>1378</v>
      </c>
      <c r="BH12" s="49" t="s">
        <v>1378</v>
      </c>
      <c r="BI12" s="1"/>
      <c r="BJ12" s="70" t="s">
        <v>1288</v>
      </c>
      <c r="BK12" s="57" t="s">
        <v>1288</v>
      </c>
      <c r="BL12" s="57" t="s">
        <v>1288</v>
      </c>
      <c r="BM12" s="57" t="s">
        <v>1288</v>
      </c>
      <c r="BN12" s="57" t="s">
        <v>1288</v>
      </c>
      <c r="BO12" s="57" t="s">
        <v>1288</v>
      </c>
      <c r="BP12" s="57" t="s">
        <v>1288</v>
      </c>
      <c r="BQ12" s="57" t="s">
        <v>1288</v>
      </c>
      <c r="BR12" s="57" t="s">
        <v>1288</v>
      </c>
      <c r="BS12" s="57" t="s">
        <v>1288</v>
      </c>
      <c r="BT12" s="57" t="s">
        <v>1288</v>
      </c>
      <c r="BU12" s="57" t="s">
        <v>1288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1309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1429</v>
      </c>
      <c r="BF13" s="119">
        <v>2.8</v>
      </c>
      <c r="BG13" s="49" t="s">
        <v>1378</v>
      </c>
      <c r="BH13" s="49" t="s">
        <v>1378</v>
      </c>
      <c r="BI13" s="1"/>
      <c r="BJ13" s="70" t="s">
        <v>1288</v>
      </c>
      <c r="BK13" s="57" t="s">
        <v>1288</v>
      </c>
      <c r="BL13" s="57" t="s">
        <v>1288</v>
      </c>
      <c r="BM13" s="57" t="s">
        <v>1288</v>
      </c>
      <c r="BN13" s="57" t="s">
        <v>1288</v>
      </c>
      <c r="BO13" s="57" t="s">
        <v>1288</v>
      </c>
      <c r="BP13" s="57" t="s">
        <v>1288</v>
      </c>
      <c r="BQ13" s="57" t="s">
        <v>1288</v>
      </c>
      <c r="BR13" s="57" t="s">
        <v>1288</v>
      </c>
      <c r="BS13" s="57" t="s">
        <v>1288</v>
      </c>
      <c r="BT13" s="57" t="s">
        <v>1288</v>
      </c>
      <c r="BU13" s="57" t="s">
        <v>1288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1428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1376</v>
      </c>
      <c r="BE14" s="3" t="s">
        <v>1292</v>
      </c>
      <c r="BF14" s="119">
        <v>3</v>
      </c>
      <c r="BG14" s="49" t="s">
        <v>1378</v>
      </c>
      <c r="BH14" s="49" t="s">
        <v>1378</v>
      </c>
      <c r="BI14" s="1"/>
      <c r="BJ14" s="70" t="s">
        <v>1288</v>
      </c>
      <c r="BK14" s="57" t="s">
        <v>1288</v>
      </c>
      <c r="BL14" s="57" t="s">
        <v>1288</v>
      </c>
      <c r="BM14" s="57" t="s">
        <v>1288</v>
      </c>
      <c r="BN14" s="57" t="s">
        <v>1288</v>
      </c>
      <c r="BO14" s="57" t="s">
        <v>1288</v>
      </c>
      <c r="BP14" s="57" t="s">
        <v>1288</v>
      </c>
      <c r="BQ14" s="57" t="s">
        <v>1288</v>
      </c>
      <c r="BR14" s="57" t="s">
        <v>1288</v>
      </c>
      <c r="BS14" s="57" t="s">
        <v>1288</v>
      </c>
      <c r="BT14" s="57" t="s">
        <v>1288</v>
      </c>
      <c r="BU14" s="57" t="s">
        <v>1288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1387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1429</v>
      </c>
      <c r="BF15" s="119">
        <v>2.9</v>
      </c>
      <c r="BG15" s="49" t="s">
        <v>1378</v>
      </c>
      <c r="BH15" s="49" t="s">
        <v>1378</v>
      </c>
      <c r="BI15" s="1"/>
      <c r="BJ15" s="70" t="s">
        <v>1288</v>
      </c>
      <c r="BK15" s="57" t="s">
        <v>1288</v>
      </c>
      <c r="BL15" s="57" t="s">
        <v>1288</v>
      </c>
      <c r="BM15" s="57" t="s">
        <v>1288</v>
      </c>
      <c r="BN15" s="57" t="s">
        <v>1288</v>
      </c>
      <c r="BO15" s="57" t="s">
        <v>1288</v>
      </c>
      <c r="BP15" s="57" t="s">
        <v>1288</v>
      </c>
      <c r="BQ15" s="57" t="s">
        <v>1288</v>
      </c>
      <c r="BR15" s="57" t="s">
        <v>1288</v>
      </c>
      <c r="BS15" s="57" t="s">
        <v>1288</v>
      </c>
      <c r="BT15" s="57" t="s">
        <v>1288</v>
      </c>
      <c r="BU15" s="57" t="s">
        <v>1288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1429</v>
      </c>
      <c r="BF16" s="120">
        <v>3.1</v>
      </c>
      <c r="BG16" s="51" t="s">
        <v>1</v>
      </c>
      <c r="BH16" s="51" t="s">
        <v>1</v>
      </c>
      <c r="BJ16" s="111" t="s">
        <v>1288</v>
      </c>
      <c r="BK16" s="112" t="s">
        <v>1288</v>
      </c>
      <c r="BL16" s="112" t="s">
        <v>1288</v>
      </c>
      <c r="BM16" s="112" t="s">
        <v>1288</v>
      </c>
      <c r="BN16" s="112" t="s">
        <v>1288</v>
      </c>
      <c r="BO16" s="112" t="s">
        <v>1288</v>
      </c>
      <c r="BP16" s="112" t="s">
        <v>1288</v>
      </c>
      <c r="BQ16" s="112" t="s">
        <v>1288</v>
      </c>
      <c r="BR16" s="112" t="s">
        <v>1288</v>
      </c>
      <c r="BS16" s="112" t="s">
        <v>1288</v>
      </c>
      <c r="BT16" s="112" t="s">
        <v>1288</v>
      </c>
      <c r="BU16" s="112" t="s">
        <v>1288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1514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1429</v>
      </c>
      <c r="BF17" s="120">
        <v>2.92</v>
      </c>
      <c r="BG17" s="51" t="s">
        <v>1</v>
      </c>
      <c r="BH17" s="51" t="s">
        <v>1</v>
      </c>
      <c r="BJ17" s="111" t="s">
        <v>1288</v>
      </c>
      <c r="BK17" s="112" t="s">
        <v>1288</v>
      </c>
      <c r="BL17" s="112" t="s">
        <v>1288</v>
      </c>
      <c r="BM17" s="112" t="s">
        <v>1288</v>
      </c>
      <c r="BN17" s="112" t="s">
        <v>1288</v>
      </c>
      <c r="BO17" s="112" t="s">
        <v>1288</v>
      </c>
      <c r="BP17" s="112" t="s">
        <v>1288</v>
      </c>
      <c r="BQ17" s="112" t="s">
        <v>1288</v>
      </c>
      <c r="BR17" s="112" t="s">
        <v>1288</v>
      </c>
      <c r="BS17" s="112" t="s">
        <v>1288</v>
      </c>
      <c r="BT17" s="112" t="s">
        <v>1288</v>
      </c>
      <c r="BU17" s="112" t="s">
        <v>1288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1515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1429</v>
      </c>
      <c r="BF18" s="120">
        <v>3.1</v>
      </c>
      <c r="BG18" s="51" t="s">
        <v>1</v>
      </c>
      <c r="BH18" s="51" t="s">
        <v>1</v>
      </c>
      <c r="BJ18" s="111" t="s">
        <v>1288</v>
      </c>
      <c r="BK18" s="112" t="s">
        <v>1288</v>
      </c>
      <c r="BL18" s="112" t="s">
        <v>1288</v>
      </c>
      <c r="BM18" s="112" t="s">
        <v>1288</v>
      </c>
      <c r="BN18" s="112" t="s">
        <v>1288</v>
      </c>
      <c r="BO18" s="112" t="s">
        <v>1288</v>
      </c>
      <c r="BP18" s="112" t="s">
        <v>1288</v>
      </c>
      <c r="BQ18" s="112" t="s">
        <v>1288</v>
      </c>
      <c r="BR18" s="112" t="s">
        <v>1288</v>
      </c>
      <c r="BS18" s="112" t="s">
        <v>1288</v>
      </c>
      <c r="BT18" s="112" t="s">
        <v>1288</v>
      </c>
      <c r="BU18" s="112" t="s">
        <v>1288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1516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1429</v>
      </c>
      <c r="BF19" s="120">
        <v>3.19</v>
      </c>
      <c r="BG19" s="51" t="s">
        <v>1</v>
      </c>
      <c r="BH19" s="51" t="s">
        <v>1</v>
      </c>
      <c r="BJ19" s="111" t="s">
        <v>1288</v>
      </c>
      <c r="BK19" s="112" t="s">
        <v>1288</v>
      </c>
      <c r="BL19" s="112" t="s">
        <v>1288</v>
      </c>
      <c r="BM19" s="112" t="s">
        <v>1288</v>
      </c>
      <c r="BN19" s="112" t="s">
        <v>1288</v>
      </c>
      <c r="BO19" s="112" t="s">
        <v>1288</v>
      </c>
      <c r="BP19" s="112" t="s">
        <v>1288</v>
      </c>
      <c r="BQ19" s="112" t="s">
        <v>1288</v>
      </c>
      <c r="BR19" s="112" t="s">
        <v>1288</v>
      </c>
      <c r="BS19" s="112" t="s">
        <v>1288</v>
      </c>
      <c r="BT19" s="112" t="s">
        <v>1288</v>
      </c>
      <c r="BU19" s="112" t="s">
        <v>1288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1378</v>
      </c>
      <c r="BH20" s="49" t="s">
        <v>1378</v>
      </c>
      <c r="BI20" s="1"/>
      <c r="BJ20" s="70" t="s">
        <v>1288</v>
      </c>
      <c r="BK20" s="57" t="s">
        <v>1288</v>
      </c>
      <c r="BL20" s="57" t="s">
        <v>1288</v>
      </c>
      <c r="BM20" s="57" t="s">
        <v>1288</v>
      </c>
      <c r="BN20" s="57" t="s">
        <v>1288</v>
      </c>
      <c r="BO20" s="57" t="s">
        <v>1288</v>
      </c>
      <c r="BP20" s="57" t="s">
        <v>1288</v>
      </c>
      <c r="BQ20" s="57" t="s">
        <v>1288</v>
      </c>
      <c r="BR20" s="57" t="s">
        <v>1288</v>
      </c>
      <c r="BS20" s="57" t="s">
        <v>1288</v>
      </c>
      <c r="BT20" s="57" t="s">
        <v>1288</v>
      </c>
      <c r="BU20" s="57" t="s">
        <v>1288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1466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1376</v>
      </c>
      <c r="BE21" s="3" t="s">
        <v>1292</v>
      </c>
      <c r="BF21" s="119">
        <v>3</v>
      </c>
      <c r="BG21" s="49" t="s">
        <v>1</v>
      </c>
      <c r="BH21" s="49" t="s">
        <v>1</v>
      </c>
      <c r="BI21" s="1"/>
      <c r="BJ21" s="70" t="s">
        <v>1288</v>
      </c>
      <c r="BK21" s="57" t="s">
        <v>1288</v>
      </c>
      <c r="BL21" s="57" t="s">
        <v>1288</v>
      </c>
      <c r="BM21" s="57" t="s">
        <v>1288</v>
      </c>
      <c r="BN21" s="57" t="s">
        <v>1288</v>
      </c>
      <c r="BO21" s="57" t="s">
        <v>1288</v>
      </c>
      <c r="BP21" s="57" t="s">
        <v>1288</v>
      </c>
      <c r="BQ21" s="57" t="s">
        <v>1288</v>
      </c>
      <c r="BR21" s="57" t="s">
        <v>1288</v>
      </c>
      <c r="BS21" s="57" t="s">
        <v>1288</v>
      </c>
      <c r="BT21" s="57" t="s">
        <v>1288</v>
      </c>
      <c r="BU21" s="57" t="s">
        <v>1288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1467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1430</v>
      </c>
      <c r="BE22" s="3" t="s">
        <v>1429</v>
      </c>
      <c r="BF22" s="119">
        <v>2.7</v>
      </c>
      <c r="BG22" s="49" t="s">
        <v>1</v>
      </c>
      <c r="BH22" s="49" t="s">
        <v>1</v>
      </c>
      <c r="BI22" s="1"/>
      <c r="BJ22" s="70" t="s">
        <v>1288</v>
      </c>
      <c r="BK22" s="57" t="s">
        <v>1288</v>
      </c>
      <c r="BL22" s="57" t="s">
        <v>1288</v>
      </c>
      <c r="BM22" s="57" t="s">
        <v>1288</v>
      </c>
      <c r="BN22" s="57" t="s">
        <v>1288</v>
      </c>
      <c r="BO22" s="57" t="s">
        <v>1288</v>
      </c>
      <c r="BP22" s="57" t="s">
        <v>1288</v>
      </c>
      <c r="BQ22" s="57" t="s">
        <v>1288</v>
      </c>
      <c r="BR22" s="57" t="s">
        <v>1288</v>
      </c>
      <c r="BS22" s="57" t="s">
        <v>1288</v>
      </c>
      <c r="BT22" s="57" t="s">
        <v>1288</v>
      </c>
      <c r="BU22" s="57" t="s">
        <v>1288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1378</v>
      </c>
      <c r="BH23" s="49" t="s">
        <v>1378</v>
      </c>
      <c r="BI23" s="1"/>
      <c r="BJ23" s="70" t="s">
        <v>1288</v>
      </c>
      <c r="BK23" s="57" t="s">
        <v>1288</v>
      </c>
      <c r="BL23" s="57" t="s">
        <v>1288</v>
      </c>
      <c r="BM23" s="57" t="s">
        <v>1288</v>
      </c>
      <c r="BN23" s="57" t="s">
        <v>1288</v>
      </c>
      <c r="BO23" s="57" t="s">
        <v>1288</v>
      </c>
      <c r="BP23" s="57" t="s">
        <v>1288</v>
      </c>
      <c r="BQ23" s="57" t="s">
        <v>1288</v>
      </c>
      <c r="BR23" s="57" t="s">
        <v>1288</v>
      </c>
      <c r="BS23" s="57" t="s">
        <v>1288</v>
      </c>
      <c r="BT23" s="57" t="s">
        <v>1288</v>
      </c>
      <c r="BU23" s="57" t="s">
        <v>1288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1432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1375</v>
      </c>
      <c r="BF24" s="119">
        <v>3.3</v>
      </c>
      <c r="BG24" s="49" t="s">
        <v>1</v>
      </c>
      <c r="BH24" s="49" t="s">
        <v>1</v>
      </c>
      <c r="BI24" s="1"/>
      <c r="BJ24" s="70" t="s">
        <v>1288</v>
      </c>
      <c r="BK24" s="57" t="s">
        <v>1288</v>
      </c>
      <c r="BL24" s="57" t="s">
        <v>1288</v>
      </c>
      <c r="BM24" s="57" t="s">
        <v>1288</v>
      </c>
      <c r="BN24" s="57" t="s">
        <v>1288</v>
      </c>
      <c r="BO24" s="57" t="s">
        <v>1288</v>
      </c>
      <c r="BP24" s="57" t="s">
        <v>1288</v>
      </c>
      <c r="BQ24" s="57" t="s">
        <v>1288</v>
      </c>
      <c r="BR24" s="57" t="s">
        <v>1288</v>
      </c>
      <c r="BS24" s="57" t="s">
        <v>1288</v>
      </c>
      <c r="BT24" s="57" t="s">
        <v>1288</v>
      </c>
      <c r="BU24" s="57" t="s">
        <v>1288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1390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1377</v>
      </c>
      <c r="BE25" s="3" t="s">
        <v>1375</v>
      </c>
      <c r="BF25" s="119">
        <v>3.2</v>
      </c>
      <c r="BG25" s="49" t="s">
        <v>1378</v>
      </c>
      <c r="BH25" s="49" t="s">
        <v>1378</v>
      </c>
      <c r="BI25" s="1"/>
      <c r="BJ25" s="70" t="s">
        <v>1288</v>
      </c>
      <c r="BK25" s="57" t="s">
        <v>1288</v>
      </c>
      <c r="BL25" s="57" t="s">
        <v>1288</v>
      </c>
      <c r="BM25" s="57" t="s">
        <v>1288</v>
      </c>
      <c r="BN25" s="57" t="s">
        <v>1288</v>
      </c>
      <c r="BO25" s="57" t="s">
        <v>1288</v>
      </c>
      <c r="BP25" s="57" t="s">
        <v>1288</v>
      </c>
      <c r="BQ25" s="57" t="s">
        <v>1288</v>
      </c>
      <c r="BR25" s="57" t="s">
        <v>1288</v>
      </c>
      <c r="BS25" s="57" t="s">
        <v>1288</v>
      </c>
      <c r="BT25" s="57" t="s">
        <v>1288</v>
      </c>
      <c r="BU25" s="57" t="s">
        <v>1288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1376</v>
      </c>
      <c r="BE26" s="3" t="s">
        <v>1292</v>
      </c>
      <c r="BF26" s="119">
        <v>3.6</v>
      </c>
      <c r="BG26" s="49" t="s">
        <v>1423</v>
      </c>
      <c r="BH26" s="49" t="s">
        <v>1423</v>
      </c>
      <c r="BI26" s="1"/>
      <c r="BJ26" s="70" t="s">
        <v>1288</v>
      </c>
      <c r="BK26" s="57" t="s">
        <v>1288</v>
      </c>
      <c r="BL26" s="57" t="s">
        <v>1288</v>
      </c>
      <c r="BM26" s="57" t="s">
        <v>1288</v>
      </c>
      <c r="BN26" s="57" t="s">
        <v>1288</v>
      </c>
      <c r="BO26" s="57" t="s">
        <v>1288</v>
      </c>
      <c r="BP26" s="57" t="s">
        <v>1288</v>
      </c>
      <c r="BQ26" s="57" t="s">
        <v>1288</v>
      </c>
      <c r="BR26" s="57" t="s">
        <v>1288</v>
      </c>
      <c r="BS26" s="57" t="s">
        <v>1288</v>
      </c>
      <c r="BT26" s="57" t="s">
        <v>1288</v>
      </c>
      <c r="BU26" s="57" t="s">
        <v>1288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1373</v>
      </c>
      <c r="BH27" s="49" t="s">
        <v>1378</v>
      </c>
      <c r="BI27" s="1"/>
      <c r="BJ27" s="70" t="s">
        <v>1288</v>
      </c>
      <c r="BK27" s="57" t="s">
        <v>1288</v>
      </c>
      <c r="BL27" s="57" t="s">
        <v>1288</v>
      </c>
      <c r="BM27" s="57" t="s">
        <v>1288</v>
      </c>
      <c r="BN27" s="57" t="s">
        <v>1288</v>
      </c>
      <c r="BO27" s="57" t="s">
        <v>1288</v>
      </c>
      <c r="BP27" s="57" t="s">
        <v>1288</v>
      </c>
      <c r="BQ27" s="57" t="s">
        <v>1288</v>
      </c>
      <c r="BR27" s="57" t="s">
        <v>1288</v>
      </c>
      <c r="BS27" s="57" t="s">
        <v>1288</v>
      </c>
      <c r="BT27" s="57" t="s">
        <v>1288</v>
      </c>
      <c r="BU27" s="57" t="s">
        <v>1288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1429</v>
      </c>
      <c r="BF28" s="119">
        <v>3</v>
      </c>
      <c r="BG28" s="49" t="s">
        <v>1378</v>
      </c>
      <c r="BH28" s="49" t="s">
        <v>1378</v>
      </c>
      <c r="BI28" s="1"/>
      <c r="BJ28" s="70" t="s">
        <v>1288</v>
      </c>
      <c r="BK28" s="57" t="s">
        <v>1288</v>
      </c>
      <c r="BL28" s="57" t="s">
        <v>1288</v>
      </c>
      <c r="BM28" s="57" t="s">
        <v>1288</v>
      </c>
      <c r="BN28" s="57" t="s">
        <v>1288</v>
      </c>
      <c r="BO28" s="57" t="s">
        <v>1288</v>
      </c>
      <c r="BP28" s="57" t="s">
        <v>1288</v>
      </c>
      <c r="BQ28" s="57" t="s">
        <v>1288</v>
      </c>
      <c r="BR28" s="57" t="s">
        <v>1288</v>
      </c>
      <c r="BS28" s="57" t="s">
        <v>1288</v>
      </c>
      <c r="BT28" s="57" t="s">
        <v>1288</v>
      </c>
      <c r="BU28" s="57" t="s">
        <v>1288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1429</v>
      </c>
      <c r="BF29" s="119">
        <v>2.6</v>
      </c>
      <c r="BG29" s="49" t="s">
        <v>1378</v>
      </c>
      <c r="BH29" s="49" t="s">
        <v>1378</v>
      </c>
      <c r="BI29" s="1"/>
      <c r="BJ29" s="70" t="s">
        <v>1288</v>
      </c>
      <c r="BK29" s="57" t="s">
        <v>1288</v>
      </c>
      <c r="BL29" s="57" t="s">
        <v>1288</v>
      </c>
      <c r="BM29" s="57" t="s">
        <v>1288</v>
      </c>
      <c r="BN29" s="57" t="s">
        <v>1288</v>
      </c>
      <c r="BO29" s="57" t="s">
        <v>1288</v>
      </c>
      <c r="BP29" s="57" t="s">
        <v>1288</v>
      </c>
      <c r="BQ29" s="57" t="s">
        <v>1288</v>
      </c>
      <c r="BR29" s="57" t="s">
        <v>1288</v>
      </c>
      <c r="BS29" s="57" t="s">
        <v>1288</v>
      </c>
      <c r="BT29" s="57" t="s">
        <v>1288</v>
      </c>
      <c r="BU29" s="57" t="s">
        <v>1288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1429</v>
      </c>
      <c r="BF30" s="119">
        <v>2.71</v>
      </c>
      <c r="BG30" s="49" t="s">
        <v>1378</v>
      </c>
      <c r="BH30" s="49" t="s">
        <v>1378</v>
      </c>
      <c r="BI30" s="1"/>
      <c r="BJ30" s="70" t="s">
        <v>1288</v>
      </c>
      <c r="BK30" s="57" t="s">
        <v>1288</v>
      </c>
      <c r="BL30" s="57" t="s">
        <v>1288</v>
      </c>
      <c r="BM30" s="57" t="s">
        <v>1288</v>
      </c>
      <c r="BN30" s="57" t="s">
        <v>1288</v>
      </c>
      <c r="BO30" s="57" t="s">
        <v>1288</v>
      </c>
      <c r="BP30" s="57" t="s">
        <v>1288</v>
      </c>
      <c r="BQ30" s="57" t="s">
        <v>1288</v>
      </c>
      <c r="BR30" s="57" t="s">
        <v>1288</v>
      </c>
      <c r="BS30" s="57" t="s">
        <v>1288</v>
      </c>
      <c r="BT30" s="57" t="s">
        <v>1288</v>
      </c>
      <c r="BU30" s="57" t="s">
        <v>1288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1429</v>
      </c>
      <c r="BF31" s="119">
        <v>3.31</v>
      </c>
      <c r="BG31" s="49" t="s">
        <v>1378</v>
      </c>
      <c r="BH31" s="49" t="s">
        <v>1378</v>
      </c>
      <c r="BI31" s="1"/>
      <c r="BJ31" s="70" t="s">
        <v>1288</v>
      </c>
      <c r="BK31" s="57" t="s">
        <v>1288</v>
      </c>
      <c r="BL31" s="57" t="s">
        <v>1288</v>
      </c>
      <c r="BM31" s="57" t="s">
        <v>1288</v>
      </c>
      <c r="BN31" s="57" t="s">
        <v>1288</v>
      </c>
      <c r="BO31" s="57" t="s">
        <v>1288</v>
      </c>
      <c r="BP31" s="57" t="s">
        <v>1288</v>
      </c>
      <c r="BQ31" s="57" t="s">
        <v>1288</v>
      </c>
      <c r="BR31" s="57" t="s">
        <v>1288</v>
      </c>
      <c r="BS31" s="57" t="s">
        <v>1288</v>
      </c>
      <c r="BT31" s="57" t="s">
        <v>1288</v>
      </c>
      <c r="BU31" s="57" t="s">
        <v>1288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1375</v>
      </c>
      <c r="BF32" s="119">
        <v>3.6</v>
      </c>
      <c r="BG32" s="49" t="s">
        <v>1378</v>
      </c>
      <c r="BH32" s="49" t="s">
        <v>1378</v>
      </c>
      <c r="BI32" s="1"/>
      <c r="BJ32" s="70" t="s">
        <v>1288</v>
      </c>
      <c r="BK32" s="57" t="s">
        <v>1288</v>
      </c>
      <c r="BL32" s="57" t="s">
        <v>1288</v>
      </c>
      <c r="BM32" s="57" t="s">
        <v>1288</v>
      </c>
      <c r="BN32" s="57" t="s">
        <v>1288</v>
      </c>
      <c r="BO32" s="57" t="s">
        <v>1288</v>
      </c>
      <c r="BP32" s="57" t="s">
        <v>1288</v>
      </c>
      <c r="BQ32" s="57" t="s">
        <v>1288</v>
      </c>
      <c r="BR32" s="57" t="s">
        <v>1288</v>
      </c>
      <c r="BS32" s="57" t="s">
        <v>1288</v>
      </c>
      <c r="BT32" s="57" t="s">
        <v>1288</v>
      </c>
      <c r="BU32" s="57" t="s">
        <v>1288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1375</v>
      </c>
      <c r="BF33" s="119">
        <v>3.27</v>
      </c>
      <c r="BG33" s="49" t="s">
        <v>1378</v>
      </c>
      <c r="BH33" s="49" t="s">
        <v>1378</v>
      </c>
      <c r="BI33" s="1"/>
      <c r="BJ33" s="70" t="s">
        <v>1288</v>
      </c>
      <c r="BK33" s="57" t="s">
        <v>1288</v>
      </c>
      <c r="BL33" s="57" t="s">
        <v>1288</v>
      </c>
      <c r="BM33" s="57" t="s">
        <v>1288</v>
      </c>
      <c r="BN33" s="57" t="s">
        <v>1288</v>
      </c>
      <c r="BO33" s="57" t="s">
        <v>1288</v>
      </c>
      <c r="BP33" s="57" t="s">
        <v>1288</v>
      </c>
      <c r="BQ33" s="57" t="s">
        <v>1288</v>
      </c>
      <c r="BR33" s="57" t="s">
        <v>1288</v>
      </c>
      <c r="BS33" s="57" t="s">
        <v>1288</v>
      </c>
      <c r="BT33" s="57" t="s">
        <v>1288</v>
      </c>
      <c r="BU33" s="57" t="s">
        <v>1288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1375</v>
      </c>
      <c r="BF34" s="119">
        <v>3.34</v>
      </c>
      <c r="BG34" s="49" t="s">
        <v>1378</v>
      </c>
      <c r="BH34" s="49" t="s">
        <v>1378</v>
      </c>
      <c r="BI34" s="1"/>
      <c r="BJ34" s="70" t="s">
        <v>1288</v>
      </c>
      <c r="BK34" s="57" t="s">
        <v>1288</v>
      </c>
      <c r="BL34" s="57" t="s">
        <v>1288</v>
      </c>
      <c r="BM34" s="57" t="s">
        <v>1288</v>
      </c>
      <c r="BN34" s="57" t="s">
        <v>1288</v>
      </c>
      <c r="BO34" s="57" t="s">
        <v>1288</v>
      </c>
      <c r="BP34" s="57" t="s">
        <v>1288</v>
      </c>
      <c r="BQ34" s="57" t="s">
        <v>1288</v>
      </c>
      <c r="BR34" s="57" t="s">
        <v>1288</v>
      </c>
      <c r="BS34" s="57" t="s">
        <v>1288</v>
      </c>
      <c r="BT34" s="57" t="s">
        <v>1288</v>
      </c>
      <c r="BU34" s="57" t="s">
        <v>1288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1377</v>
      </c>
      <c r="BE35" s="3" t="s">
        <v>1375</v>
      </c>
      <c r="BF35" s="119">
        <v>2.7</v>
      </c>
      <c r="BG35" s="49" t="s">
        <v>1378</v>
      </c>
      <c r="BH35" s="49" t="s">
        <v>1378</v>
      </c>
      <c r="BI35" s="1"/>
      <c r="BJ35" s="70" t="s">
        <v>1288</v>
      </c>
      <c r="BK35" s="57" t="s">
        <v>1288</v>
      </c>
      <c r="BL35" s="57" t="s">
        <v>1288</v>
      </c>
      <c r="BM35" s="57" t="s">
        <v>1288</v>
      </c>
      <c r="BN35" s="57" t="s">
        <v>1288</v>
      </c>
      <c r="BO35" s="57" t="s">
        <v>1288</v>
      </c>
      <c r="BP35" s="57" t="s">
        <v>1288</v>
      </c>
      <c r="BQ35" s="57" t="s">
        <v>1288</v>
      </c>
      <c r="BR35" s="57" t="s">
        <v>1288</v>
      </c>
      <c r="BS35" s="57" t="s">
        <v>1288</v>
      </c>
      <c r="BT35" s="57" t="s">
        <v>1288</v>
      </c>
      <c r="BU35" s="57" t="s">
        <v>1288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1375</v>
      </c>
      <c r="BF36" s="119">
        <v>1.8</v>
      </c>
      <c r="BG36" s="49" t="s">
        <v>1378</v>
      </c>
      <c r="BH36" s="49" t="s">
        <v>1378</v>
      </c>
      <c r="BI36" s="1"/>
      <c r="BJ36" s="70" t="s">
        <v>1288</v>
      </c>
      <c r="BK36" s="57" t="s">
        <v>1288</v>
      </c>
      <c r="BL36" s="57" t="s">
        <v>1288</v>
      </c>
      <c r="BM36" s="57" t="s">
        <v>1288</v>
      </c>
      <c r="BN36" s="57" t="s">
        <v>1288</v>
      </c>
      <c r="BO36" s="57" t="s">
        <v>1288</v>
      </c>
      <c r="BP36" s="57" t="s">
        <v>1288</v>
      </c>
      <c r="BQ36" s="57" t="s">
        <v>1288</v>
      </c>
      <c r="BR36" s="57" t="s">
        <v>1288</v>
      </c>
      <c r="BS36" s="57" t="s">
        <v>1288</v>
      </c>
      <c r="BT36" s="57" t="s">
        <v>1288</v>
      </c>
      <c r="BU36" s="57" t="s">
        <v>1288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1430</v>
      </c>
      <c r="BE37" s="3" t="s">
        <v>1429</v>
      </c>
      <c r="BF37" s="119">
        <v>2.6</v>
      </c>
      <c r="BG37" s="49" t="s">
        <v>1378</v>
      </c>
      <c r="BH37" s="49" t="s">
        <v>1378</v>
      </c>
      <c r="BI37" s="1"/>
      <c r="BJ37" s="70" t="s">
        <v>1288</v>
      </c>
      <c r="BK37" s="57" t="s">
        <v>1288</v>
      </c>
      <c r="BL37" s="57" t="s">
        <v>1288</v>
      </c>
      <c r="BM37" s="57" t="s">
        <v>1288</v>
      </c>
      <c r="BN37" s="57" t="s">
        <v>1288</v>
      </c>
      <c r="BO37" s="57" t="s">
        <v>1288</v>
      </c>
      <c r="BP37" s="57" t="s">
        <v>1288</v>
      </c>
      <c r="BQ37" s="57" t="s">
        <v>1288</v>
      </c>
      <c r="BR37" s="57" t="s">
        <v>1288</v>
      </c>
      <c r="BS37" s="57" t="s">
        <v>1288</v>
      </c>
      <c r="BT37" s="57" t="s">
        <v>1288</v>
      </c>
      <c r="BU37" s="57" t="s">
        <v>1288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1293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0" si="225">_xlfn.AGGREGATE(9,6,CH38:CS38)-_xlfn.AGGREGATE(9,6,BV38:CG38)+12</f>
        <v>251</v>
      </c>
      <c r="BD38" s="4" t="s">
        <v>1376</v>
      </c>
      <c r="BE38" s="3" t="s">
        <v>1292</v>
      </c>
      <c r="BF38" s="119">
        <v>3.4</v>
      </c>
      <c r="BG38" s="49" t="s">
        <v>1282</v>
      </c>
      <c r="BH38" s="49" t="s">
        <v>1282</v>
      </c>
      <c r="BI38" s="1"/>
      <c r="BJ38" s="70" t="s">
        <v>1288</v>
      </c>
      <c r="BK38" s="57" t="s">
        <v>1288</v>
      </c>
      <c r="BL38" s="57" t="s">
        <v>1288</v>
      </c>
      <c r="BM38" s="57" t="s">
        <v>1288</v>
      </c>
      <c r="BN38" s="57" t="s">
        <v>1288</v>
      </c>
      <c r="BO38" s="57" t="s">
        <v>1288</v>
      </c>
      <c r="BP38" s="57" t="s">
        <v>1288</v>
      </c>
      <c r="BQ38" s="57" t="s">
        <v>1288</v>
      </c>
      <c r="BR38" s="57" t="s">
        <v>1288</v>
      </c>
      <c r="BS38" s="57" t="s">
        <v>1288</v>
      </c>
      <c r="BT38" s="57" t="s">
        <v>1288</v>
      </c>
      <c r="BU38" s="57" t="s">
        <v>1288</v>
      </c>
      <c r="BV38" s="70">
        <f t="shared" ref="BV38:BV100" si="226">E38</f>
        <v>6</v>
      </c>
      <c r="BW38" s="71">
        <f t="shared" ref="BW38:BW100" si="227">I38</f>
        <v>35</v>
      </c>
      <c r="BX38" s="72">
        <f t="shared" ref="BX38:BX100" si="228">M38</f>
        <v>39</v>
      </c>
      <c r="BY38" s="71">
        <f t="shared" ref="BY38:BY100" si="229">Q38</f>
        <v>70</v>
      </c>
      <c r="BZ38" s="72">
        <f t="shared" ref="BZ38:BZ100" si="230">U38</f>
        <v>73</v>
      </c>
      <c r="CA38" s="71">
        <f t="shared" ref="CA38:CA100" si="231">Y38</f>
        <v>109</v>
      </c>
      <c r="CB38" s="72">
        <f t="shared" ref="CB38:CB100" si="232">AC38</f>
        <v>117</v>
      </c>
      <c r="CC38" s="71">
        <f t="shared" ref="CC38:CC100" si="233">AG38</f>
        <v>166</v>
      </c>
      <c r="CD38" s="72">
        <f t="shared" ref="CD38:CD100" si="234">AK38</f>
        <v>173</v>
      </c>
      <c r="CE38" s="71">
        <f t="shared" ref="CE38:CE100" si="235">AO38</f>
        <v>224</v>
      </c>
      <c r="CF38" s="72">
        <f t="shared" ref="CF38:CF100" si="236">AS38</f>
        <v>266</v>
      </c>
      <c r="CG38" s="71">
        <f t="shared" ref="CG38:CG100" si="237">AW38</f>
        <v>292</v>
      </c>
      <c r="CH38" s="70">
        <f t="shared" ref="CH38:CH100" si="238">G38</f>
        <v>34</v>
      </c>
      <c r="CI38" s="71">
        <f t="shared" ref="CI38:CI100" si="239">K38</f>
        <v>38</v>
      </c>
      <c r="CJ38" s="72">
        <f t="shared" ref="CJ38:CJ100" si="240">O38</f>
        <v>69</v>
      </c>
      <c r="CK38" s="72">
        <f t="shared" ref="CK38:CK100" si="241">S38</f>
        <v>72</v>
      </c>
      <c r="CL38" s="72">
        <f t="shared" ref="CL38:CL100" si="242">W38</f>
        <v>108</v>
      </c>
      <c r="CM38" s="72">
        <f t="shared" ref="CM38:CM100" si="243">AA38</f>
        <v>116</v>
      </c>
      <c r="CN38" s="72">
        <f t="shared" ref="CN38:CN100" si="244">AE38</f>
        <v>142</v>
      </c>
      <c r="CO38" s="72">
        <f t="shared" ref="CO38:CO100" si="245">AI38</f>
        <v>168</v>
      </c>
      <c r="CP38" s="72">
        <f t="shared" ref="CP38:CP100" si="246">AM38</f>
        <v>207</v>
      </c>
      <c r="CQ38" s="72">
        <f t="shared" ref="CQ38:CQ100" si="247">AQ38</f>
        <v>259</v>
      </c>
      <c r="CR38" s="72">
        <f t="shared" ref="CR38:CR100" si="248">AU38</f>
        <v>291</v>
      </c>
      <c r="CS38" s="72">
        <f t="shared" ref="CS38:CS100" si="249">AY38</f>
        <v>305</v>
      </c>
      <c r="CT38" s="23">
        <f t="shared" ref="CT38:CT100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1375</v>
      </c>
      <c r="BF39" s="119">
        <v>1.72</v>
      </c>
      <c r="BG39" s="49" t="s">
        <v>1378</v>
      </c>
      <c r="BH39" s="49" t="s">
        <v>1378</v>
      </c>
      <c r="BI39" s="1"/>
      <c r="BJ39" s="70" t="s">
        <v>1288</v>
      </c>
      <c r="BK39" s="57" t="s">
        <v>1288</v>
      </c>
      <c r="BL39" s="57" t="s">
        <v>1288</v>
      </c>
      <c r="BM39" s="57" t="s">
        <v>1288</v>
      </c>
      <c r="BN39" s="57" t="s">
        <v>1288</v>
      </c>
      <c r="BO39" s="57" t="s">
        <v>1288</v>
      </c>
      <c r="BP39" s="57" t="s">
        <v>1288</v>
      </c>
      <c r="BQ39" s="57" t="s">
        <v>1288</v>
      </c>
      <c r="BR39" s="57" t="s">
        <v>1288</v>
      </c>
      <c r="BS39" s="57" t="s">
        <v>1288</v>
      </c>
      <c r="BT39" s="57" t="s">
        <v>1288</v>
      </c>
      <c r="BU39" s="57" t="s">
        <v>1288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1375</v>
      </c>
      <c r="BF40" s="119">
        <v>1.9</v>
      </c>
      <c r="BG40" s="49" t="s">
        <v>1378</v>
      </c>
      <c r="BH40" s="49" t="s">
        <v>1378</v>
      </c>
      <c r="BI40" s="1"/>
      <c r="BJ40" s="70" t="s">
        <v>1288</v>
      </c>
      <c r="BK40" s="57" t="s">
        <v>1288</v>
      </c>
      <c r="BL40" s="57" t="s">
        <v>1288</v>
      </c>
      <c r="BM40" s="57" t="s">
        <v>1288</v>
      </c>
      <c r="BN40" s="57" t="s">
        <v>1288</v>
      </c>
      <c r="BO40" s="57" t="s">
        <v>1288</v>
      </c>
      <c r="BP40" s="57" t="s">
        <v>1288</v>
      </c>
      <c r="BQ40" s="57" t="s">
        <v>1288</v>
      </c>
      <c r="BR40" s="57" t="s">
        <v>1288</v>
      </c>
      <c r="BS40" s="57" t="s">
        <v>1288</v>
      </c>
      <c r="BT40" s="57" t="s">
        <v>1288</v>
      </c>
      <c r="BU40" s="57" t="s">
        <v>1288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1348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1375</v>
      </c>
      <c r="BF41" s="119">
        <v>2</v>
      </c>
      <c r="BG41" s="49" t="s">
        <v>1378</v>
      </c>
      <c r="BH41" s="49" t="s">
        <v>1378</v>
      </c>
      <c r="BI41" s="1"/>
      <c r="BJ41" s="70" t="s">
        <v>1288</v>
      </c>
      <c r="BK41" s="57" t="s">
        <v>1288</v>
      </c>
      <c r="BL41" s="57" t="s">
        <v>1288</v>
      </c>
      <c r="BM41" s="57" t="s">
        <v>1288</v>
      </c>
      <c r="BN41" s="57" t="s">
        <v>1288</v>
      </c>
      <c r="BO41" s="57" t="s">
        <v>1288</v>
      </c>
      <c r="BP41" s="57" t="s">
        <v>1288</v>
      </c>
      <c r="BQ41" s="57" t="s">
        <v>1288</v>
      </c>
      <c r="BR41" s="57" t="s">
        <v>1288</v>
      </c>
      <c r="BS41" s="57" t="s">
        <v>1288</v>
      </c>
      <c r="BT41" s="57" t="s">
        <v>1288</v>
      </c>
      <c r="BU41" s="57" t="s">
        <v>1288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1349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1375</v>
      </c>
      <c r="BF42" s="119">
        <v>2.2000000000000002</v>
      </c>
      <c r="BG42" s="49" t="s">
        <v>1378</v>
      </c>
      <c r="BH42" s="49" t="s">
        <v>1378</v>
      </c>
      <c r="BI42" s="1"/>
      <c r="BJ42" s="70" t="s">
        <v>1288</v>
      </c>
      <c r="BK42" s="57" t="s">
        <v>1288</v>
      </c>
      <c r="BL42" s="57" t="s">
        <v>1288</v>
      </c>
      <c r="BM42" s="57" t="s">
        <v>1288</v>
      </c>
      <c r="BN42" s="57" t="s">
        <v>1288</v>
      </c>
      <c r="BO42" s="57" t="s">
        <v>1288</v>
      </c>
      <c r="BP42" s="57" t="s">
        <v>1288</v>
      </c>
      <c r="BQ42" s="57" t="s">
        <v>1288</v>
      </c>
      <c r="BR42" s="57" t="s">
        <v>1288</v>
      </c>
      <c r="BS42" s="57" t="s">
        <v>1288</v>
      </c>
      <c r="BT42" s="57" t="s">
        <v>1288</v>
      </c>
      <c r="BU42" s="57" t="s">
        <v>1288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1350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1375</v>
      </c>
      <c r="BF43" s="119">
        <v>2.1</v>
      </c>
      <c r="BG43" s="49" t="s">
        <v>1378</v>
      </c>
      <c r="BH43" s="49" t="s">
        <v>1378</v>
      </c>
      <c r="BI43" s="1"/>
      <c r="BJ43" s="70" t="s">
        <v>1288</v>
      </c>
      <c r="BK43" s="57" t="s">
        <v>1288</v>
      </c>
      <c r="BL43" s="57" t="s">
        <v>1288</v>
      </c>
      <c r="BM43" s="57" t="s">
        <v>1288</v>
      </c>
      <c r="BN43" s="57" t="s">
        <v>1288</v>
      </c>
      <c r="BO43" s="57" t="s">
        <v>1288</v>
      </c>
      <c r="BP43" s="57" t="s">
        <v>1288</v>
      </c>
      <c r="BQ43" s="57" t="s">
        <v>1288</v>
      </c>
      <c r="BR43" s="57" t="s">
        <v>1288</v>
      </c>
      <c r="BS43" s="57" t="s">
        <v>1288</v>
      </c>
      <c r="BT43" s="57" t="s">
        <v>1288</v>
      </c>
      <c r="BU43" s="57" t="s">
        <v>1288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1340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1375</v>
      </c>
      <c r="BF44" s="119">
        <v>2.5</v>
      </c>
      <c r="BG44" s="49" t="s">
        <v>1378</v>
      </c>
      <c r="BH44" s="49" t="s">
        <v>1378</v>
      </c>
      <c r="BI44" s="1"/>
      <c r="BJ44" s="70" t="s">
        <v>1288</v>
      </c>
      <c r="BK44" s="57" t="s">
        <v>1288</v>
      </c>
      <c r="BL44" s="57" t="s">
        <v>1288</v>
      </c>
      <c r="BM44" s="57" t="s">
        <v>1288</v>
      </c>
      <c r="BN44" s="57" t="s">
        <v>1288</v>
      </c>
      <c r="BO44" s="57" t="s">
        <v>1288</v>
      </c>
      <c r="BP44" s="57" t="s">
        <v>1288</v>
      </c>
      <c r="BQ44" s="57" t="s">
        <v>1288</v>
      </c>
      <c r="BR44" s="57" t="s">
        <v>1288</v>
      </c>
      <c r="BS44" s="57" t="s">
        <v>1288</v>
      </c>
      <c r="BT44" s="57" t="s">
        <v>1288</v>
      </c>
      <c r="BU44" s="57" t="s">
        <v>1288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1341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1375</v>
      </c>
      <c r="BF45" s="119">
        <v>2.5</v>
      </c>
      <c r="BG45" s="49" t="s">
        <v>1378</v>
      </c>
      <c r="BH45" s="49" t="s">
        <v>1378</v>
      </c>
      <c r="BI45" s="1"/>
      <c r="BJ45" s="70" t="s">
        <v>1288</v>
      </c>
      <c r="BK45" s="57" t="s">
        <v>1288</v>
      </c>
      <c r="BL45" s="57" t="s">
        <v>1288</v>
      </c>
      <c r="BM45" s="57" t="s">
        <v>1288</v>
      </c>
      <c r="BN45" s="57" t="s">
        <v>1288</v>
      </c>
      <c r="BO45" s="57" t="s">
        <v>1288</v>
      </c>
      <c r="BP45" s="57" t="s">
        <v>1288</v>
      </c>
      <c r="BQ45" s="57" t="s">
        <v>1288</v>
      </c>
      <c r="BR45" s="57" t="s">
        <v>1288</v>
      </c>
      <c r="BS45" s="57" t="s">
        <v>1288</v>
      </c>
      <c r="BT45" s="57" t="s">
        <v>1288</v>
      </c>
      <c r="BU45" s="57" t="s">
        <v>1288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1342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1375</v>
      </c>
      <c r="BF46" s="119">
        <v>1.9</v>
      </c>
      <c r="BG46" s="49" t="s">
        <v>1378</v>
      </c>
      <c r="BH46" s="49" t="s">
        <v>1378</v>
      </c>
      <c r="BI46" s="1"/>
      <c r="BJ46" s="70" t="s">
        <v>1288</v>
      </c>
      <c r="BK46" s="57" t="s">
        <v>1288</v>
      </c>
      <c r="BL46" s="57" t="s">
        <v>1288</v>
      </c>
      <c r="BM46" s="57" t="s">
        <v>1288</v>
      </c>
      <c r="BN46" s="57" t="s">
        <v>1288</v>
      </c>
      <c r="BO46" s="57" t="s">
        <v>1288</v>
      </c>
      <c r="BP46" s="57" t="s">
        <v>1288</v>
      </c>
      <c r="BQ46" s="57" t="s">
        <v>1288</v>
      </c>
      <c r="BR46" s="57" t="s">
        <v>1288</v>
      </c>
      <c r="BS46" s="57" t="s">
        <v>1288</v>
      </c>
      <c r="BT46" s="57" t="s">
        <v>1288</v>
      </c>
      <c r="BU46" s="57" t="s">
        <v>1288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1343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1375</v>
      </c>
      <c r="BF47" s="119">
        <v>1.9</v>
      </c>
      <c r="BG47" s="49" t="s">
        <v>1378</v>
      </c>
      <c r="BH47" s="49" t="s">
        <v>1378</v>
      </c>
      <c r="BI47" s="1"/>
      <c r="BJ47" s="70" t="s">
        <v>1288</v>
      </c>
      <c r="BK47" s="57" t="s">
        <v>1288</v>
      </c>
      <c r="BL47" s="57" t="s">
        <v>1288</v>
      </c>
      <c r="BM47" s="57" t="s">
        <v>1288</v>
      </c>
      <c r="BN47" s="57" t="s">
        <v>1288</v>
      </c>
      <c r="BO47" s="57" t="s">
        <v>1288</v>
      </c>
      <c r="BP47" s="57" t="s">
        <v>1288</v>
      </c>
      <c r="BQ47" s="57" t="s">
        <v>1288</v>
      </c>
      <c r="BR47" s="57" t="s">
        <v>1288</v>
      </c>
      <c r="BS47" s="57" t="s">
        <v>1288</v>
      </c>
      <c r="BT47" s="57" t="s">
        <v>1288</v>
      </c>
      <c r="BU47" s="57" t="s">
        <v>1288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1436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1375</v>
      </c>
      <c r="BF48" s="119">
        <v>2</v>
      </c>
      <c r="BG48" s="49" t="s">
        <v>1</v>
      </c>
      <c r="BH48" s="49" t="s">
        <v>1</v>
      </c>
      <c r="BI48" s="1"/>
      <c r="BJ48" s="70" t="s">
        <v>1288</v>
      </c>
      <c r="BK48" s="57" t="s">
        <v>1288</v>
      </c>
      <c r="BL48" s="57" t="s">
        <v>1288</v>
      </c>
      <c r="BM48" s="57" t="s">
        <v>1288</v>
      </c>
      <c r="BN48" s="57" t="s">
        <v>1288</v>
      </c>
      <c r="BO48" s="57" t="s">
        <v>1288</v>
      </c>
      <c r="BP48" s="57" t="s">
        <v>1288</v>
      </c>
      <c r="BQ48" s="57" t="s">
        <v>1288</v>
      </c>
      <c r="BR48" s="57" t="s">
        <v>1288</v>
      </c>
      <c r="BS48" s="57" t="s">
        <v>1288</v>
      </c>
      <c r="BT48" s="57" t="s">
        <v>1288</v>
      </c>
      <c r="BU48" s="57" t="s">
        <v>1288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1437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1375</v>
      </c>
      <c r="BF49" s="119">
        <v>3</v>
      </c>
      <c r="BG49" s="49" t="s">
        <v>1</v>
      </c>
      <c r="BH49" s="49" t="s">
        <v>1</v>
      </c>
      <c r="BI49" s="1"/>
      <c r="BJ49" s="70" t="s">
        <v>1288</v>
      </c>
      <c r="BK49" s="57" t="s">
        <v>1288</v>
      </c>
      <c r="BL49" s="57" t="s">
        <v>1288</v>
      </c>
      <c r="BM49" s="57" t="s">
        <v>1288</v>
      </c>
      <c r="BN49" s="57" t="s">
        <v>1288</v>
      </c>
      <c r="BO49" s="57" t="s">
        <v>1288</v>
      </c>
      <c r="BP49" s="57" t="s">
        <v>1288</v>
      </c>
      <c r="BQ49" s="57" t="s">
        <v>1288</v>
      </c>
      <c r="BR49" s="57" t="s">
        <v>1288</v>
      </c>
      <c r="BS49" s="57" t="s">
        <v>1288</v>
      </c>
      <c r="BT49" s="57" t="s">
        <v>1288</v>
      </c>
      <c r="BU49" s="57" t="s">
        <v>1288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1431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1375</v>
      </c>
      <c r="BF50" s="119">
        <v>2.9</v>
      </c>
      <c r="BG50" s="49" t="s">
        <v>1</v>
      </c>
      <c r="BH50" s="49" t="s">
        <v>1</v>
      </c>
      <c r="BI50" s="1"/>
      <c r="BJ50" s="70" t="s">
        <v>1288</v>
      </c>
      <c r="BK50" s="57" t="s">
        <v>1288</v>
      </c>
      <c r="BL50" s="57" t="s">
        <v>1288</v>
      </c>
      <c r="BM50" s="57" t="s">
        <v>1288</v>
      </c>
      <c r="BN50" s="57" t="s">
        <v>1288</v>
      </c>
      <c r="BO50" s="57" t="s">
        <v>1288</v>
      </c>
      <c r="BP50" s="57" t="s">
        <v>1288</v>
      </c>
      <c r="BQ50" s="57" t="s">
        <v>1288</v>
      </c>
      <c r="BR50" s="57" t="s">
        <v>1288</v>
      </c>
      <c r="BS50" s="57" t="s">
        <v>1288</v>
      </c>
      <c r="BT50" s="57" t="s">
        <v>1288</v>
      </c>
      <c r="BU50" s="57" t="s">
        <v>1288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1388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1375</v>
      </c>
      <c r="BF51" s="119">
        <v>3.5</v>
      </c>
      <c r="BG51" s="49" t="s">
        <v>1378</v>
      </c>
      <c r="BH51" s="49" t="s">
        <v>1378</v>
      </c>
      <c r="BI51" s="1"/>
      <c r="BJ51" s="70" t="s">
        <v>1288</v>
      </c>
      <c r="BK51" s="57" t="s">
        <v>1288</v>
      </c>
      <c r="BL51" s="57" t="s">
        <v>1288</v>
      </c>
      <c r="BM51" s="57" t="s">
        <v>1288</v>
      </c>
      <c r="BN51" s="57" t="s">
        <v>1288</v>
      </c>
      <c r="BO51" s="57" t="s">
        <v>1288</v>
      </c>
      <c r="BP51" s="57" t="s">
        <v>1288</v>
      </c>
      <c r="BQ51" s="57" t="s">
        <v>1288</v>
      </c>
      <c r="BR51" s="57" t="s">
        <v>1288</v>
      </c>
      <c r="BS51" s="57" t="s">
        <v>1288</v>
      </c>
      <c r="BT51" s="57" t="s">
        <v>1288</v>
      </c>
      <c r="BU51" s="57" t="s">
        <v>1288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1412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1375</v>
      </c>
      <c r="BF52" s="119">
        <v>3.2</v>
      </c>
      <c r="BG52" s="49" t="s">
        <v>1</v>
      </c>
      <c r="BH52" s="49" t="s">
        <v>1</v>
      </c>
      <c r="BI52" s="1"/>
      <c r="BJ52" s="70" t="s">
        <v>1288</v>
      </c>
      <c r="BK52" s="57" t="s">
        <v>1288</v>
      </c>
      <c r="BL52" s="57" t="s">
        <v>1288</v>
      </c>
      <c r="BM52" s="57" t="s">
        <v>1288</v>
      </c>
      <c r="BN52" s="57" t="s">
        <v>1288</v>
      </c>
      <c r="BO52" s="57" t="s">
        <v>1288</v>
      </c>
      <c r="BP52" s="57" t="s">
        <v>1288</v>
      </c>
      <c r="BQ52" s="57" t="s">
        <v>1288</v>
      </c>
      <c r="BR52" s="57" t="s">
        <v>1288</v>
      </c>
      <c r="BS52" s="57" t="s">
        <v>1288</v>
      </c>
      <c r="BT52" s="57" t="s">
        <v>1288</v>
      </c>
      <c r="BU52" s="57" t="s">
        <v>1288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1413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1375</v>
      </c>
      <c r="BF53" s="119">
        <v>2.8</v>
      </c>
      <c r="BG53" s="49" t="s">
        <v>1</v>
      </c>
      <c r="BH53" s="49" t="s">
        <v>1</v>
      </c>
      <c r="BI53" s="1"/>
      <c r="BJ53" s="70" t="s">
        <v>1288</v>
      </c>
      <c r="BK53" s="57" t="s">
        <v>1288</v>
      </c>
      <c r="BL53" s="57" t="s">
        <v>1288</v>
      </c>
      <c r="BM53" s="57" t="s">
        <v>1288</v>
      </c>
      <c r="BN53" s="57" t="s">
        <v>1288</v>
      </c>
      <c r="BO53" s="57" t="s">
        <v>1288</v>
      </c>
      <c r="BP53" s="57" t="s">
        <v>1288</v>
      </c>
      <c r="BQ53" s="57" t="s">
        <v>1288</v>
      </c>
      <c r="BR53" s="57" t="s">
        <v>1288</v>
      </c>
      <c r="BS53" s="57" t="s">
        <v>1288</v>
      </c>
      <c r="BT53" s="57" t="s">
        <v>1288</v>
      </c>
      <c r="BU53" s="57" t="s">
        <v>1288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1375</v>
      </c>
      <c r="BF54" s="119">
        <v>1.95</v>
      </c>
      <c r="BG54" s="49" t="s">
        <v>1</v>
      </c>
      <c r="BH54" s="49" t="s">
        <v>1</v>
      </c>
      <c r="BI54" s="1"/>
      <c r="BJ54" s="70" t="s">
        <v>1288</v>
      </c>
      <c r="BK54" s="57" t="s">
        <v>1288</v>
      </c>
      <c r="BL54" s="57" t="s">
        <v>1288</v>
      </c>
      <c r="BM54" s="57" t="s">
        <v>1288</v>
      </c>
      <c r="BN54" s="57" t="s">
        <v>1288</v>
      </c>
      <c r="BO54" s="57" t="s">
        <v>1288</v>
      </c>
      <c r="BP54" s="57" t="s">
        <v>1288</v>
      </c>
      <c r="BQ54" s="57" t="s">
        <v>1288</v>
      </c>
      <c r="BR54" s="57" t="s">
        <v>1288</v>
      </c>
      <c r="BS54" s="57" t="s">
        <v>1288</v>
      </c>
      <c r="BT54" s="57" t="s">
        <v>1288</v>
      </c>
      <c r="BU54" s="57" t="s">
        <v>1288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1561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1375</v>
      </c>
      <c r="BF55" s="120">
        <v>1.7</v>
      </c>
      <c r="BG55" s="51" t="s">
        <v>1</v>
      </c>
      <c r="BH55" s="51" t="s">
        <v>1</v>
      </c>
      <c r="BJ55" s="111" t="s">
        <v>1288</v>
      </c>
      <c r="BK55" s="112" t="s">
        <v>1288</v>
      </c>
      <c r="BL55" s="112" t="s">
        <v>1288</v>
      </c>
      <c r="BM55" s="112" t="s">
        <v>1288</v>
      </c>
      <c r="BN55" s="112" t="s">
        <v>1288</v>
      </c>
      <c r="BO55" s="112" t="s">
        <v>1288</v>
      </c>
      <c r="BP55" s="112" t="s">
        <v>1288</v>
      </c>
      <c r="BQ55" s="112" t="s">
        <v>1288</v>
      </c>
      <c r="BR55" s="112" t="s">
        <v>1288</v>
      </c>
      <c r="BS55" s="112" t="s">
        <v>1288</v>
      </c>
      <c r="BT55" s="112" t="s">
        <v>1288</v>
      </c>
      <c r="BU55" s="112" t="s">
        <v>1288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1562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1375</v>
      </c>
      <c r="BF56" s="120">
        <v>2.14</v>
      </c>
      <c r="BG56" s="51" t="s">
        <v>1</v>
      </c>
      <c r="BH56" s="51" t="s">
        <v>1</v>
      </c>
      <c r="BJ56" s="111" t="s">
        <v>1288</v>
      </c>
      <c r="BK56" s="112" t="s">
        <v>1288</v>
      </c>
      <c r="BL56" s="112" t="s">
        <v>1288</v>
      </c>
      <c r="BM56" s="112" t="s">
        <v>1288</v>
      </c>
      <c r="BN56" s="112" t="s">
        <v>1288</v>
      </c>
      <c r="BO56" s="112" t="s">
        <v>1288</v>
      </c>
      <c r="BP56" s="112" t="s">
        <v>1288</v>
      </c>
      <c r="BQ56" s="112" t="s">
        <v>1288</v>
      </c>
      <c r="BR56" s="112" t="s">
        <v>1288</v>
      </c>
      <c r="BS56" s="112" t="s">
        <v>1288</v>
      </c>
      <c r="BT56" s="112" t="s">
        <v>1288</v>
      </c>
      <c r="BU56" s="112" t="s">
        <v>1288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1450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1375</v>
      </c>
      <c r="BF57" s="119">
        <v>2.35</v>
      </c>
      <c r="BG57" s="49" t="s">
        <v>1</v>
      </c>
      <c r="BH57" s="49" t="s">
        <v>1</v>
      </c>
      <c r="BI57" s="1"/>
      <c r="BJ57" s="70" t="s">
        <v>1288</v>
      </c>
      <c r="BK57" s="57" t="s">
        <v>1288</v>
      </c>
      <c r="BL57" s="57" t="s">
        <v>1288</v>
      </c>
      <c r="BM57" s="57" t="s">
        <v>1288</v>
      </c>
      <c r="BN57" s="57" t="s">
        <v>1288</v>
      </c>
      <c r="BO57" s="57" t="s">
        <v>1288</v>
      </c>
      <c r="BP57" s="57" t="s">
        <v>1288</v>
      </c>
      <c r="BQ57" s="57" t="s">
        <v>1288</v>
      </c>
      <c r="BR57" s="57" t="s">
        <v>1288</v>
      </c>
      <c r="BS57" s="57" t="s">
        <v>1288</v>
      </c>
      <c r="BT57" s="57" t="s">
        <v>1288</v>
      </c>
      <c r="BU57" s="57" t="s">
        <v>1288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1455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1375</v>
      </c>
      <c r="BF58" s="119">
        <v>1.87</v>
      </c>
      <c r="BG58" s="49" t="s">
        <v>1</v>
      </c>
      <c r="BH58" s="49" t="s">
        <v>1</v>
      </c>
      <c r="BI58" s="1"/>
      <c r="BJ58" s="70" t="s">
        <v>1288</v>
      </c>
      <c r="BK58" s="57" t="s">
        <v>1288</v>
      </c>
      <c r="BL58" s="57" t="s">
        <v>1288</v>
      </c>
      <c r="BM58" s="57" t="s">
        <v>1288</v>
      </c>
      <c r="BN58" s="57" t="s">
        <v>1288</v>
      </c>
      <c r="BO58" s="57" t="s">
        <v>1288</v>
      </c>
      <c r="BP58" s="57" t="s">
        <v>1288</v>
      </c>
      <c r="BQ58" s="57" t="s">
        <v>1288</v>
      </c>
      <c r="BR58" s="57" t="s">
        <v>1288</v>
      </c>
      <c r="BS58" s="57" t="s">
        <v>1288</v>
      </c>
      <c r="BT58" s="57" t="s">
        <v>1288</v>
      </c>
      <c r="BU58" s="57" t="s">
        <v>1288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1456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1375</v>
      </c>
      <c r="BF59" s="119">
        <v>2.6</v>
      </c>
      <c r="BG59" s="49" t="s">
        <v>1</v>
      </c>
      <c r="BH59" s="49" t="s">
        <v>1</v>
      </c>
      <c r="BI59" s="1"/>
      <c r="BJ59" s="70" t="s">
        <v>1288</v>
      </c>
      <c r="BK59" s="57" t="s">
        <v>1288</v>
      </c>
      <c r="BL59" s="57" t="s">
        <v>1288</v>
      </c>
      <c r="BM59" s="57" t="s">
        <v>1288</v>
      </c>
      <c r="BN59" s="57" t="s">
        <v>1288</v>
      </c>
      <c r="BO59" s="57" t="s">
        <v>1288</v>
      </c>
      <c r="BP59" s="57" t="s">
        <v>1288</v>
      </c>
      <c r="BQ59" s="57" t="s">
        <v>1288</v>
      </c>
      <c r="BR59" s="57" t="s">
        <v>1288</v>
      </c>
      <c r="BS59" s="57" t="s">
        <v>1288</v>
      </c>
      <c r="BT59" s="57" t="s">
        <v>1288</v>
      </c>
      <c r="BU59" s="57" t="s">
        <v>1288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1457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1375</v>
      </c>
      <c r="BF60" s="119">
        <v>3.1</v>
      </c>
      <c r="BG60" s="49" t="s">
        <v>1</v>
      </c>
      <c r="BH60" s="49" t="s">
        <v>1</v>
      </c>
      <c r="BI60" s="1"/>
      <c r="BJ60" s="70" t="s">
        <v>1288</v>
      </c>
      <c r="BK60" s="57" t="s">
        <v>1288</v>
      </c>
      <c r="BL60" s="57" t="s">
        <v>1288</v>
      </c>
      <c r="BM60" s="57" t="s">
        <v>1288</v>
      </c>
      <c r="BN60" s="57" t="s">
        <v>1288</v>
      </c>
      <c r="BO60" s="57" t="s">
        <v>1288</v>
      </c>
      <c r="BP60" s="57" t="s">
        <v>1288</v>
      </c>
      <c r="BQ60" s="57" t="s">
        <v>1288</v>
      </c>
      <c r="BR60" s="57" t="s">
        <v>1288</v>
      </c>
      <c r="BS60" s="57" t="s">
        <v>1288</v>
      </c>
      <c r="BT60" s="57" t="s">
        <v>1288</v>
      </c>
      <c r="BU60" s="57" t="s">
        <v>1288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1458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1375</v>
      </c>
      <c r="BF61" s="119">
        <v>2</v>
      </c>
      <c r="BG61" s="49" t="s">
        <v>1</v>
      </c>
      <c r="BH61" s="49" t="s">
        <v>1</v>
      </c>
      <c r="BI61" s="1"/>
      <c r="BJ61" s="70" t="s">
        <v>1288</v>
      </c>
      <c r="BK61" s="57" t="s">
        <v>1288</v>
      </c>
      <c r="BL61" s="57" t="s">
        <v>1288</v>
      </c>
      <c r="BM61" s="57" t="s">
        <v>1288</v>
      </c>
      <c r="BN61" s="57" t="s">
        <v>1288</v>
      </c>
      <c r="BO61" s="57" t="s">
        <v>1288</v>
      </c>
      <c r="BP61" s="57" t="s">
        <v>1288</v>
      </c>
      <c r="BQ61" s="57" t="s">
        <v>1288</v>
      </c>
      <c r="BR61" s="57" t="s">
        <v>1288</v>
      </c>
      <c r="BS61" s="57" t="s">
        <v>1288</v>
      </c>
      <c r="BT61" s="57" t="s">
        <v>1288</v>
      </c>
      <c r="BU61" s="57" t="s">
        <v>1288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1459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1375</v>
      </c>
      <c r="BF62" s="119">
        <v>1.9</v>
      </c>
      <c r="BG62" s="49" t="s">
        <v>1</v>
      </c>
      <c r="BH62" s="49" t="s">
        <v>1</v>
      </c>
      <c r="BI62" s="1"/>
      <c r="BJ62" s="70" t="s">
        <v>1288</v>
      </c>
      <c r="BK62" s="57" t="s">
        <v>1288</v>
      </c>
      <c r="BL62" s="57" t="s">
        <v>1288</v>
      </c>
      <c r="BM62" s="57" t="s">
        <v>1288</v>
      </c>
      <c r="BN62" s="57" t="s">
        <v>1288</v>
      </c>
      <c r="BO62" s="57" t="s">
        <v>1288</v>
      </c>
      <c r="BP62" s="57" t="s">
        <v>1288</v>
      </c>
      <c r="BQ62" s="57" t="s">
        <v>1288</v>
      </c>
      <c r="BR62" s="57" t="s">
        <v>1288</v>
      </c>
      <c r="BS62" s="57" t="s">
        <v>1288</v>
      </c>
      <c r="BT62" s="57" t="s">
        <v>1288</v>
      </c>
      <c r="BU62" s="57" t="s">
        <v>1288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1460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1375</v>
      </c>
      <c r="BF63" s="119">
        <v>2.1</v>
      </c>
      <c r="BG63" s="49" t="s">
        <v>1</v>
      </c>
      <c r="BH63" s="49" t="s">
        <v>1</v>
      </c>
      <c r="BI63" s="1"/>
      <c r="BJ63" s="70" t="s">
        <v>1288</v>
      </c>
      <c r="BK63" s="57" t="s">
        <v>1288</v>
      </c>
      <c r="BL63" s="57" t="s">
        <v>1288</v>
      </c>
      <c r="BM63" s="57" t="s">
        <v>1288</v>
      </c>
      <c r="BN63" s="57" t="s">
        <v>1288</v>
      </c>
      <c r="BO63" s="57" t="s">
        <v>1288</v>
      </c>
      <c r="BP63" s="57" t="s">
        <v>1288</v>
      </c>
      <c r="BQ63" s="57" t="s">
        <v>1288</v>
      </c>
      <c r="BR63" s="57" t="s">
        <v>1288</v>
      </c>
      <c r="BS63" s="57" t="s">
        <v>1288</v>
      </c>
      <c r="BT63" s="57" t="s">
        <v>1288</v>
      </c>
      <c r="BU63" s="57" t="s">
        <v>1288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1461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1375</v>
      </c>
      <c r="BF64" s="119">
        <v>2</v>
      </c>
      <c r="BG64" s="49" t="s">
        <v>1</v>
      </c>
      <c r="BH64" s="49" t="s">
        <v>1</v>
      </c>
      <c r="BI64" s="1"/>
      <c r="BJ64" s="70" t="s">
        <v>1288</v>
      </c>
      <c r="BK64" s="57" t="s">
        <v>1288</v>
      </c>
      <c r="BL64" s="57" t="s">
        <v>1288</v>
      </c>
      <c r="BM64" s="57" t="s">
        <v>1288</v>
      </c>
      <c r="BN64" s="57" t="s">
        <v>1288</v>
      </c>
      <c r="BO64" s="57" t="s">
        <v>1288</v>
      </c>
      <c r="BP64" s="57" t="s">
        <v>1288</v>
      </c>
      <c r="BQ64" s="57" t="s">
        <v>1288</v>
      </c>
      <c r="BR64" s="57" t="s">
        <v>1288</v>
      </c>
      <c r="BS64" s="57" t="s">
        <v>1288</v>
      </c>
      <c r="BT64" s="57" t="s">
        <v>1288</v>
      </c>
      <c r="BU64" s="57" t="s">
        <v>1288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1462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1375</v>
      </c>
      <c r="BF65" s="119">
        <v>2.5099999999999998</v>
      </c>
      <c r="BG65" s="49" t="s">
        <v>1</v>
      </c>
      <c r="BH65" s="49" t="s">
        <v>1</v>
      </c>
      <c r="BI65" s="1"/>
      <c r="BJ65" s="70" t="s">
        <v>1288</v>
      </c>
      <c r="BK65" s="57" t="s">
        <v>1288</v>
      </c>
      <c r="BL65" s="57" t="s">
        <v>1288</v>
      </c>
      <c r="BM65" s="57" t="s">
        <v>1288</v>
      </c>
      <c r="BN65" s="57" t="s">
        <v>1288</v>
      </c>
      <c r="BO65" s="57" t="s">
        <v>1288</v>
      </c>
      <c r="BP65" s="57" t="s">
        <v>1288</v>
      </c>
      <c r="BQ65" s="57" t="s">
        <v>1288</v>
      </c>
      <c r="BR65" s="57" t="s">
        <v>1288</v>
      </c>
      <c r="BS65" s="57" t="s">
        <v>1288</v>
      </c>
      <c r="BT65" s="57" t="s">
        <v>1288</v>
      </c>
      <c r="BU65" s="57" t="s">
        <v>1288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1471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1472</v>
      </c>
      <c r="BF66" s="119">
        <v>2.6</v>
      </c>
      <c r="BG66" s="49" t="s">
        <v>1</v>
      </c>
      <c r="BH66" s="49" t="s">
        <v>1</v>
      </c>
      <c r="BI66" s="1"/>
      <c r="BJ66" s="70" t="s">
        <v>1288</v>
      </c>
      <c r="BK66" s="57" t="s">
        <v>1288</v>
      </c>
      <c r="BL66" s="57" t="s">
        <v>1288</v>
      </c>
      <c r="BM66" s="57" t="s">
        <v>1288</v>
      </c>
      <c r="BN66" s="57" t="s">
        <v>1288</v>
      </c>
      <c r="BO66" s="57" t="s">
        <v>1288</v>
      </c>
      <c r="BP66" s="57" t="s">
        <v>1288</v>
      </c>
      <c r="BQ66" s="57" t="s">
        <v>1288</v>
      </c>
      <c r="BR66" s="57" t="s">
        <v>1288</v>
      </c>
      <c r="BS66" s="57" t="s">
        <v>1288</v>
      </c>
      <c r="BT66" s="57" t="s">
        <v>1288</v>
      </c>
      <c r="BU66" s="57" t="s">
        <v>1288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1473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1472</v>
      </c>
      <c r="BF67" s="119">
        <v>2.9</v>
      </c>
      <c r="BG67" s="49" t="s">
        <v>1</v>
      </c>
      <c r="BH67" s="49" t="s">
        <v>1</v>
      </c>
      <c r="BI67" s="1"/>
      <c r="BJ67" s="70" t="s">
        <v>1288</v>
      </c>
      <c r="BK67" s="57" t="s">
        <v>1288</v>
      </c>
      <c r="BL67" s="57" t="s">
        <v>1288</v>
      </c>
      <c r="BM67" s="57" t="s">
        <v>1288</v>
      </c>
      <c r="BN67" s="57" t="s">
        <v>1288</v>
      </c>
      <c r="BO67" s="57" t="s">
        <v>1288</v>
      </c>
      <c r="BP67" s="57" t="s">
        <v>1288</v>
      </c>
      <c r="BQ67" s="57" t="s">
        <v>1288</v>
      </c>
      <c r="BR67" s="57" t="s">
        <v>1288</v>
      </c>
      <c r="BS67" s="57" t="s">
        <v>1288</v>
      </c>
      <c r="BT67" s="57" t="s">
        <v>1288</v>
      </c>
      <c r="BU67" s="57" t="s">
        <v>1288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1493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1292</v>
      </c>
      <c r="BF68" s="119">
        <v>4.1100000000000003</v>
      </c>
      <c r="BG68" s="49" t="s">
        <v>1</v>
      </c>
      <c r="BH68" s="49" t="s">
        <v>1</v>
      </c>
      <c r="BI68" s="1"/>
      <c r="BJ68" s="70" t="s">
        <v>1288</v>
      </c>
      <c r="BK68" s="57" t="s">
        <v>1288</v>
      </c>
      <c r="BL68" s="57" t="s">
        <v>1288</v>
      </c>
      <c r="BM68" s="57" t="s">
        <v>1288</v>
      </c>
      <c r="BN68" s="57" t="s">
        <v>1288</v>
      </c>
      <c r="BO68" s="57" t="s">
        <v>1288</v>
      </c>
      <c r="BP68" s="57" t="s">
        <v>1288</v>
      </c>
      <c r="BQ68" s="57" t="s">
        <v>1288</v>
      </c>
      <c r="BR68" s="57" t="s">
        <v>1288</v>
      </c>
      <c r="BS68" s="57" t="s">
        <v>1288</v>
      </c>
      <c r="BT68" s="57" t="s">
        <v>1288</v>
      </c>
      <c r="BU68" s="57" t="s">
        <v>1288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1573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1375</v>
      </c>
      <c r="BF69" s="120">
        <v>4.2</v>
      </c>
      <c r="BG69" s="51" t="s">
        <v>1</v>
      </c>
      <c r="BH69" s="51" t="s">
        <v>1</v>
      </c>
      <c r="BJ69" s="111" t="s">
        <v>1288</v>
      </c>
      <c r="BK69" s="112" t="s">
        <v>1288</v>
      </c>
      <c r="BL69" s="112" t="s">
        <v>1288</v>
      </c>
      <c r="BM69" s="112" t="s">
        <v>1288</v>
      </c>
      <c r="BN69" s="112" t="s">
        <v>1288</v>
      </c>
      <c r="BO69" s="112" t="s">
        <v>1288</v>
      </c>
      <c r="BP69" s="112" t="s">
        <v>1288</v>
      </c>
      <c r="BQ69" s="112" t="s">
        <v>1288</v>
      </c>
      <c r="BR69" s="112" t="s">
        <v>1288</v>
      </c>
      <c r="BS69" s="112" t="s">
        <v>1288</v>
      </c>
      <c r="BT69" s="112" t="s">
        <v>1288</v>
      </c>
      <c r="BU69" s="112" t="s">
        <v>1288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1583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1375</v>
      </c>
      <c r="BF70" s="120">
        <v>2</v>
      </c>
      <c r="BG70" s="51" t="s">
        <v>1</v>
      </c>
      <c r="BH70" s="51" t="s">
        <v>1</v>
      </c>
      <c r="BJ70" s="111" t="s">
        <v>1288</v>
      </c>
      <c r="BK70" s="112" t="s">
        <v>1288</v>
      </c>
      <c r="BL70" s="112" t="s">
        <v>1288</v>
      </c>
      <c r="BM70" s="112" t="s">
        <v>1288</v>
      </c>
      <c r="BN70" s="112" t="s">
        <v>1288</v>
      </c>
      <c r="BO70" s="112" t="s">
        <v>1288</v>
      </c>
      <c r="BP70" s="112" t="s">
        <v>1288</v>
      </c>
      <c r="BQ70" s="112" t="s">
        <v>1288</v>
      </c>
      <c r="BR70" s="112" t="s">
        <v>1288</v>
      </c>
      <c r="BS70" s="112" t="s">
        <v>1288</v>
      </c>
      <c r="BT70" s="112" t="s">
        <v>1288</v>
      </c>
      <c r="BU70" s="112" t="s">
        <v>1288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x14ac:dyDescent="0.2">
      <c r="A71" s="3" t="str">
        <f t="shared" si="0"/>
        <v>acm1_human__wt</v>
      </c>
      <c r="B71" s="3" t="s">
        <v>146</v>
      </c>
      <c r="C71" s="3" t="s">
        <v>100</v>
      </c>
      <c r="D71" s="3" t="str">
        <f>IFERROR(MID(VLOOKUP($B71,Seqs!$A:$B,2,0),E71,1),"")</f>
        <v>P</v>
      </c>
      <c r="E71" s="3">
        <v>22</v>
      </c>
      <c r="F71" s="3" t="str">
        <f>IFERROR(MID(VLOOKUP($B71,Seqs!$A:$B,2,0),G71,1),"")</f>
        <v>N</v>
      </c>
      <c r="G71" s="3">
        <v>53</v>
      </c>
      <c r="H71" s="3" t="str">
        <f>IFERROR(MID(VLOOKUP($B71,Seqs!$A:$B,2,0),I71,1),"")</f>
        <v>T</v>
      </c>
      <c r="I71" s="23">
        <v>54</v>
      </c>
      <c r="J71" s="3" t="str">
        <f>IFERROR(MID(VLOOKUP($B71,Seqs!$A:$B,2,0),K71,1),"")</f>
        <v>K</v>
      </c>
      <c r="K71" s="23">
        <v>57</v>
      </c>
      <c r="L71" s="3" t="str">
        <f>IFERROR(MID(VLOOKUP($B71,Seqs!$A:$B,2,0),M71,1),"")</f>
        <v>T</v>
      </c>
      <c r="M71" s="3">
        <v>58</v>
      </c>
      <c r="N71" s="3" t="str">
        <f>IFERROR(MID(VLOOKUP($B71,Seqs!$A:$B,2,0),O71,1),"")</f>
        <v>G</v>
      </c>
      <c r="O71" s="3">
        <v>89</v>
      </c>
      <c r="P71" s="3" t="str">
        <f>IFERROR(MID(VLOOKUP($B71,Seqs!$A:$B,2,0),Q71,1),"")</f>
        <v>H</v>
      </c>
      <c r="Q71" s="3">
        <v>90</v>
      </c>
      <c r="R71" s="3" t="str">
        <f>IFERROR(MID(VLOOKUP($B71,Seqs!$A:$B,2,0),S71,1),"")</f>
        <v>L</v>
      </c>
      <c r="S71" s="3">
        <v>93</v>
      </c>
      <c r="T71" s="3" t="str">
        <f>IFERROR(MID(VLOOKUP($B71,Seqs!$A:$B,2,0),U71,1),"")</f>
        <v>G</v>
      </c>
      <c r="U71" s="3">
        <v>94</v>
      </c>
      <c r="V71" s="3" t="str">
        <f>IFERROR(MID(VLOOKUP($B71,Seqs!$A:$B,2,0),W71,1),"")</f>
        <v>R</v>
      </c>
      <c r="W71" s="3">
        <v>129</v>
      </c>
      <c r="X71" s="3" t="str">
        <f>IFERROR(MID(VLOOKUP($B71,Seqs!$A:$B,2,0),Y71,1),"")</f>
        <v>P</v>
      </c>
      <c r="Y71" s="3">
        <v>130</v>
      </c>
      <c r="Z71" s="3" t="str">
        <f>IFERROR(MID(VLOOKUP($B71,Seqs!$A:$B,2,0),AA71,1),"")</f>
        <v>R</v>
      </c>
      <c r="AA71" s="3">
        <v>137</v>
      </c>
      <c r="AB71" s="3" t="str">
        <f>IFERROR(MID(VLOOKUP($B71,Seqs!$A:$B,2,0),AC71,1),"")</f>
        <v>T</v>
      </c>
      <c r="AC71" s="3">
        <v>138</v>
      </c>
      <c r="AD71" s="3" t="str">
        <f>IFERROR(MID(VLOOKUP($B71,Seqs!$A:$B,2,0),AE71,1),"")</f>
        <v>G</v>
      </c>
      <c r="AE71" s="3">
        <v>169</v>
      </c>
      <c r="AF71" s="3" t="str">
        <f>IFERROR(MID(VLOOKUP($B71,Seqs!$A:$B,2,0),AG71,1),"")</f>
        <v>C</v>
      </c>
      <c r="AG71" s="3">
        <v>178</v>
      </c>
      <c r="AH71" s="3" t="str">
        <f>IFERROR(MID(VLOOKUP($B71,Seqs!$A:$B,2,0),AI71,1),"")</f>
        <v>I</v>
      </c>
      <c r="AI71" s="3">
        <v>180</v>
      </c>
      <c r="AJ71" s="3" t="str">
        <f>IFERROR(MID(VLOOKUP($B71,Seqs!$A:$B,2,0),AK71,1),"")</f>
        <v>Q</v>
      </c>
      <c r="AK71" s="3">
        <v>185</v>
      </c>
      <c r="AL71" s="3" t="str">
        <f>IFERROR(MID(VLOOKUP($B71,Seqs!$A:$B,2,0),AM71,1),"")</f>
        <v>L</v>
      </c>
      <c r="AM71" s="3">
        <v>225</v>
      </c>
      <c r="AN71" s="3" t="str">
        <f>IFERROR(MID(VLOOKUP($B71,Seqs!$A:$B,2,0),AO71,1),"")</f>
        <v>T</v>
      </c>
      <c r="AO71" s="3">
        <v>354</v>
      </c>
      <c r="AP71" s="3" t="str">
        <f>IFERROR(MID(VLOOKUP($B71,Seqs!$A:$B,2,0),AQ71,1),"")</f>
        <v>C</v>
      </c>
      <c r="AQ71" s="3">
        <v>391</v>
      </c>
      <c r="AR71" s="3" t="str">
        <f>IFERROR(MID(VLOOKUP($B71,Seqs!$A:$B,2,0),AS71,1),"")</f>
        <v>P</v>
      </c>
      <c r="AS71" s="3">
        <v>396</v>
      </c>
      <c r="AT71" s="3" t="str">
        <f>IFERROR(MID(VLOOKUP($B71,Seqs!$A:$B,2,0),AU71,1),"")</f>
        <v>C</v>
      </c>
      <c r="AU71" s="3">
        <v>421</v>
      </c>
      <c r="AV71" s="3" t="str">
        <f>IFERROR(MID(VLOOKUP($B71,Seqs!$A:$B,2,0),AW71,1),"")</f>
        <v>N</v>
      </c>
      <c r="AW71" s="3">
        <v>422</v>
      </c>
      <c r="AX71" s="3" t="str">
        <f>IFERROR(MID(VLOOKUP($B71,Seqs!$A:$B,2,0),AY71,1),"")</f>
        <v>L</v>
      </c>
      <c r="AY71" s="3">
        <v>434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1"/>
        <v>1</v>
      </c>
      <c r="BC71" s="23">
        <f t="shared" si="225"/>
        <v>269</v>
      </c>
      <c r="BD71" s="56" t="s">
        <v>23</v>
      </c>
      <c r="BE71" s="3" t="s">
        <v>23</v>
      </c>
      <c r="BF71" s="119" t="s">
        <v>23</v>
      </c>
      <c r="BG71" s="49" t="s">
        <v>1373</v>
      </c>
      <c r="BH71" s="49" t="s">
        <v>1378</v>
      </c>
      <c r="BI71" s="1"/>
      <c r="BJ71" s="70" t="s">
        <v>1288</v>
      </c>
      <c r="BK71" s="57" t="s">
        <v>1288</v>
      </c>
      <c r="BL71" s="57" t="s">
        <v>1288</v>
      </c>
      <c r="BM71" s="57" t="s">
        <v>1288</v>
      </c>
      <c r="BN71" s="57" t="s">
        <v>1288</v>
      </c>
      <c r="BO71" s="57" t="s">
        <v>1288</v>
      </c>
      <c r="BP71" s="57" t="s">
        <v>1288</v>
      </c>
      <c r="BQ71" s="57" t="s">
        <v>1288</v>
      </c>
      <c r="BR71" s="57" t="s">
        <v>1288</v>
      </c>
      <c r="BS71" s="57" t="s">
        <v>1288</v>
      </c>
      <c r="BT71" s="57" t="s">
        <v>1288</v>
      </c>
      <c r="BU71" s="57" t="s">
        <v>1288</v>
      </c>
      <c r="BV71" s="70">
        <f t="shared" si="226"/>
        <v>22</v>
      </c>
      <c r="BW71" s="71">
        <f t="shared" si="227"/>
        <v>54</v>
      </c>
      <c r="BX71" s="72">
        <f t="shared" si="228"/>
        <v>58</v>
      </c>
      <c r="BY71" s="71">
        <f t="shared" si="229"/>
        <v>90</v>
      </c>
      <c r="BZ71" s="72">
        <f t="shared" si="230"/>
        <v>94</v>
      </c>
      <c r="CA71" s="71">
        <f t="shared" si="231"/>
        <v>130</v>
      </c>
      <c r="CB71" s="72">
        <f t="shared" si="232"/>
        <v>138</v>
      </c>
      <c r="CC71" s="71">
        <f t="shared" si="233"/>
        <v>178</v>
      </c>
      <c r="CD71" s="72">
        <f t="shared" si="234"/>
        <v>185</v>
      </c>
      <c r="CE71" s="71">
        <f t="shared" si="235"/>
        <v>354</v>
      </c>
      <c r="CF71" s="72">
        <f t="shared" si="236"/>
        <v>396</v>
      </c>
      <c r="CG71" s="71">
        <f t="shared" si="237"/>
        <v>422</v>
      </c>
      <c r="CH71" s="70">
        <f t="shared" si="238"/>
        <v>53</v>
      </c>
      <c r="CI71" s="71">
        <f t="shared" si="239"/>
        <v>57</v>
      </c>
      <c r="CJ71" s="72">
        <f t="shared" si="240"/>
        <v>89</v>
      </c>
      <c r="CK71" s="72">
        <f t="shared" si="241"/>
        <v>93</v>
      </c>
      <c r="CL71" s="72">
        <f t="shared" si="242"/>
        <v>129</v>
      </c>
      <c r="CM71" s="72">
        <f t="shared" si="243"/>
        <v>137</v>
      </c>
      <c r="CN71" s="72">
        <f t="shared" si="244"/>
        <v>169</v>
      </c>
      <c r="CO71" s="72">
        <f t="shared" si="245"/>
        <v>180</v>
      </c>
      <c r="CP71" s="72">
        <f t="shared" si="246"/>
        <v>225</v>
      </c>
      <c r="CQ71" s="72">
        <f t="shared" si="247"/>
        <v>391</v>
      </c>
      <c r="CR71" s="72">
        <f t="shared" si="248"/>
        <v>421</v>
      </c>
      <c r="CS71" s="72">
        <f t="shared" si="249"/>
        <v>434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0"/>
        <v>acm1_human_5CXV</v>
      </c>
      <c r="B72" s="3" t="s">
        <v>146</v>
      </c>
      <c r="C72" s="3" t="s">
        <v>62</v>
      </c>
      <c r="D72" s="3" t="str">
        <f>IFERROR(MID(VLOOKUP($B72,Seqs!$A:$B,2,0),E72,1),"")</f>
        <v>P</v>
      </c>
      <c r="E72" s="3">
        <v>22</v>
      </c>
      <c r="F72" s="3" t="str">
        <f>IFERROR(MID(VLOOKUP($B72,Seqs!$A:$B,2,0),G72,1),"")</f>
        <v>N</v>
      </c>
      <c r="G72" s="3">
        <v>53</v>
      </c>
      <c r="H72" s="3" t="str">
        <f>IFERROR(MID(VLOOKUP($B72,Seqs!$A:$B,2,0),I72,1),"")</f>
        <v>T</v>
      </c>
      <c r="I72" s="23">
        <v>54</v>
      </c>
      <c r="J72" s="3" t="str">
        <f>IFERROR(MID(VLOOKUP($B72,Seqs!$A:$B,2,0),K72,1),"")</f>
        <v>K</v>
      </c>
      <c r="K72" s="23">
        <v>57</v>
      </c>
      <c r="L72" s="3" t="str">
        <f>IFERROR(MID(VLOOKUP($B72,Seqs!$A:$B,2,0),M72,1),"")</f>
        <v>T</v>
      </c>
      <c r="M72" s="3">
        <v>58</v>
      </c>
      <c r="N72" s="3" t="str">
        <f>IFERROR(MID(VLOOKUP($B72,Seqs!$A:$B,2,0),O72,1),"")</f>
        <v>G</v>
      </c>
      <c r="O72" s="3">
        <v>89</v>
      </c>
      <c r="P72" s="3" t="str">
        <f>IFERROR(MID(VLOOKUP($B72,Seqs!$A:$B,2,0),Q72,1),"")</f>
        <v>H</v>
      </c>
      <c r="Q72" s="3">
        <v>90</v>
      </c>
      <c r="R72" s="3" t="str">
        <f>IFERROR(MID(VLOOKUP($B72,Seqs!$A:$B,2,0),S72,1),"")</f>
        <v>L</v>
      </c>
      <c r="S72" s="3">
        <v>93</v>
      </c>
      <c r="T72" s="3" t="str">
        <f>IFERROR(MID(VLOOKUP($B72,Seqs!$A:$B,2,0),U72,1),"")</f>
        <v>G</v>
      </c>
      <c r="U72" s="3">
        <v>94</v>
      </c>
      <c r="V72" s="3" t="str">
        <f>IFERROR(MID(VLOOKUP($B72,Seqs!$A:$B,2,0),W72,1),"")</f>
        <v>R</v>
      </c>
      <c r="W72" s="3">
        <v>129</v>
      </c>
      <c r="X72" s="3" t="str">
        <f>IFERROR(MID(VLOOKUP($B72,Seqs!$A:$B,2,0),Y72,1),"")</f>
        <v>P</v>
      </c>
      <c r="Y72" s="3">
        <v>130</v>
      </c>
      <c r="Z72" s="3" t="str">
        <f>IFERROR(MID(VLOOKUP($B72,Seqs!$A:$B,2,0),AA72,1),"")</f>
        <v>R</v>
      </c>
      <c r="AA72" s="3">
        <v>137</v>
      </c>
      <c r="AB72" s="3" t="str">
        <f>IFERROR(MID(VLOOKUP($B72,Seqs!$A:$B,2,0),AC72,1),"")</f>
        <v>T</v>
      </c>
      <c r="AC72" s="9">
        <v>138</v>
      </c>
      <c r="AD72" s="3" t="str">
        <f>IFERROR(MID(VLOOKUP($B72,Seqs!$A:$B,2,0),AE72,1),"")</f>
        <v>G</v>
      </c>
      <c r="AE72" s="3">
        <v>169</v>
      </c>
      <c r="AF72" s="3" t="str">
        <f>IFERROR(MID(VLOOKUP($B72,Seqs!$A:$B,2,0),AG72,1),"")</f>
        <v>C</v>
      </c>
      <c r="AG72" s="3">
        <v>178</v>
      </c>
      <c r="AH72" s="3" t="str">
        <f>IFERROR(MID(VLOOKUP($B72,Seqs!$A:$B,2,0),AI72,1),"")</f>
        <v>I</v>
      </c>
      <c r="AI72" s="3">
        <v>180</v>
      </c>
      <c r="AJ72" s="3" t="str">
        <f>IFERROR(MID(VLOOKUP($B72,Seqs!$A:$B,2,0),AK72,1),"")</f>
        <v>Q</v>
      </c>
      <c r="AK72" s="3">
        <v>185</v>
      </c>
      <c r="AL72" s="3" t="str">
        <f>IFERROR(MID(VLOOKUP($B72,Seqs!$A:$B,2,0),AM72,1),"")</f>
        <v>R</v>
      </c>
      <c r="AM72" s="3">
        <v>213</v>
      </c>
      <c r="AN72" s="3" t="str">
        <f>IFERROR(MID(VLOOKUP($B72,Seqs!$A:$B,2,0),AO72,1),"")</f>
        <v>L</v>
      </c>
      <c r="AO72" s="3">
        <v>357</v>
      </c>
      <c r="AP72" s="3" t="str">
        <f>IFERROR(MID(VLOOKUP($B72,Seqs!$A:$B,2,0),AQ72,1),"")</f>
        <v>C</v>
      </c>
      <c r="AQ72" s="3">
        <v>391</v>
      </c>
      <c r="AR72" s="3" t="str">
        <f>IFERROR(MID(VLOOKUP($B72,Seqs!$A:$B,2,0),AS72,1),"")</f>
        <v>P</v>
      </c>
      <c r="AS72" s="3">
        <v>396</v>
      </c>
      <c r="AT72" s="3" t="str">
        <f>IFERROR(MID(VLOOKUP($B72,Seqs!$A:$B,2,0),AU72,1),"")</f>
        <v>C</v>
      </c>
      <c r="AU72" s="3">
        <v>421</v>
      </c>
      <c r="AV72" s="3" t="str">
        <f>IFERROR(MID(VLOOKUP($B72,Seqs!$A:$B,2,0),AW72,1),"")</f>
        <v>N</v>
      </c>
      <c r="AW72" s="3">
        <v>422</v>
      </c>
      <c r="AX72" s="3" t="str">
        <f>IFERROR(MID(VLOOKUP($B72,Seqs!$A:$B,2,0),AY72,1),"")</f>
        <v>L</v>
      </c>
      <c r="AY72" s="3">
        <v>434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1"/>
        <v>1</v>
      </c>
      <c r="BC72" s="23">
        <f t="shared" si="225"/>
        <v>254</v>
      </c>
      <c r="BD72" s="16" t="s">
        <v>1377</v>
      </c>
      <c r="BE72" s="3" t="s">
        <v>1375</v>
      </c>
      <c r="BF72" s="119">
        <v>2.7</v>
      </c>
      <c r="BG72" s="49" t="s">
        <v>1378</v>
      </c>
      <c r="BH72" s="49" t="s">
        <v>1378</v>
      </c>
      <c r="BI72" s="1"/>
      <c r="BJ72" s="70" t="s">
        <v>1288</v>
      </c>
      <c r="BK72" s="57" t="s">
        <v>1288</v>
      </c>
      <c r="BL72" s="57" t="s">
        <v>1288</v>
      </c>
      <c r="BM72" s="57" t="s">
        <v>1288</v>
      </c>
      <c r="BN72" s="57" t="s">
        <v>1288</v>
      </c>
      <c r="BO72" s="57" t="s">
        <v>1288</v>
      </c>
      <c r="BP72" s="57" t="s">
        <v>1288</v>
      </c>
      <c r="BQ72" s="57" t="s">
        <v>1288</v>
      </c>
      <c r="BR72" s="57" t="s">
        <v>1288</v>
      </c>
      <c r="BS72" s="57" t="s">
        <v>1288</v>
      </c>
      <c r="BT72" s="57" t="s">
        <v>1288</v>
      </c>
      <c r="BU72" s="57" t="s">
        <v>1288</v>
      </c>
      <c r="BV72" s="70">
        <f t="shared" si="226"/>
        <v>22</v>
      </c>
      <c r="BW72" s="71">
        <f t="shared" si="227"/>
        <v>54</v>
      </c>
      <c r="BX72" s="72">
        <f t="shared" si="228"/>
        <v>58</v>
      </c>
      <c r="BY72" s="71">
        <f t="shared" si="229"/>
        <v>90</v>
      </c>
      <c r="BZ72" s="72">
        <f t="shared" si="230"/>
        <v>94</v>
      </c>
      <c r="CA72" s="71">
        <f t="shared" si="231"/>
        <v>130</v>
      </c>
      <c r="CB72" s="72">
        <f t="shared" si="232"/>
        <v>138</v>
      </c>
      <c r="CC72" s="71">
        <f t="shared" si="233"/>
        <v>178</v>
      </c>
      <c r="CD72" s="72">
        <f t="shared" si="234"/>
        <v>185</v>
      </c>
      <c r="CE72" s="71">
        <f t="shared" si="235"/>
        <v>357</v>
      </c>
      <c r="CF72" s="72">
        <f t="shared" si="236"/>
        <v>396</v>
      </c>
      <c r="CG72" s="71">
        <f t="shared" si="237"/>
        <v>422</v>
      </c>
      <c r="CH72" s="70">
        <f t="shared" si="238"/>
        <v>53</v>
      </c>
      <c r="CI72" s="71">
        <f t="shared" si="239"/>
        <v>57</v>
      </c>
      <c r="CJ72" s="72">
        <f t="shared" si="240"/>
        <v>89</v>
      </c>
      <c r="CK72" s="72">
        <f t="shared" si="241"/>
        <v>93</v>
      </c>
      <c r="CL72" s="72">
        <f t="shared" si="242"/>
        <v>129</v>
      </c>
      <c r="CM72" s="72">
        <f t="shared" si="243"/>
        <v>137</v>
      </c>
      <c r="CN72" s="72">
        <f t="shared" si="244"/>
        <v>169</v>
      </c>
      <c r="CO72" s="72">
        <f t="shared" si="245"/>
        <v>180</v>
      </c>
      <c r="CP72" s="72">
        <f t="shared" si="246"/>
        <v>213</v>
      </c>
      <c r="CQ72" s="72">
        <f t="shared" si="247"/>
        <v>391</v>
      </c>
      <c r="CR72" s="72">
        <f t="shared" si="248"/>
        <v>421</v>
      </c>
      <c r="CS72" s="72">
        <f t="shared" si="249"/>
        <v>434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s="12" customFormat="1" x14ac:dyDescent="0.2">
      <c r="A73" s="9" t="str">
        <f t="shared" ref="A73" si="391">CONCATENATE(B73,"_",C73)</f>
        <v>acm1_human_6OIJ</v>
      </c>
      <c r="B73" s="9" t="s">
        <v>146</v>
      </c>
      <c r="C73" s="9" t="s">
        <v>1578</v>
      </c>
      <c r="D73" s="9" t="str">
        <f>IFERROR(MID(VLOOKUP($B73,Seqs!$A:$B,2,0),E73,1),"")</f>
        <v>W</v>
      </c>
      <c r="E73" s="9">
        <v>23</v>
      </c>
      <c r="F73" s="9" t="str">
        <f>IFERROR(MID(VLOOKUP($B73,Seqs!$A:$B,2,0),G73,1),"")</f>
        <v>N</v>
      </c>
      <c r="G73" s="9">
        <v>53</v>
      </c>
      <c r="H73" s="9" t="str">
        <f>IFERROR(MID(VLOOKUP($B73,Seqs!$A:$B,2,0),I73,1),"")</f>
        <v>T</v>
      </c>
      <c r="I73" s="109">
        <v>54</v>
      </c>
      <c r="J73" s="9" t="str">
        <f>IFERROR(MID(VLOOKUP($B73,Seqs!$A:$B,2,0),K73,1),"")</f>
        <v>K</v>
      </c>
      <c r="K73" s="109">
        <v>57</v>
      </c>
      <c r="L73" s="9" t="str">
        <f>IFERROR(MID(VLOOKUP($B73,Seqs!$A:$B,2,0),M73,1),"")</f>
        <v>N</v>
      </c>
      <c r="M73" s="9">
        <v>60</v>
      </c>
      <c r="N73" s="9" t="str">
        <f>IFERROR(MID(VLOOKUP($B73,Seqs!$A:$B,2,0),O73,1),"")</f>
        <v>G</v>
      </c>
      <c r="O73" s="9">
        <v>89</v>
      </c>
      <c r="P73" s="9" t="str">
        <f>IFERROR(MID(VLOOKUP($B73,Seqs!$A:$B,2,0),Q73,1),"")</f>
        <v>H</v>
      </c>
      <c r="Q73" s="9">
        <v>90</v>
      </c>
      <c r="R73" s="9" t="str">
        <f>IFERROR(MID(VLOOKUP($B73,Seqs!$A:$B,2,0),S73,1),"")</f>
        <v>L</v>
      </c>
      <c r="S73" s="9">
        <v>93</v>
      </c>
      <c r="T73" s="9" t="str">
        <f>IFERROR(MID(VLOOKUP($B73,Seqs!$A:$B,2,0),U73,1),"")</f>
        <v>G</v>
      </c>
      <c r="U73" s="9">
        <v>94</v>
      </c>
      <c r="V73" s="9" t="str">
        <f>IFERROR(MID(VLOOKUP($B73,Seqs!$A:$B,2,0),W73,1),"")</f>
        <v>R</v>
      </c>
      <c r="W73" s="9">
        <v>129</v>
      </c>
      <c r="X73" s="9" t="str">
        <f>IFERROR(MID(VLOOKUP($B73,Seqs!$A:$B,2,0),Y73,1),"")</f>
        <v>P</v>
      </c>
      <c r="Y73" s="9">
        <v>130</v>
      </c>
      <c r="Z73" s="9" t="str">
        <f>IFERROR(MID(VLOOKUP($B73,Seqs!$A:$B,2,0),AA73,1),"")</f>
        <v>R</v>
      </c>
      <c r="AA73" s="9">
        <v>137</v>
      </c>
      <c r="AB73" s="9" t="str">
        <f>IFERROR(MID(VLOOKUP($B73,Seqs!$A:$B,2,0),AC73,1),"")</f>
        <v>T</v>
      </c>
      <c r="AC73" s="9">
        <v>138</v>
      </c>
      <c r="AD73" s="9" t="str">
        <f>IFERROR(MID(VLOOKUP($B73,Seqs!$A:$B,2,0),AE73,1),"")</f>
        <v>G</v>
      </c>
      <c r="AE73" s="9">
        <v>169</v>
      </c>
      <c r="AF73" s="9" t="str">
        <f>IFERROR(MID(VLOOKUP($B73,Seqs!$A:$B,2,0),AG73,1),"")</f>
        <v>C</v>
      </c>
      <c r="AG73" s="9">
        <v>178</v>
      </c>
      <c r="AH73" s="9" t="str">
        <f>IFERROR(MID(VLOOKUP($B73,Seqs!$A:$B,2,0),AI73,1),"")</f>
        <v>I</v>
      </c>
      <c r="AI73" s="9">
        <v>180</v>
      </c>
      <c r="AJ73" s="9" t="str">
        <f>IFERROR(MID(VLOOKUP($B73,Seqs!$A:$B,2,0),AK73,1),"")</f>
        <v>Q</v>
      </c>
      <c r="AK73" s="9">
        <v>185</v>
      </c>
      <c r="AL73" s="9" t="str">
        <f>IFERROR(MID(VLOOKUP($B73,Seqs!$A:$B,2,0),AM73,1),"")</f>
        <v>L</v>
      </c>
      <c r="AM73" s="9">
        <v>225</v>
      </c>
      <c r="AN73" s="9" t="str">
        <f>IFERROR(MID(VLOOKUP($B73,Seqs!$A:$B,2,0),AO73,1),"")</f>
        <v>K</v>
      </c>
      <c r="AO73" s="9">
        <v>362</v>
      </c>
      <c r="AP73" s="9" t="str">
        <f>IFERROR(MID(VLOOKUP($B73,Seqs!$A:$B,2,0),AQ73,1),"")</f>
        <v>C</v>
      </c>
      <c r="AQ73" s="9">
        <v>391</v>
      </c>
      <c r="AR73" s="9" t="str">
        <f>IFERROR(MID(VLOOKUP($B73,Seqs!$A:$B,2,0),AS73,1),"")</f>
        <v>E</v>
      </c>
      <c r="AS73" s="9">
        <v>397</v>
      </c>
      <c r="AT73" s="9" t="str">
        <f>IFERROR(MID(VLOOKUP($B73,Seqs!$A:$B,2,0),AU73,1),"")</f>
        <v>C</v>
      </c>
      <c r="AU73" s="9">
        <v>421</v>
      </c>
      <c r="AV73" s="9" t="str">
        <f>IFERROR(MID(VLOOKUP($B73,Seqs!$A:$B,2,0),AW73,1),"")</f>
        <v>N</v>
      </c>
      <c r="AW73" s="9">
        <v>422</v>
      </c>
      <c r="AX73" s="9" t="str">
        <f>IFERROR(MID(VLOOKUP($B73,Seqs!$A:$B,2,0),AY73,1),"")</f>
        <v>L</v>
      </c>
      <c r="AY73" s="9">
        <v>433</v>
      </c>
      <c r="AZ73" s="110" t="str">
        <f>VLOOKUP(B73,Classification!A:D,2,0)</f>
        <v>A</v>
      </c>
      <c r="BA73" s="98" t="str">
        <f>VLOOKUP(B73,Classification!A:D,4,0)</f>
        <v>Acetylcholine(muscarinic)</v>
      </c>
      <c r="BB73" s="36" t="b">
        <f t="shared" ref="BB73" si="392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393">_xlfn.AGGREGATE(9,6,CH73:CS73)-_xlfn.AGGREGATE(9,6,BV73:CG73)+12</f>
        <v>256</v>
      </c>
      <c r="BD73" s="127" t="s">
        <v>1376</v>
      </c>
      <c r="BE73" s="9" t="s">
        <v>1292</v>
      </c>
      <c r="BF73" s="120">
        <v>3.3</v>
      </c>
      <c r="BG73" s="51" t="s">
        <v>1423</v>
      </c>
      <c r="BH73" s="51" t="s">
        <v>1423</v>
      </c>
      <c r="BJ73" s="111" t="s">
        <v>1288</v>
      </c>
      <c r="BK73" s="112" t="s">
        <v>1288</v>
      </c>
      <c r="BL73" s="112" t="s">
        <v>1288</v>
      </c>
      <c r="BM73" s="112" t="s">
        <v>1288</v>
      </c>
      <c r="BN73" s="112" t="s">
        <v>1288</v>
      </c>
      <c r="BO73" s="112" t="s">
        <v>1288</v>
      </c>
      <c r="BP73" s="112" t="s">
        <v>1288</v>
      </c>
      <c r="BQ73" s="112" t="s">
        <v>1288</v>
      </c>
      <c r="BR73" s="112" t="s">
        <v>1288</v>
      </c>
      <c r="BS73" s="112" t="s">
        <v>1288</v>
      </c>
      <c r="BT73" s="112" t="s">
        <v>1288</v>
      </c>
      <c r="BU73" s="112" t="s">
        <v>1288</v>
      </c>
      <c r="BV73" s="111">
        <f t="shared" ref="BV73" si="394">E73</f>
        <v>23</v>
      </c>
      <c r="BW73" s="113">
        <f t="shared" ref="BW73" si="395">I73</f>
        <v>54</v>
      </c>
      <c r="BX73" s="114">
        <f t="shared" ref="BX73" si="396">M73</f>
        <v>60</v>
      </c>
      <c r="BY73" s="113">
        <f t="shared" ref="BY73" si="397">Q73</f>
        <v>90</v>
      </c>
      <c r="BZ73" s="114">
        <f t="shared" ref="BZ73" si="398">U73</f>
        <v>94</v>
      </c>
      <c r="CA73" s="113">
        <f t="shared" ref="CA73" si="399">Y73</f>
        <v>130</v>
      </c>
      <c r="CB73" s="114">
        <f t="shared" ref="CB73" si="400">AC73</f>
        <v>138</v>
      </c>
      <c r="CC73" s="113">
        <f t="shared" ref="CC73" si="401">AG73</f>
        <v>178</v>
      </c>
      <c r="CD73" s="114">
        <f t="shared" ref="CD73" si="402">AK73</f>
        <v>185</v>
      </c>
      <c r="CE73" s="113">
        <f t="shared" ref="CE73" si="403">AO73</f>
        <v>362</v>
      </c>
      <c r="CF73" s="114">
        <f t="shared" ref="CF73" si="404">AS73</f>
        <v>397</v>
      </c>
      <c r="CG73" s="113">
        <f t="shared" ref="CG73" si="405">AW73</f>
        <v>422</v>
      </c>
      <c r="CH73" s="111">
        <f t="shared" ref="CH73" si="406">G73</f>
        <v>53</v>
      </c>
      <c r="CI73" s="113">
        <f t="shared" ref="CI73" si="407">K73</f>
        <v>57</v>
      </c>
      <c r="CJ73" s="114">
        <f t="shared" ref="CJ73" si="408">O73</f>
        <v>89</v>
      </c>
      <c r="CK73" s="114">
        <f t="shared" ref="CK73" si="409">S73</f>
        <v>93</v>
      </c>
      <c r="CL73" s="114">
        <f t="shared" ref="CL73" si="410">W73</f>
        <v>129</v>
      </c>
      <c r="CM73" s="114">
        <f t="shared" ref="CM73" si="411">AA73</f>
        <v>137</v>
      </c>
      <c r="CN73" s="114">
        <f t="shared" ref="CN73" si="412">AE73</f>
        <v>169</v>
      </c>
      <c r="CO73" s="114">
        <f t="shared" ref="CO73" si="413">AI73</f>
        <v>180</v>
      </c>
      <c r="CP73" s="114">
        <f t="shared" ref="CP73" si="414">AM73</f>
        <v>225</v>
      </c>
      <c r="CQ73" s="114">
        <f t="shared" ref="CQ73" si="415">AQ73</f>
        <v>391</v>
      </c>
      <c r="CR73" s="114">
        <f t="shared" ref="CR73" si="416">AU73</f>
        <v>421</v>
      </c>
      <c r="CS73" s="114">
        <f t="shared" ref="CS73" si="417">AY73</f>
        <v>433</v>
      </c>
      <c r="CT73" s="109">
        <f t="shared" ref="CT73" si="418">M73-K73</f>
        <v>3</v>
      </c>
    </row>
    <row r="74" spans="1:1029" x14ac:dyDescent="0.2">
      <c r="A74" s="3" t="str">
        <f t="shared" si="0"/>
        <v>acm2_human__wt</v>
      </c>
      <c r="B74" s="3" t="s">
        <v>147</v>
      </c>
      <c r="C74" s="3" t="s">
        <v>100</v>
      </c>
      <c r="D74" s="3" t="str">
        <f>IFERROR(MID(VLOOKUP($B74,Seqs!$A:$B,2,0),E74,1),"")</f>
        <v>K</v>
      </c>
      <c r="E74" s="3">
        <v>19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105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9">
        <v>136</v>
      </c>
      <c r="AD74" s="3" t="str">
        <f>IFERROR(MID(VLOOKUP($B74,Seqs!$A:$B,2,0),AE74,1),"")</f>
        <v>G</v>
      </c>
      <c r="AE74" s="3">
        <v>167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E</v>
      </c>
      <c r="AM74" s="3">
        <v>223</v>
      </c>
      <c r="AN74" s="3" t="str">
        <f>IFERROR(MID(VLOOKUP($B74,Seqs!$A:$B,2,0),AO74,1),"")</f>
        <v>K</v>
      </c>
      <c r="AO74" s="3">
        <v>376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3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M</v>
      </c>
      <c r="AY74" s="3">
        <v>456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270</v>
      </c>
      <c r="BD74" s="56" t="s">
        <v>23</v>
      </c>
      <c r="BE74" s="3" t="s">
        <v>23</v>
      </c>
      <c r="BF74" s="119" t="s">
        <v>23</v>
      </c>
      <c r="BG74" s="49" t="s">
        <v>1373</v>
      </c>
      <c r="BH74" s="49" t="s">
        <v>1378</v>
      </c>
      <c r="BI74" s="1"/>
      <c r="BJ74" s="70" t="s">
        <v>1288</v>
      </c>
      <c r="BK74" s="57" t="s">
        <v>1288</v>
      </c>
      <c r="BL74" s="57" t="s">
        <v>1288</v>
      </c>
      <c r="BM74" s="57" t="s">
        <v>1288</v>
      </c>
      <c r="BN74" s="57" t="s">
        <v>1288</v>
      </c>
      <c r="BO74" s="57" t="s">
        <v>1288</v>
      </c>
      <c r="BP74" s="57" t="s">
        <v>1288</v>
      </c>
      <c r="BQ74" s="57" t="s">
        <v>1288</v>
      </c>
      <c r="BR74" s="57" t="s">
        <v>1288</v>
      </c>
      <c r="BS74" s="57" t="s">
        <v>1288</v>
      </c>
      <c r="BT74" s="57" t="s">
        <v>1288</v>
      </c>
      <c r="BU74" s="57" t="s">
        <v>1288</v>
      </c>
      <c r="BV74" s="70">
        <f t="shared" si="226"/>
        <v>19</v>
      </c>
      <c r="BW74" s="71">
        <f t="shared" si="227"/>
        <v>52</v>
      </c>
      <c r="BX74" s="72">
        <f t="shared" si="228"/>
        <v>56</v>
      </c>
      <c r="BY74" s="71">
        <f t="shared" si="229"/>
        <v>88</v>
      </c>
      <c r="BZ74" s="72">
        <f t="shared" si="230"/>
        <v>92</v>
      </c>
      <c r="CA74" s="71">
        <f t="shared" si="231"/>
        <v>128</v>
      </c>
      <c r="CB74" s="72">
        <f t="shared" si="232"/>
        <v>136</v>
      </c>
      <c r="CC74" s="71">
        <f t="shared" si="233"/>
        <v>176</v>
      </c>
      <c r="CD74" s="72">
        <f t="shared" si="234"/>
        <v>183</v>
      </c>
      <c r="CE74" s="71">
        <f t="shared" si="235"/>
        <v>376</v>
      </c>
      <c r="CF74" s="72">
        <f t="shared" si="236"/>
        <v>418</v>
      </c>
      <c r="CG74" s="71">
        <f t="shared" si="237"/>
        <v>444</v>
      </c>
      <c r="CH74" s="70">
        <f t="shared" si="238"/>
        <v>51</v>
      </c>
      <c r="CI74" s="71">
        <f t="shared" si="239"/>
        <v>55</v>
      </c>
      <c r="CJ74" s="72">
        <f t="shared" si="240"/>
        <v>87</v>
      </c>
      <c r="CK74" s="72">
        <f t="shared" si="241"/>
        <v>91</v>
      </c>
      <c r="CL74" s="72">
        <f t="shared" si="242"/>
        <v>127</v>
      </c>
      <c r="CM74" s="72">
        <f t="shared" si="243"/>
        <v>135</v>
      </c>
      <c r="CN74" s="72">
        <f t="shared" si="244"/>
        <v>167</v>
      </c>
      <c r="CO74" s="72">
        <f t="shared" si="245"/>
        <v>178</v>
      </c>
      <c r="CP74" s="72">
        <f t="shared" si="246"/>
        <v>223</v>
      </c>
      <c r="CQ74" s="72">
        <f t="shared" si="247"/>
        <v>413</v>
      </c>
      <c r="CR74" s="72">
        <f t="shared" si="248"/>
        <v>443</v>
      </c>
      <c r="CS74" s="72">
        <f t="shared" si="249"/>
        <v>456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:A119" si="419">CONCATENATE(B75,"_",C75)</f>
        <v>acm2_human_3UON</v>
      </c>
      <c r="B75" s="3" t="s">
        <v>147</v>
      </c>
      <c r="C75" s="3" t="s">
        <v>79</v>
      </c>
      <c r="D75" s="3" t="str">
        <f>IFERROR(MID(VLOOKUP($B75,Seqs!$A:$B,2,0),E75,1),"")</f>
        <v>V</v>
      </c>
      <c r="E75" s="3">
        <v>23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I</v>
      </c>
      <c r="O75" s="3">
        <v>86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9">
        <v>136</v>
      </c>
      <c r="AD75" s="3" t="str">
        <f>IFERROR(MID(VLOOKUP($B75,Seqs!$A:$B,2,0),AE75,1),"")</f>
        <v>G</v>
      </c>
      <c r="AE75" s="3">
        <v>167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S</v>
      </c>
      <c r="AM75" s="3">
        <v>213</v>
      </c>
      <c r="AN75" s="3" t="str">
        <f>IFERROR(MID(VLOOKUP($B75,Seqs!$A:$B,2,0),AO75,1),"")</f>
        <v>K</v>
      </c>
      <c r="AO75" s="3">
        <v>384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3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ref="BB75:BB119" si="420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si="225"/>
        <v>247</v>
      </c>
      <c r="BD75" s="16" t="s">
        <v>23</v>
      </c>
      <c r="BE75" s="3" t="s">
        <v>1375</v>
      </c>
      <c r="BF75" s="119">
        <v>3</v>
      </c>
      <c r="BG75" s="49" t="s">
        <v>1378</v>
      </c>
      <c r="BH75" s="49" t="s">
        <v>1378</v>
      </c>
      <c r="BI75" s="1"/>
      <c r="BJ75" s="70" t="s">
        <v>1288</v>
      </c>
      <c r="BK75" s="57" t="s">
        <v>1288</v>
      </c>
      <c r="BL75" s="57" t="s">
        <v>1288</v>
      </c>
      <c r="BM75" s="57" t="s">
        <v>1288</v>
      </c>
      <c r="BN75" s="57" t="s">
        <v>1288</v>
      </c>
      <c r="BO75" s="57" t="s">
        <v>1288</v>
      </c>
      <c r="BP75" s="57" t="s">
        <v>1288</v>
      </c>
      <c r="BQ75" s="57" t="s">
        <v>1288</v>
      </c>
      <c r="BR75" s="57" t="s">
        <v>1288</v>
      </c>
      <c r="BS75" s="57" t="s">
        <v>1288</v>
      </c>
      <c r="BT75" s="57" t="s">
        <v>1288</v>
      </c>
      <c r="BU75" s="57" t="s">
        <v>1288</v>
      </c>
      <c r="BV75" s="70">
        <f t="shared" si="226"/>
        <v>23</v>
      </c>
      <c r="BW75" s="71">
        <f t="shared" si="227"/>
        <v>52</v>
      </c>
      <c r="BX75" s="72">
        <f t="shared" si="228"/>
        <v>56</v>
      </c>
      <c r="BY75" s="71">
        <f t="shared" si="229"/>
        <v>88</v>
      </c>
      <c r="BZ75" s="72">
        <f t="shared" si="230"/>
        <v>92</v>
      </c>
      <c r="CA75" s="71">
        <f t="shared" si="231"/>
        <v>128</v>
      </c>
      <c r="CB75" s="72">
        <f t="shared" si="232"/>
        <v>136</v>
      </c>
      <c r="CC75" s="71">
        <f t="shared" si="233"/>
        <v>176</v>
      </c>
      <c r="CD75" s="72">
        <f t="shared" si="234"/>
        <v>183</v>
      </c>
      <c r="CE75" s="71">
        <f t="shared" si="235"/>
        <v>384</v>
      </c>
      <c r="CF75" s="72">
        <f t="shared" si="236"/>
        <v>418</v>
      </c>
      <c r="CG75" s="71">
        <f t="shared" si="237"/>
        <v>444</v>
      </c>
      <c r="CH75" s="70">
        <f t="shared" si="238"/>
        <v>51</v>
      </c>
      <c r="CI75" s="71">
        <f t="shared" si="239"/>
        <v>55</v>
      </c>
      <c r="CJ75" s="72">
        <f t="shared" si="240"/>
        <v>86</v>
      </c>
      <c r="CK75" s="72">
        <f t="shared" si="241"/>
        <v>91</v>
      </c>
      <c r="CL75" s="72">
        <f t="shared" si="242"/>
        <v>127</v>
      </c>
      <c r="CM75" s="72">
        <f t="shared" si="243"/>
        <v>135</v>
      </c>
      <c r="CN75" s="72">
        <f t="shared" si="244"/>
        <v>167</v>
      </c>
      <c r="CO75" s="72">
        <f t="shared" si="245"/>
        <v>178</v>
      </c>
      <c r="CP75" s="72">
        <f t="shared" si="246"/>
        <v>213</v>
      </c>
      <c r="CQ75" s="72">
        <f t="shared" si="247"/>
        <v>413</v>
      </c>
      <c r="CR75" s="72">
        <f t="shared" si="248"/>
        <v>443</v>
      </c>
      <c r="CS75" s="72">
        <f t="shared" si="249"/>
        <v>456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419"/>
        <v>acm2_human_4MQS</v>
      </c>
      <c r="B76" s="3" t="s">
        <v>147</v>
      </c>
      <c r="C76" s="3" t="s">
        <v>68</v>
      </c>
      <c r="D76" s="3" t="str">
        <f>IFERROR(MID(VLOOKUP($B76,Seqs!$A:$B,2,0),E76,1),"")</f>
        <v>K</v>
      </c>
      <c r="E76" s="3">
        <v>19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9">
        <v>136</v>
      </c>
      <c r="AD76" s="3" t="str">
        <f>IFERROR(MID(VLOOKUP($B76,Seqs!$A:$B,2,0),AE76,1),"")</f>
        <v>G</v>
      </c>
      <c r="AE76" s="3">
        <v>167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K</v>
      </c>
      <c r="AM76" s="3">
        <v>214</v>
      </c>
      <c r="AN76" s="3" t="str">
        <f>IFERROR(MID(VLOOKUP($B76,Seqs!$A:$B,2,0),AO76,1),"")</f>
        <v>S</v>
      </c>
      <c r="AO76" s="3">
        <v>380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3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420"/>
        <v>1</v>
      </c>
      <c r="BC76" s="23">
        <f t="shared" si="225"/>
        <v>257</v>
      </c>
      <c r="BD76" s="4" t="s">
        <v>23</v>
      </c>
      <c r="BE76" s="3" t="s">
        <v>1292</v>
      </c>
      <c r="BF76" s="119">
        <v>3.5</v>
      </c>
      <c r="BG76" s="49" t="s">
        <v>1378</v>
      </c>
      <c r="BH76" s="49" t="s">
        <v>1378</v>
      </c>
      <c r="BI76" s="1"/>
      <c r="BJ76" s="70" t="s">
        <v>1288</v>
      </c>
      <c r="BK76" s="57" t="s">
        <v>1288</v>
      </c>
      <c r="BL76" s="57" t="s">
        <v>1288</v>
      </c>
      <c r="BM76" s="57" t="s">
        <v>1288</v>
      </c>
      <c r="BN76" s="57" t="s">
        <v>1288</v>
      </c>
      <c r="BO76" s="57" t="s">
        <v>1288</v>
      </c>
      <c r="BP76" s="57" t="s">
        <v>1288</v>
      </c>
      <c r="BQ76" s="57" t="s">
        <v>1288</v>
      </c>
      <c r="BR76" s="57" t="s">
        <v>1288</v>
      </c>
      <c r="BS76" s="57" t="s">
        <v>1288</v>
      </c>
      <c r="BT76" s="57" t="s">
        <v>1288</v>
      </c>
      <c r="BU76" s="57" t="s">
        <v>1288</v>
      </c>
      <c r="BV76" s="70">
        <f t="shared" si="226"/>
        <v>19</v>
      </c>
      <c r="BW76" s="71">
        <f t="shared" si="227"/>
        <v>52</v>
      </c>
      <c r="BX76" s="72">
        <f t="shared" si="228"/>
        <v>56</v>
      </c>
      <c r="BY76" s="71">
        <f t="shared" si="229"/>
        <v>88</v>
      </c>
      <c r="BZ76" s="72">
        <f t="shared" si="230"/>
        <v>92</v>
      </c>
      <c r="CA76" s="71">
        <f t="shared" si="231"/>
        <v>128</v>
      </c>
      <c r="CB76" s="72">
        <f t="shared" si="232"/>
        <v>136</v>
      </c>
      <c r="CC76" s="71">
        <f t="shared" si="233"/>
        <v>176</v>
      </c>
      <c r="CD76" s="72">
        <f t="shared" si="234"/>
        <v>183</v>
      </c>
      <c r="CE76" s="71">
        <f t="shared" si="235"/>
        <v>380</v>
      </c>
      <c r="CF76" s="72">
        <f t="shared" si="236"/>
        <v>418</v>
      </c>
      <c r="CG76" s="71">
        <f t="shared" si="237"/>
        <v>444</v>
      </c>
      <c r="CH76" s="70">
        <f t="shared" si="238"/>
        <v>51</v>
      </c>
      <c r="CI76" s="71">
        <f t="shared" si="239"/>
        <v>55</v>
      </c>
      <c r="CJ76" s="72">
        <f t="shared" si="240"/>
        <v>87</v>
      </c>
      <c r="CK76" s="72">
        <f t="shared" si="241"/>
        <v>91</v>
      </c>
      <c r="CL76" s="72">
        <f t="shared" si="242"/>
        <v>127</v>
      </c>
      <c r="CM76" s="72">
        <f t="shared" si="243"/>
        <v>135</v>
      </c>
      <c r="CN76" s="72">
        <f t="shared" si="244"/>
        <v>167</v>
      </c>
      <c r="CO76" s="72">
        <f t="shared" si="245"/>
        <v>178</v>
      </c>
      <c r="CP76" s="72">
        <f t="shared" si="246"/>
        <v>214</v>
      </c>
      <c r="CQ76" s="72">
        <f t="shared" si="247"/>
        <v>413</v>
      </c>
      <c r="CR76" s="72">
        <f t="shared" si="248"/>
        <v>443</v>
      </c>
      <c r="CS76" s="72">
        <f t="shared" si="249"/>
        <v>456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419"/>
        <v>acm2_human_4MQT</v>
      </c>
      <c r="B77" s="3" t="s">
        <v>147</v>
      </c>
      <c r="C77" s="3" t="s">
        <v>1047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S</v>
      </c>
      <c r="AM77" s="3">
        <v>215</v>
      </c>
      <c r="AN77" s="3" t="str">
        <f>IFERROR(MID(VLOOKUP($B77,Seqs!$A:$B,2,0),AO77,1),"")</f>
        <v>P</v>
      </c>
      <c r="AO77" s="3">
        <v>379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C</v>
      </c>
      <c r="AY77" s="3">
        <v>457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420"/>
        <v>1</v>
      </c>
      <c r="BC77" s="23">
        <f t="shared" si="225"/>
        <v>260</v>
      </c>
      <c r="BD77" s="4" t="s">
        <v>1376</v>
      </c>
      <c r="BE77" s="3" t="s">
        <v>1292</v>
      </c>
      <c r="BF77" s="119">
        <v>3.7</v>
      </c>
      <c r="BG77" s="49" t="s">
        <v>1378</v>
      </c>
      <c r="BH77" s="49" t="s">
        <v>1378</v>
      </c>
      <c r="BI77" s="1"/>
      <c r="BJ77" s="70" t="s">
        <v>1288</v>
      </c>
      <c r="BK77" s="57" t="s">
        <v>1288</v>
      </c>
      <c r="BL77" s="57" t="s">
        <v>1288</v>
      </c>
      <c r="BM77" s="57" t="s">
        <v>1288</v>
      </c>
      <c r="BN77" s="57" t="s">
        <v>1288</v>
      </c>
      <c r="BO77" s="57" t="s">
        <v>1288</v>
      </c>
      <c r="BP77" s="57" t="s">
        <v>1288</v>
      </c>
      <c r="BQ77" s="57" t="s">
        <v>1288</v>
      </c>
      <c r="BR77" s="57" t="s">
        <v>1288</v>
      </c>
      <c r="BS77" s="57" t="s">
        <v>1288</v>
      </c>
      <c r="BT77" s="57" t="s">
        <v>1288</v>
      </c>
      <c r="BU77" s="57" t="s">
        <v>1288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379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215</v>
      </c>
      <c r="CQ77" s="72">
        <f t="shared" si="247"/>
        <v>413</v>
      </c>
      <c r="CR77" s="72">
        <f t="shared" si="248"/>
        <v>443</v>
      </c>
      <c r="CS77" s="72">
        <f t="shared" si="249"/>
        <v>457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421">CONCATENATE(B78,"_",C78)</f>
        <v>acm2_human_5ZKC</v>
      </c>
      <c r="B78" s="3" t="s">
        <v>147</v>
      </c>
      <c r="C78" s="3" t="s">
        <v>1531</v>
      </c>
      <c r="D78" s="3" t="str">
        <f>IFERROR(MID(VLOOKUP($B78,Seqs!$A:$B,2,0),E78,1),"")</f>
        <v>P</v>
      </c>
      <c r="E78" s="3">
        <v>17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3">
        <v>136</v>
      </c>
      <c r="AD78" s="3" t="str">
        <f>IFERROR(MID(VLOOKUP($B78,Seqs!$A:$B,2,0),AE78,1),"")</f>
        <v>V</v>
      </c>
      <c r="AE78" s="3">
        <v>166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R</v>
      </c>
      <c r="AO78" s="3">
        <v>381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105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42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423">_xlfn.AGGREGATE(9,6,CH78:CS78)-_xlfn.AGGREGATE(9,6,BV78:CG78)+12</f>
        <v>257</v>
      </c>
      <c r="BD78" s="4" t="s">
        <v>1377</v>
      </c>
      <c r="BE78" s="3" t="s">
        <v>1375</v>
      </c>
      <c r="BF78" s="119">
        <v>2.2999999999999998</v>
      </c>
      <c r="BG78" s="49" t="s">
        <v>1</v>
      </c>
      <c r="BH78" s="49" t="s">
        <v>1</v>
      </c>
      <c r="BI78" s="1"/>
      <c r="BJ78" s="70" t="s">
        <v>1288</v>
      </c>
      <c r="BK78" s="57" t="s">
        <v>1288</v>
      </c>
      <c r="BL78" s="57" t="s">
        <v>1288</v>
      </c>
      <c r="BM78" s="57" t="s">
        <v>1288</v>
      </c>
      <c r="BN78" s="57" t="s">
        <v>1288</v>
      </c>
      <c r="BO78" s="57" t="s">
        <v>1288</v>
      </c>
      <c r="BP78" s="57" t="s">
        <v>1288</v>
      </c>
      <c r="BQ78" s="57" t="s">
        <v>1288</v>
      </c>
      <c r="BR78" s="57" t="s">
        <v>1288</v>
      </c>
      <c r="BS78" s="57" t="s">
        <v>1288</v>
      </c>
      <c r="BT78" s="57" t="s">
        <v>1288</v>
      </c>
      <c r="BU78" s="57" t="s">
        <v>1288</v>
      </c>
      <c r="BV78" s="70">
        <f t="shared" ref="BV78" si="424">E78</f>
        <v>17</v>
      </c>
      <c r="BW78" s="71">
        <f t="shared" ref="BW78" si="425">I78</f>
        <v>52</v>
      </c>
      <c r="BX78" s="72">
        <f t="shared" ref="BX78" si="426">M78</f>
        <v>56</v>
      </c>
      <c r="BY78" s="71">
        <f t="shared" ref="BY78" si="427">Q78</f>
        <v>88</v>
      </c>
      <c r="BZ78" s="72">
        <f t="shared" ref="BZ78" si="428">U78</f>
        <v>92</v>
      </c>
      <c r="CA78" s="71">
        <f t="shared" ref="CA78" si="429">Y78</f>
        <v>128</v>
      </c>
      <c r="CB78" s="72">
        <f t="shared" ref="CB78" si="430">AC78</f>
        <v>136</v>
      </c>
      <c r="CC78" s="71">
        <f t="shared" ref="CC78" si="431">AG78</f>
        <v>176</v>
      </c>
      <c r="CD78" s="72">
        <f t="shared" ref="CD78" si="432">AK78</f>
        <v>183</v>
      </c>
      <c r="CE78" s="71">
        <f t="shared" ref="CE78" si="433">AO78</f>
        <v>381</v>
      </c>
      <c r="CF78" s="72">
        <f t="shared" ref="CF78" si="434">AS78</f>
        <v>418</v>
      </c>
      <c r="CG78" s="71">
        <f t="shared" ref="CG78" si="435">AW78</f>
        <v>444</v>
      </c>
      <c r="CH78" s="70">
        <f t="shared" ref="CH78" si="436">G78</f>
        <v>51</v>
      </c>
      <c r="CI78" s="71">
        <f t="shared" ref="CI78" si="437">K78</f>
        <v>55</v>
      </c>
      <c r="CJ78" s="72">
        <f t="shared" ref="CJ78" si="438">O78</f>
        <v>87</v>
      </c>
      <c r="CK78" s="72">
        <f t="shared" ref="CK78" si="439">S78</f>
        <v>91</v>
      </c>
      <c r="CL78" s="72">
        <f t="shared" ref="CL78" si="440">W78</f>
        <v>127</v>
      </c>
      <c r="CM78" s="72">
        <f t="shared" ref="CM78" si="441">AA78</f>
        <v>135</v>
      </c>
      <c r="CN78" s="72">
        <f t="shared" ref="CN78" si="442">AE78</f>
        <v>166</v>
      </c>
      <c r="CO78" s="72">
        <f t="shared" ref="CO78" si="443">AI78</f>
        <v>178</v>
      </c>
      <c r="CP78" s="72">
        <f t="shared" ref="CP78" si="444">AM78</f>
        <v>214</v>
      </c>
      <c r="CQ78" s="72">
        <f t="shared" ref="CQ78" si="445">AQ78</f>
        <v>413</v>
      </c>
      <c r="CR78" s="72">
        <f t="shared" ref="CR78" si="446">AU78</f>
        <v>443</v>
      </c>
      <c r="CS78" s="72">
        <f t="shared" ref="CS78" si="447">AY78</f>
        <v>456</v>
      </c>
      <c r="CT78" s="23">
        <f t="shared" ref="CT78" si="448">M78-K78</f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acm2_human_5ZKB</v>
      </c>
      <c r="B79" s="3" t="s">
        <v>147</v>
      </c>
      <c r="C79" s="3" t="s">
        <v>1532</v>
      </c>
      <c r="D79" s="3" t="str">
        <f>IFERROR(MID(VLOOKUP($B79,Seqs!$A:$B,2,0),E79,1),"")</f>
        <v>Y</v>
      </c>
      <c r="E79" s="3">
        <v>18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257</v>
      </c>
      <c r="BD79" s="4" t="s">
        <v>23</v>
      </c>
      <c r="BE79" s="3" t="s">
        <v>1375</v>
      </c>
      <c r="BF79" s="119">
        <v>2.95</v>
      </c>
      <c r="BG79" s="49" t="s">
        <v>1</v>
      </c>
      <c r="BH79" s="49" t="s">
        <v>1</v>
      </c>
      <c r="BI79" s="1"/>
      <c r="BJ79" s="70" t="s">
        <v>1288</v>
      </c>
      <c r="BK79" s="57" t="s">
        <v>1288</v>
      </c>
      <c r="BL79" s="57" t="s">
        <v>1288</v>
      </c>
      <c r="BM79" s="57" t="s">
        <v>1288</v>
      </c>
      <c r="BN79" s="57" t="s">
        <v>1288</v>
      </c>
      <c r="BO79" s="57" t="s">
        <v>1288</v>
      </c>
      <c r="BP79" s="57" t="s">
        <v>1288</v>
      </c>
      <c r="BQ79" s="57" t="s">
        <v>1288</v>
      </c>
      <c r="BR79" s="57" t="s">
        <v>1288</v>
      </c>
      <c r="BS79" s="57" t="s">
        <v>1288</v>
      </c>
      <c r="BT79" s="57" t="s">
        <v>1288</v>
      </c>
      <c r="BU79" s="57" t="s">
        <v>1288</v>
      </c>
      <c r="BV79" s="70">
        <f t="shared" ref="BV79" si="452">E79</f>
        <v>18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380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" si="477">CONCATENATE(B80,"_",C80)</f>
        <v>acm2_human_5ZK8</v>
      </c>
      <c r="B80" s="3" t="s">
        <v>147</v>
      </c>
      <c r="C80" s="3" t="s">
        <v>1533</v>
      </c>
      <c r="D80" s="3" t="str">
        <f>IFERROR(MID(VLOOKUP($B80,Seqs!$A:$B,2,0),E80,1),"")</f>
        <v>Y</v>
      </c>
      <c r="E80" s="3">
        <v>18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3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K</v>
      </c>
      <c r="AM80" s="3">
        <v>214</v>
      </c>
      <c r="AN80" s="3" t="str">
        <f>IFERROR(MID(VLOOKUP($B80,Seqs!$A:$B,2,0),AO80,1),"")</f>
        <v>K</v>
      </c>
      <c r="AO80" s="3">
        <v>383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105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" si="478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ref="BC80" si="479">_xlfn.AGGREGATE(9,6,CH80:CS80)-_xlfn.AGGREGATE(9,6,BV80:CG80)+12</f>
        <v>255</v>
      </c>
      <c r="BD80" s="4" t="s">
        <v>23</v>
      </c>
      <c r="BE80" s="3" t="s">
        <v>1375</v>
      </c>
      <c r="BF80" s="119">
        <v>3</v>
      </c>
      <c r="BG80" s="49" t="s">
        <v>1</v>
      </c>
      <c r="BH80" s="49" t="s">
        <v>1</v>
      </c>
      <c r="BI80" s="1"/>
      <c r="BJ80" s="70" t="s">
        <v>1288</v>
      </c>
      <c r="BK80" s="57" t="s">
        <v>1288</v>
      </c>
      <c r="BL80" s="57" t="s">
        <v>1288</v>
      </c>
      <c r="BM80" s="57" t="s">
        <v>1288</v>
      </c>
      <c r="BN80" s="57" t="s">
        <v>1288</v>
      </c>
      <c r="BO80" s="57" t="s">
        <v>1288</v>
      </c>
      <c r="BP80" s="57" t="s">
        <v>1288</v>
      </c>
      <c r="BQ80" s="57" t="s">
        <v>1288</v>
      </c>
      <c r="BR80" s="57" t="s">
        <v>1288</v>
      </c>
      <c r="BS80" s="57" t="s">
        <v>1288</v>
      </c>
      <c r="BT80" s="57" t="s">
        <v>1288</v>
      </c>
      <c r="BU80" s="57" t="s">
        <v>1288</v>
      </c>
      <c r="BV80" s="70">
        <f t="shared" ref="BV80" si="480">E80</f>
        <v>18</v>
      </c>
      <c r="BW80" s="71">
        <f t="shared" ref="BW80" si="481">I80</f>
        <v>52</v>
      </c>
      <c r="BX80" s="72">
        <f t="shared" ref="BX80" si="482">M80</f>
        <v>56</v>
      </c>
      <c r="BY80" s="71">
        <f t="shared" ref="BY80" si="483">Q80</f>
        <v>88</v>
      </c>
      <c r="BZ80" s="72">
        <f t="shared" ref="BZ80" si="484">U80</f>
        <v>92</v>
      </c>
      <c r="CA80" s="71">
        <f t="shared" ref="CA80" si="485">Y80</f>
        <v>128</v>
      </c>
      <c r="CB80" s="72">
        <f t="shared" ref="CB80" si="486">AC80</f>
        <v>136</v>
      </c>
      <c r="CC80" s="71">
        <f t="shared" ref="CC80" si="487">AG80</f>
        <v>176</v>
      </c>
      <c r="CD80" s="72">
        <f t="shared" ref="CD80" si="488">AK80</f>
        <v>183</v>
      </c>
      <c r="CE80" s="71">
        <f t="shared" ref="CE80" si="489">AO80</f>
        <v>383</v>
      </c>
      <c r="CF80" s="72">
        <f t="shared" ref="CF80" si="490">AS80</f>
        <v>418</v>
      </c>
      <c r="CG80" s="71">
        <f t="shared" ref="CG80" si="491">AW80</f>
        <v>444</v>
      </c>
      <c r="CH80" s="70">
        <f t="shared" ref="CH80" si="492">G80</f>
        <v>51</v>
      </c>
      <c r="CI80" s="71">
        <f t="shared" ref="CI80" si="493">K80</f>
        <v>55</v>
      </c>
      <c r="CJ80" s="72">
        <f t="shared" ref="CJ80" si="494">O80</f>
        <v>87</v>
      </c>
      <c r="CK80" s="72">
        <f t="shared" ref="CK80" si="495">S80</f>
        <v>91</v>
      </c>
      <c r="CL80" s="72">
        <f t="shared" ref="CL80" si="496">W80</f>
        <v>127</v>
      </c>
      <c r="CM80" s="72">
        <f t="shared" ref="CM80" si="497">AA80</f>
        <v>135</v>
      </c>
      <c r="CN80" s="72">
        <f t="shared" ref="CN80" si="498">AE80</f>
        <v>167</v>
      </c>
      <c r="CO80" s="72">
        <f t="shared" ref="CO80" si="499">AI80</f>
        <v>178</v>
      </c>
      <c r="CP80" s="72">
        <f t="shared" ref="CP80" si="500">AM80</f>
        <v>214</v>
      </c>
      <c r="CQ80" s="72">
        <f t="shared" ref="CQ80" si="501">AQ80</f>
        <v>413</v>
      </c>
      <c r="CR80" s="72">
        <f t="shared" ref="CR80" si="502">AU80</f>
        <v>443</v>
      </c>
      <c r="CS80" s="72">
        <f t="shared" ref="CS80" si="503">AY80</f>
        <v>456</v>
      </c>
      <c r="CT80" s="23">
        <f t="shared" ref="CT80" si="504">M80-K80</f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acm2_human_5ZK3</v>
      </c>
      <c r="B81" s="3" t="s">
        <v>147</v>
      </c>
      <c r="C81" s="3" t="s">
        <v>1534</v>
      </c>
      <c r="D81" s="3" t="str">
        <f>IFERROR(MID(VLOOKUP($B81,Seqs!$A:$B,2,0),E81,1),"")</f>
        <v>Y</v>
      </c>
      <c r="E81" s="3">
        <v>18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E</v>
      </c>
      <c r="AO81" s="3">
        <v>382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256</v>
      </c>
      <c r="BD81" s="4" t="s">
        <v>23</v>
      </c>
      <c r="BE81" s="3" t="s">
        <v>1375</v>
      </c>
      <c r="BF81" s="119">
        <v>2.6</v>
      </c>
      <c r="BG81" s="49" t="s">
        <v>1</v>
      </c>
      <c r="BH81" s="49" t="s">
        <v>1</v>
      </c>
      <c r="BI81" s="1"/>
      <c r="BJ81" s="70" t="s">
        <v>1288</v>
      </c>
      <c r="BK81" s="57" t="s">
        <v>1288</v>
      </c>
      <c r="BL81" s="57" t="s">
        <v>1288</v>
      </c>
      <c r="BM81" s="57" t="s">
        <v>1288</v>
      </c>
      <c r="BN81" s="57" t="s">
        <v>1288</v>
      </c>
      <c r="BO81" s="57" t="s">
        <v>1288</v>
      </c>
      <c r="BP81" s="57" t="s">
        <v>1288</v>
      </c>
      <c r="BQ81" s="57" t="s">
        <v>1288</v>
      </c>
      <c r="BR81" s="57" t="s">
        <v>1288</v>
      </c>
      <c r="BS81" s="57" t="s">
        <v>1288</v>
      </c>
      <c r="BT81" s="57" t="s">
        <v>1288</v>
      </c>
      <c r="BU81" s="57" t="s">
        <v>1288</v>
      </c>
      <c r="BV81" s="70">
        <f t="shared" ref="BV81" si="508">E81</f>
        <v>18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382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167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acm2_human_5YC8</v>
      </c>
      <c r="B82" s="3" t="s">
        <v>147</v>
      </c>
      <c r="C82" s="3" t="s">
        <v>1535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R</v>
      </c>
      <c r="AO82" s="3">
        <v>381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1375</v>
      </c>
      <c r="BF82" s="119">
        <v>2.5</v>
      </c>
      <c r="BG82" s="49" t="s">
        <v>1</v>
      </c>
      <c r="BH82" s="49" t="s">
        <v>1</v>
      </c>
      <c r="BI82" s="1"/>
      <c r="BJ82" s="70" t="s">
        <v>1288</v>
      </c>
      <c r="BK82" s="57" t="s">
        <v>1288</v>
      </c>
      <c r="BL82" s="57" t="s">
        <v>1288</v>
      </c>
      <c r="BM82" s="57" t="s">
        <v>1288</v>
      </c>
      <c r="BN82" s="57" t="s">
        <v>1288</v>
      </c>
      <c r="BO82" s="57" t="s">
        <v>1288</v>
      </c>
      <c r="BP82" s="57" t="s">
        <v>1288</v>
      </c>
      <c r="BQ82" s="57" t="s">
        <v>1288</v>
      </c>
      <c r="BR82" s="57" t="s">
        <v>1288</v>
      </c>
      <c r="BS82" s="57" t="s">
        <v>1288</v>
      </c>
      <c r="BT82" s="57" t="s">
        <v>1288</v>
      </c>
      <c r="BU82" s="57" t="s">
        <v>1288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381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167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s="12" customFormat="1" x14ac:dyDescent="0.2">
      <c r="A83" s="9" t="str">
        <f t="shared" ref="A83" si="561">CONCATENATE(B83,"_",C83)</f>
        <v>acm2_human_6OIK</v>
      </c>
      <c r="B83" s="9" t="s">
        <v>147</v>
      </c>
      <c r="C83" s="9" t="s">
        <v>1579</v>
      </c>
      <c r="D83" s="9" t="str">
        <f>IFERROR(MID(VLOOKUP($B83,Seqs!$A:$B,2,0),E83,1),"")</f>
        <v>T</v>
      </c>
      <c r="E83" s="9">
        <v>20</v>
      </c>
      <c r="F83" s="9" t="str">
        <f>IFERROR(MID(VLOOKUP($B83,Seqs!$A:$B,2,0),G83,1),"")</f>
        <v>V</v>
      </c>
      <c r="G83" s="9">
        <v>50</v>
      </c>
      <c r="H83" s="9" t="str">
        <f>IFERROR(MID(VLOOKUP($B83,Seqs!$A:$B,2,0),I83,1),"")</f>
        <v>R</v>
      </c>
      <c r="I83" s="109">
        <v>52</v>
      </c>
      <c r="J83" s="9" t="str">
        <f>IFERROR(MID(VLOOKUP($B83,Seqs!$A:$B,2,0),K83,1),"")</f>
        <v>Q</v>
      </c>
      <c r="K83" s="109">
        <v>55</v>
      </c>
      <c r="L83" s="9" t="str">
        <f>IFERROR(MID(VLOOKUP($B83,Seqs!$A:$B,2,0),M83,1),"")</f>
        <v>T</v>
      </c>
      <c r="M83" s="9">
        <v>56</v>
      </c>
      <c r="N83" s="9" t="str">
        <f>IFERROR(MID(VLOOKUP($B83,Seqs!$A:$B,2,0),O83,1),"")</f>
        <v>G</v>
      </c>
      <c r="O83" s="9">
        <v>87</v>
      </c>
      <c r="P83" s="9" t="str">
        <f>IFERROR(MID(VLOOKUP($B83,Seqs!$A:$B,2,0),Q83,1),"")</f>
        <v>Y</v>
      </c>
      <c r="Q83" s="9">
        <v>88</v>
      </c>
      <c r="R83" s="9" t="str">
        <f>IFERROR(MID(VLOOKUP($B83,Seqs!$A:$B,2,0),S83,1),"")</f>
        <v>L</v>
      </c>
      <c r="S83" s="9">
        <v>91</v>
      </c>
      <c r="T83" s="9" t="str">
        <f>IFERROR(MID(VLOOKUP($B83,Seqs!$A:$B,2,0),U83,1),"")</f>
        <v>G</v>
      </c>
      <c r="U83" s="9">
        <v>92</v>
      </c>
      <c r="V83" s="9" t="str">
        <f>IFERROR(MID(VLOOKUP($B83,Seqs!$A:$B,2,0),W83,1),"")</f>
        <v>K</v>
      </c>
      <c r="W83" s="9">
        <v>127</v>
      </c>
      <c r="X83" s="9" t="str">
        <f>IFERROR(MID(VLOOKUP($B83,Seqs!$A:$B,2,0),Y83,1),"")</f>
        <v>P</v>
      </c>
      <c r="Y83" s="9">
        <v>128</v>
      </c>
      <c r="Z83" s="9" t="str">
        <f>IFERROR(MID(VLOOKUP($B83,Seqs!$A:$B,2,0),AA83,1),"")</f>
        <v>R</v>
      </c>
      <c r="AA83" s="9">
        <v>135</v>
      </c>
      <c r="AB83" s="9" t="str">
        <f>IFERROR(MID(VLOOKUP($B83,Seqs!$A:$B,2,0),AC83,1),"")</f>
        <v>T</v>
      </c>
      <c r="AC83" s="9">
        <v>136</v>
      </c>
      <c r="AD83" s="9" t="str">
        <f>IFERROR(MID(VLOOKUP($B83,Seqs!$A:$B,2,0),AE83,1),"")</f>
        <v>G</v>
      </c>
      <c r="AE83" s="9">
        <v>167</v>
      </c>
      <c r="AF83" s="9" t="str">
        <f>IFERROR(MID(VLOOKUP($B83,Seqs!$A:$B,2,0),AG83,1),"")</f>
        <v>C</v>
      </c>
      <c r="AG83" s="9">
        <v>176</v>
      </c>
      <c r="AH83" s="9" t="str">
        <f>IFERROR(MID(VLOOKUP($B83,Seqs!$A:$B,2,0),AI83,1),"")</f>
        <v>I</v>
      </c>
      <c r="AI83" s="9">
        <v>178</v>
      </c>
      <c r="AJ83" s="9" t="str">
        <f>IFERROR(MID(VLOOKUP($B83,Seqs!$A:$B,2,0),AK83,1),"")</f>
        <v>A</v>
      </c>
      <c r="AK83" s="9">
        <v>184</v>
      </c>
      <c r="AL83" s="9" t="str">
        <f>IFERROR(MID(VLOOKUP($B83,Seqs!$A:$B,2,0),AM83,1),"")</f>
        <v>S</v>
      </c>
      <c r="AM83" s="9">
        <v>213</v>
      </c>
      <c r="AN83" s="9" t="str">
        <f>IFERROR(MID(VLOOKUP($B83,Seqs!$A:$B,2,0),AO83,1),"")</f>
        <v>E</v>
      </c>
      <c r="AO83" s="9">
        <v>382</v>
      </c>
      <c r="AP83" s="9" t="str">
        <f>IFERROR(MID(VLOOKUP($B83,Seqs!$A:$B,2,0),AQ83,1),"")</f>
        <v>C</v>
      </c>
      <c r="AQ83" s="9">
        <v>413</v>
      </c>
      <c r="AR83" s="9" t="str">
        <f>IFERROR(MID(VLOOKUP($B83,Seqs!$A:$B,2,0),AS83,1),"")</f>
        <v>N</v>
      </c>
      <c r="AS83" s="9">
        <v>419</v>
      </c>
      <c r="AT83" s="9" t="str">
        <f>IFERROR(MID(VLOOKUP($B83,Seqs!$A:$B,2,0),AU83,1),"")</f>
        <v>C</v>
      </c>
      <c r="AU83" s="9">
        <v>443</v>
      </c>
      <c r="AV83" s="9" t="str">
        <f>IFERROR(MID(VLOOKUP($B83,Seqs!$A:$B,2,0),AW83,1),"")</f>
        <v>N</v>
      </c>
      <c r="AW83" s="9">
        <v>444</v>
      </c>
      <c r="AX83" s="9" t="str">
        <f>IFERROR(MID(VLOOKUP($B83,Seqs!$A:$B,2,0),AY83,1),"")</f>
        <v>L</v>
      </c>
      <c r="AY83" s="9">
        <v>454</v>
      </c>
      <c r="AZ83" s="110" t="str">
        <f>VLOOKUP(B83,Classification!A:D,2,0)</f>
        <v>A</v>
      </c>
      <c r="BA83" s="98" t="str">
        <f>VLOOKUP(B83,Classification!A:D,4,0)</f>
        <v>Acetylcholine(muscarinic)</v>
      </c>
      <c r="BB83" s="36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109">
        <f t="shared" ref="BC83" si="563">_xlfn.AGGREGATE(9,6,CH83:CS83)-_xlfn.AGGREGATE(9,6,BV83:CG83)+12</f>
        <v>248</v>
      </c>
      <c r="BD83" s="11" t="s">
        <v>23</v>
      </c>
      <c r="BE83" s="9" t="s">
        <v>1292</v>
      </c>
      <c r="BF83" s="120">
        <v>3.6</v>
      </c>
      <c r="BG83" s="51" t="s">
        <v>1423</v>
      </c>
      <c r="BH83" s="51" t="s">
        <v>1423</v>
      </c>
      <c r="BJ83" s="111" t="s">
        <v>1288</v>
      </c>
      <c r="BK83" s="112" t="s">
        <v>1288</v>
      </c>
      <c r="BL83" s="112" t="s">
        <v>1288</v>
      </c>
      <c r="BM83" s="112" t="s">
        <v>1288</v>
      </c>
      <c r="BN83" s="112" t="s">
        <v>1288</v>
      </c>
      <c r="BO83" s="112" t="s">
        <v>1288</v>
      </c>
      <c r="BP83" s="112" t="s">
        <v>1288</v>
      </c>
      <c r="BQ83" s="112" t="s">
        <v>1288</v>
      </c>
      <c r="BR83" s="112" t="s">
        <v>1288</v>
      </c>
      <c r="BS83" s="112" t="s">
        <v>1288</v>
      </c>
      <c r="BT83" s="112" t="s">
        <v>1288</v>
      </c>
      <c r="BU83" s="112" t="s">
        <v>1288</v>
      </c>
      <c r="BV83" s="111">
        <f t="shared" ref="BV83" si="564">E83</f>
        <v>20</v>
      </c>
      <c r="BW83" s="113">
        <f t="shared" ref="BW83" si="565">I83</f>
        <v>52</v>
      </c>
      <c r="BX83" s="114">
        <f t="shared" ref="BX83" si="566">M83</f>
        <v>56</v>
      </c>
      <c r="BY83" s="113">
        <f t="shared" ref="BY83" si="567">Q83</f>
        <v>88</v>
      </c>
      <c r="BZ83" s="114">
        <f t="shared" ref="BZ83" si="568">U83</f>
        <v>92</v>
      </c>
      <c r="CA83" s="113">
        <f t="shared" ref="CA83" si="569">Y83</f>
        <v>128</v>
      </c>
      <c r="CB83" s="114">
        <f t="shared" ref="CB83" si="570">AC83</f>
        <v>136</v>
      </c>
      <c r="CC83" s="113">
        <f t="shared" ref="CC83" si="571">AG83</f>
        <v>176</v>
      </c>
      <c r="CD83" s="114">
        <f t="shared" ref="CD83" si="572">AK83</f>
        <v>184</v>
      </c>
      <c r="CE83" s="113">
        <f t="shared" ref="CE83" si="573">AO83</f>
        <v>382</v>
      </c>
      <c r="CF83" s="114">
        <f t="shared" ref="CF83" si="574">AS83</f>
        <v>419</v>
      </c>
      <c r="CG83" s="113">
        <f t="shared" ref="CG83" si="575">AW83</f>
        <v>444</v>
      </c>
      <c r="CH83" s="111">
        <f t="shared" ref="CH83" si="576">G83</f>
        <v>50</v>
      </c>
      <c r="CI83" s="113">
        <f t="shared" ref="CI83" si="577">K83</f>
        <v>55</v>
      </c>
      <c r="CJ83" s="114">
        <f t="shared" ref="CJ83" si="578">O83</f>
        <v>87</v>
      </c>
      <c r="CK83" s="114">
        <f t="shared" ref="CK83" si="579">S83</f>
        <v>91</v>
      </c>
      <c r="CL83" s="114">
        <f t="shared" ref="CL83" si="580">W83</f>
        <v>127</v>
      </c>
      <c r="CM83" s="114">
        <f t="shared" ref="CM83" si="581">AA83</f>
        <v>135</v>
      </c>
      <c r="CN83" s="114">
        <f t="shared" ref="CN83" si="582">AE83</f>
        <v>167</v>
      </c>
      <c r="CO83" s="114">
        <f t="shared" ref="CO83" si="583">AI83</f>
        <v>178</v>
      </c>
      <c r="CP83" s="114">
        <f t="shared" ref="CP83" si="584">AM83</f>
        <v>213</v>
      </c>
      <c r="CQ83" s="114">
        <f t="shared" ref="CQ83" si="585">AQ83</f>
        <v>413</v>
      </c>
      <c r="CR83" s="114">
        <f t="shared" ref="CR83" si="586">AU83</f>
        <v>443</v>
      </c>
      <c r="CS83" s="114">
        <f t="shared" ref="CS83" si="587">AY83</f>
        <v>454</v>
      </c>
      <c r="CT83" s="109">
        <f t="shared" ref="CT83" si="588">M83-K83</f>
        <v>1</v>
      </c>
    </row>
    <row r="84" spans="1:1029" x14ac:dyDescent="0.2">
      <c r="A84" s="3" t="str">
        <f t="shared" si="419"/>
        <v>acm3_rat__wt</v>
      </c>
      <c r="B84" s="3" t="s">
        <v>910</v>
      </c>
      <c r="C84" s="3" t="s">
        <v>100</v>
      </c>
      <c r="D84" s="3" t="str">
        <f>IFERROR(MID(VLOOKUP($B84,Seqs!$A:$B,2,0),E84,1),"")</f>
        <v>T</v>
      </c>
      <c r="E84" s="105">
        <v>63</v>
      </c>
      <c r="F84" s="3" t="str">
        <f>IFERROR(MID(VLOOKUP($B84,Seqs!$A:$B,2,0),G84,1),"")</f>
        <v>N</v>
      </c>
      <c r="G84" s="3">
        <v>95</v>
      </c>
      <c r="H84" s="3" t="str">
        <f>IFERROR(MID(VLOOKUP($B84,Seqs!$A:$B,2,0),I84,1),"")</f>
        <v>K</v>
      </c>
      <c r="I84" s="23">
        <v>96</v>
      </c>
      <c r="J84" s="3" t="str">
        <f>IFERROR(MID(VLOOKUP($B84,Seqs!$A:$B,2,0),K84,1),"")</f>
        <v>K</v>
      </c>
      <c r="K84" s="23">
        <v>99</v>
      </c>
      <c r="L84" s="3" t="str">
        <f>IFERROR(MID(VLOOKUP($B84,Seqs!$A:$B,2,0),M84,1),"")</f>
        <v>T</v>
      </c>
      <c r="M84" s="3">
        <v>100</v>
      </c>
      <c r="N84" s="3" t="str">
        <f>IFERROR(MID(VLOOKUP($B84,Seqs!$A:$B,2,0),O84,1),"")</f>
        <v>M</v>
      </c>
      <c r="O84" s="3">
        <v>130</v>
      </c>
      <c r="P84" s="3" t="str">
        <f>IFERROR(MID(VLOOKUP($B84,Seqs!$A:$B,2,0),Q84,1),"")</f>
        <v>R</v>
      </c>
      <c r="Q84" s="3">
        <v>132</v>
      </c>
      <c r="R84" s="3" t="str">
        <f>IFERROR(MID(VLOOKUP($B84,Seqs!$A:$B,2,0),S84,1),"")</f>
        <v>L</v>
      </c>
      <c r="S84" s="3">
        <v>135</v>
      </c>
      <c r="T84" s="3" t="str">
        <f>IFERROR(MID(VLOOKUP($B84,Seqs!$A:$B,2,0),U84,1),"")</f>
        <v>G</v>
      </c>
      <c r="U84" s="3">
        <v>136</v>
      </c>
      <c r="V84" s="3" t="str">
        <f>IFERROR(MID(VLOOKUP($B84,Seqs!$A:$B,2,0),W84,1),"")</f>
        <v>R</v>
      </c>
      <c r="W84" s="3">
        <v>171</v>
      </c>
      <c r="X84" s="3" t="str">
        <f>IFERROR(MID(VLOOKUP($B84,Seqs!$A:$B,2,0),Y84,1),"")</f>
        <v>P</v>
      </c>
      <c r="Y84" s="3">
        <v>172</v>
      </c>
      <c r="Z84" s="3" t="str">
        <f>IFERROR(MID(VLOOKUP($B84,Seqs!$A:$B,2,0),AA84,1),"")</f>
        <v>R</v>
      </c>
      <c r="AA84" s="3">
        <v>179</v>
      </c>
      <c r="AB84" s="3" t="str">
        <f>IFERROR(MID(VLOOKUP($B84,Seqs!$A:$B,2,0),AC84,1),"")</f>
        <v>T</v>
      </c>
      <c r="AC84" s="3">
        <v>180</v>
      </c>
      <c r="AD84" s="3" t="str">
        <f>IFERROR(MID(VLOOKUP($B84,Seqs!$A:$B,2,0),AE84,1),"")</f>
        <v>G</v>
      </c>
      <c r="AE84" s="3">
        <v>211</v>
      </c>
      <c r="AF84" s="3" t="str">
        <f>IFERROR(MID(VLOOKUP($B84,Seqs!$A:$B,2,0),AG84,1),"")</f>
        <v>C</v>
      </c>
      <c r="AG84" s="3">
        <v>220</v>
      </c>
      <c r="AH84" s="3" t="str">
        <f>IFERROR(MID(VLOOKUP($B84,Seqs!$A:$B,2,0),AI84,1),"")</f>
        <v>I</v>
      </c>
      <c r="AI84" s="3">
        <v>222</v>
      </c>
      <c r="AJ84" s="3" t="str">
        <f>IFERROR(MID(VLOOKUP($B84,Seqs!$A:$B,2,0),AK84,1),"")</f>
        <v>E</v>
      </c>
      <c r="AK84" s="3">
        <v>227</v>
      </c>
      <c r="AL84" s="3" t="str">
        <f>IFERROR(MID(VLOOKUP($B84,Seqs!$A:$B,2,0),AM84,1),"")</f>
        <v>L</v>
      </c>
      <c r="AM84" s="3">
        <v>267</v>
      </c>
      <c r="AN84" s="3" t="str">
        <f>IFERROR(MID(VLOOKUP($B84,Seqs!$A:$B,2,0),AO84,1),"")</f>
        <v>R</v>
      </c>
      <c r="AO84" s="3">
        <v>479</v>
      </c>
      <c r="AP84" s="3" t="str">
        <f>IFERROR(MID(VLOOKUP($B84,Seqs!$A:$B,2,0),AQ84,1),"")</f>
        <v>C</v>
      </c>
      <c r="AQ84" s="3">
        <v>516</v>
      </c>
      <c r="AR84" s="3" t="str">
        <f>IFERROR(MID(VLOOKUP($B84,Seqs!$A:$B,2,0),AS84,1),"")</f>
        <v>P</v>
      </c>
      <c r="AS84" s="3">
        <v>521</v>
      </c>
      <c r="AT84" s="3" t="str">
        <f>IFERROR(MID(VLOOKUP($B84,Seqs!$A:$B,2,0),AU84,1),"")</f>
        <v>C</v>
      </c>
      <c r="AU84" s="3">
        <v>546</v>
      </c>
      <c r="AV84" s="3" t="str">
        <f>IFERROR(MID(VLOOKUP($B84,Seqs!$A:$B,2,0),AW84,1),"")</f>
        <v>N</v>
      </c>
      <c r="AW84" s="3">
        <v>547</v>
      </c>
      <c r="AX84" s="3" t="str">
        <f>IFERROR(MID(VLOOKUP($B84,Seqs!$A:$B,2,0),AY84,1),"")</f>
        <v>C</v>
      </c>
      <c r="AY84" s="3">
        <v>560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si="420"/>
        <v>1</v>
      </c>
      <c r="BC84" s="23">
        <f t="shared" si="225"/>
        <v>270</v>
      </c>
      <c r="BD84" s="56" t="s">
        <v>23</v>
      </c>
      <c r="BE84" s="3" t="s">
        <v>23</v>
      </c>
      <c r="BF84" s="119" t="s">
        <v>23</v>
      </c>
      <c r="BG84" s="49" t="s">
        <v>1373</v>
      </c>
      <c r="BH84" s="49" t="s">
        <v>1378</v>
      </c>
      <c r="BI84" s="1"/>
      <c r="BJ84" s="70" t="s">
        <v>1288</v>
      </c>
      <c r="BK84" s="57" t="s">
        <v>1288</v>
      </c>
      <c r="BL84" s="57" t="s">
        <v>1288</v>
      </c>
      <c r="BM84" s="57" t="s">
        <v>1288</v>
      </c>
      <c r="BN84" s="57" t="s">
        <v>1288</v>
      </c>
      <c r="BO84" s="57" t="s">
        <v>1288</v>
      </c>
      <c r="BP84" s="57" t="s">
        <v>1288</v>
      </c>
      <c r="BQ84" s="57" t="s">
        <v>1288</v>
      </c>
      <c r="BR84" s="57" t="s">
        <v>1288</v>
      </c>
      <c r="BS84" s="57" t="s">
        <v>1288</v>
      </c>
      <c r="BT84" s="57" t="s">
        <v>1288</v>
      </c>
      <c r="BU84" s="57" t="s">
        <v>1288</v>
      </c>
      <c r="BV84" s="70">
        <f t="shared" si="226"/>
        <v>63</v>
      </c>
      <c r="BW84" s="71">
        <f t="shared" si="227"/>
        <v>96</v>
      </c>
      <c r="BX84" s="72">
        <f t="shared" si="228"/>
        <v>100</v>
      </c>
      <c r="BY84" s="71">
        <f t="shared" si="229"/>
        <v>132</v>
      </c>
      <c r="BZ84" s="72">
        <f t="shared" si="230"/>
        <v>136</v>
      </c>
      <c r="CA84" s="71">
        <f t="shared" si="231"/>
        <v>172</v>
      </c>
      <c r="CB84" s="72">
        <f t="shared" si="232"/>
        <v>180</v>
      </c>
      <c r="CC84" s="71">
        <f t="shared" si="233"/>
        <v>220</v>
      </c>
      <c r="CD84" s="72">
        <f t="shared" si="234"/>
        <v>227</v>
      </c>
      <c r="CE84" s="71">
        <f t="shared" si="235"/>
        <v>479</v>
      </c>
      <c r="CF84" s="72">
        <f t="shared" si="236"/>
        <v>521</v>
      </c>
      <c r="CG84" s="71">
        <f t="shared" si="237"/>
        <v>547</v>
      </c>
      <c r="CH84" s="70">
        <f t="shared" si="238"/>
        <v>95</v>
      </c>
      <c r="CI84" s="71">
        <f t="shared" si="239"/>
        <v>99</v>
      </c>
      <c r="CJ84" s="72">
        <f t="shared" si="240"/>
        <v>130</v>
      </c>
      <c r="CK84" s="72">
        <f t="shared" si="241"/>
        <v>135</v>
      </c>
      <c r="CL84" s="72">
        <f t="shared" si="242"/>
        <v>171</v>
      </c>
      <c r="CM84" s="72">
        <f t="shared" si="243"/>
        <v>179</v>
      </c>
      <c r="CN84" s="72">
        <f t="shared" si="244"/>
        <v>211</v>
      </c>
      <c r="CO84" s="72">
        <f t="shared" si="245"/>
        <v>222</v>
      </c>
      <c r="CP84" s="72">
        <f t="shared" si="246"/>
        <v>267</v>
      </c>
      <c r="CQ84" s="72">
        <f t="shared" si="247"/>
        <v>516</v>
      </c>
      <c r="CR84" s="72">
        <f t="shared" si="248"/>
        <v>546</v>
      </c>
      <c r="CS84" s="72">
        <f t="shared" si="249"/>
        <v>560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419"/>
        <v>acm3_rat_4U15</v>
      </c>
      <c r="B85" s="3" t="s">
        <v>910</v>
      </c>
      <c r="C85" s="3" t="s">
        <v>71</v>
      </c>
      <c r="D85" s="3" t="str">
        <f>IFERROR(MID(VLOOKUP($B85,Seqs!$A:$B,2,0),E85,1),"")</f>
        <v>I</v>
      </c>
      <c r="E85" s="3">
        <v>64</v>
      </c>
      <c r="F85" s="3" t="str">
        <f>IFERROR(MID(VLOOKUP($B85,Seqs!$A:$B,2,0),G85,1),"")</f>
        <v>N</v>
      </c>
      <c r="G85" s="3">
        <v>95</v>
      </c>
      <c r="H85" s="3" t="str">
        <f>IFERROR(MID(VLOOKUP($B85,Seqs!$A:$B,2,0),I85,1),"")</f>
        <v>K</v>
      </c>
      <c r="I85" s="23">
        <v>96</v>
      </c>
      <c r="J85" s="3" t="str">
        <f>IFERROR(MID(VLOOKUP($B85,Seqs!$A:$B,2,0),K85,1),"")</f>
        <v>K</v>
      </c>
      <c r="K85" s="23">
        <v>99</v>
      </c>
      <c r="L85" s="3" t="str">
        <f>IFERROR(MID(VLOOKUP($B85,Seqs!$A:$B,2,0),M85,1),"")</f>
        <v>T</v>
      </c>
      <c r="M85" s="3">
        <v>100</v>
      </c>
      <c r="N85" s="3" t="str">
        <f>IFERROR(MID(VLOOKUP($B85,Seqs!$A:$B,2,0),O85,1),"")</f>
        <v>M</v>
      </c>
      <c r="O85" s="3">
        <v>130</v>
      </c>
      <c r="P85" s="3" t="str">
        <f>IFERROR(MID(VLOOKUP($B85,Seqs!$A:$B,2,0),Q85,1),"")</f>
        <v>R</v>
      </c>
      <c r="Q85" s="3">
        <v>132</v>
      </c>
      <c r="R85" s="3" t="str">
        <f>IFERROR(MID(VLOOKUP($B85,Seqs!$A:$B,2,0),S85,1),"")</f>
        <v>L</v>
      </c>
      <c r="S85" s="3">
        <v>135</v>
      </c>
      <c r="T85" s="3" t="str">
        <f>IFERROR(MID(VLOOKUP($B85,Seqs!$A:$B,2,0),U85,1),"")</f>
        <v>G</v>
      </c>
      <c r="U85" s="3">
        <v>136</v>
      </c>
      <c r="V85" s="3" t="str">
        <f>IFERROR(MID(VLOOKUP($B85,Seqs!$A:$B,2,0),W85,1),"")</f>
        <v>R</v>
      </c>
      <c r="W85" s="3">
        <v>171</v>
      </c>
      <c r="X85" s="3" t="str">
        <f>IFERROR(MID(VLOOKUP($B85,Seqs!$A:$B,2,0),Y85,1),"")</f>
        <v>P</v>
      </c>
      <c r="Y85" s="3">
        <v>172</v>
      </c>
      <c r="Z85" s="3" t="str">
        <f>IFERROR(MID(VLOOKUP($B85,Seqs!$A:$B,2,0),AA85,1),"")</f>
        <v>R</v>
      </c>
      <c r="AA85" s="3">
        <v>179</v>
      </c>
      <c r="AB85" s="3" t="str">
        <f>IFERROR(MID(VLOOKUP($B85,Seqs!$A:$B,2,0),AC85,1),"")</f>
        <v>T</v>
      </c>
      <c r="AC85" s="9">
        <v>180</v>
      </c>
      <c r="AD85" s="3" t="str">
        <f>IFERROR(MID(VLOOKUP($B85,Seqs!$A:$B,2,0),AE85,1),"")</f>
        <v>G</v>
      </c>
      <c r="AE85" s="3">
        <v>211</v>
      </c>
      <c r="AF85" s="3" t="str">
        <f>IFERROR(MID(VLOOKUP($B85,Seqs!$A:$B,2,0),AG85,1),"")</f>
        <v>C</v>
      </c>
      <c r="AG85" s="3">
        <v>220</v>
      </c>
      <c r="AH85" s="3" t="str">
        <f>IFERROR(MID(VLOOKUP($B85,Seqs!$A:$B,2,0),AI85,1),"")</f>
        <v>I</v>
      </c>
      <c r="AI85" s="3">
        <v>222</v>
      </c>
      <c r="AJ85" s="3" t="str">
        <f>IFERROR(MID(VLOOKUP($B85,Seqs!$A:$B,2,0),AK85,1),"")</f>
        <v>E</v>
      </c>
      <c r="AK85" s="3">
        <v>227</v>
      </c>
      <c r="AL85" s="3" t="str">
        <f>IFERROR(MID(VLOOKUP($B85,Seqs!$A:$B,2,0),AM85,1),"")</f>
        <v>K</v>
      </c>
      <c r="AM85" s="3">
        <v>259</v>
      </c>
      <c r="AN85" s="3" t="str">
        <f>IFERROR(MID(VLOOKUP($B85,Seqs!$A:$B,2,0),AO85,1),"")</f>
        <v>I</v>
      </c>
      <c r="AO85" s="3">
        <v>483</v>
      </c>
      <c r="AP85" s="3" t="str">
        <f>IFERROR(MID(VLOOKUP($B85,Seqs!$A:$B,2,0),AQ85,1),"")</f>
        <v>C</v>
      </c>
      <c r="AQ85" s="3">
        <v>516</v>
      </c>
      <c r="AR85" s="3" t="str">
        <f>IFERROR(MID(VLOOKUP($B85,Seqs!$A:$B,2,0),AS85,1),"")</f>
        <v>P</v>
      </c>
      <c r="AS85" s="3">
        <v>521</v>
      </c>
      <c r="AT85" s="3" t="str">
        <f>IFERROR(MID(VLOOKUP($B85,Seqs!$A:$B,2,0),AU85,1),"")</f>
        <v>C</v>
      </c>
      <c r="AU85" s="3">
        <v>546</v>
      </c>
      <c r="AV85" s="3" t="str">
        <f>IFERROR(MID(VLOOKUP($B85,Seqs!$A:$B,2,0),AW85,1),"")</f>
        <v>N</v>
      </c>
      <c r="AW85" s="3">
        <v>547</v>
      </c>
      <c r="AX85" s="3" t="str">
        <f>IFERROR(MID(VLOOKUP($B85,Seqs!$A:$B,2,0),AY85,1),"")</f>
        <v>L</v>
      </c>
      <c r="AY85" s="3">
        <v>558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420"/>
        <v>1</v>
      </c>
      <c r="BC85" s="23">
        <f t="shared" si="225"/>
        <v>255</v>
      </c>
      <c r="BD85" s="16" t="s">
        <v>23</v>
      </c>
      <c r="BE85" s="3" t="s">
        <v>1375</v>
      </c>
      <c r="BF85" s="119">
        <v>2.8</v>
      </c>
      <c r="BG85" s="49" t="s">
        <v>1378</v>
      </c>
      <c r="BH85" s="49" t="s">
        <v>1378</v>
      </c>
      <c r="BI85" s="1"/>
      <c r="BJ85" s="70" t="s">
        <v>1288</v>
      </c>
      <c r="BK85" s="57" t="s">
        <v>1288</v>
      </c>
      <c r="BL85" s="57" t="s">
        <v>1288</v>
      </c>
      <c r="BM85" s="57" t="s">
        <v>1288</v>
      </c>
      <c r="BN85" s="57" t="s">
        <v>1288</v>
      </c>
      <c r="BO85" s="57" t="s">
        <v>1288</v>
      </c>
      <c r="BP85" s="57" t="s">
        <v>1288</v>
      </c>
      <c r="BQ85" s="57" t="s">
        <v>1288</v>
      </c>
      <c r="BR85" s="57" t="s">
        <v>1288</v>
      </c>
      <c r="BS85" s="57" t="s">
        <v>1288</v>
      </c>
      <c r="BT85" s="57" t="s">
        <v>1288</v>
      </c>
      <c r="BU85" s="57" t="s">
        <v>1288</v>
      </c>
      <c r="BV85" s="70">
        <f t="shared" si="226"/>
        <v>64</v>
      </c>
      <c r="BW85" s="71">
        <f t="shared" si="227"/>
        <v>96</v>
      </c>
      <c r="BX85" s="72">
        <f t="shared" si="228"/>
        <v>100</v>
      </c>
      <c r="BY85" s="71">
        <f t="shared" si="229"/>
        <v>132</v>
      </c>
      <c r="BZ85" s="72">
        <f t="shared" si="230"/>
        <v>136</v>
      </c>
      <c r="CA85" s="71">
        <f t="shared" si="231"/>
        <v>172</v>
      </c>
      <c r="CB85" s="72">
        <f t="shared" si="232"/>
        <v>180</v>
      </c>
      <c r="CC85" s="71">
        <f t="shared" si="233"/>
        <v>220</v>
      </c>
      <c r="CD85" s="72">
        <f t="shared" si="234"/>
        <v>227</v>
      </c>
      <c r="CE85" s="71">
        <f t="shared" si="235"/>
        <v>483</v>
      </c>
      <c r="CF85" s="72">
        <f t="shared" si="236"/>
        <v>521</v>
      </c>
      <c r="CG85" s="71">
        <f t="shared" si="237"/>
        <v>547</v>
      </c>
      <c r="CH85" s="70">
        <f t="shared" si="238"/>
        <v>95</v>
      </c>
      <c r="CI85" s="71">
        <f t="shared" si="239"/>
        <v>99</v>
      </c>
      <c r="CJ85" s="72">
        <f t="shared" si="240"/>
        <v>130</v>
      </c>
      <c r="CK85" s="72">
        <f t="shared" si="241"/>
        <v>135</v>
      </c>
      <c r="CL85" s="72">
        <f t="shared" si="242"/>
        <v>171</v>
      </c>
      <c r="CM85" s="72">
        <f t="shared" si="243"/>
        <v>179</v>
      </c>
      <c r="CN85" s="72">
        <f t="shared" si="244"/>
        <v>211</v>
      </c>
      <c r="CO85" s="72">
        <f t="shared" si="245"/>
        <v>222</v>
      </c>
      <c r="CP85" s="72">
        <f t="shared" si="246"/>
        <v>259</v>
      </c>
      <c r="CQ85" s="72">
        <f t="shared" si="247"/>
        <v>516</v>
      </c>
      <c r="CR85" s="72">
        <f t="shared" si="248"/>
        <v>546</v>
      </c>
      <c r="CS85" s="72">
        <f t="shared" si="249"/>
        <v>558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419"/>
        <v>acm3_rat_4U16</v>
      </c>
      <c r="B86" s="3" t="s">
        <v>910</v>
      </c>
      <c r="C86" s="3" t="s">
        <v>1054</v>
      </c>
      <c r="D86" s="3" t="str">
        <f>IFERROR(MID(VLOOKUP($B86,Seqs!$A:$B,2,0),E86,1),"")</f>
        <v>I</v>
      </c>
      <c r="E86" s="3">
        <v>64</v>
      </c>
      <c r="F86" s="3" t="str">
        <f>IFERROR(MID(VLOOKUP($B86,Seqs!$A:$B,2,0),G86,1),"")</f>
        <v>N</v>
      </c>
      <c r="G86" s="3">
        <v>95</v>
      </c>
      <c r="H86" s="3" t="str">
        <f>IFERROR(MID(VLOOKUP($B86,Seqs!$A:$B,2,0),I86,1),"")</f>
        <v>K</v>
      </c>
      <c r="I86" s="23">
        <v>96</v>
      </c>
      <c r="J86" s="3" t="str">
        <f>IFERROR(MID(VLOOKUP($B86,Seqs!$A:$B,2,0),K86,1),"")</f>
        <v>K</v>
      </c>
      <c r="K86" s="23">
        <v>99</v>
      </c>
      <c r="L86" s="3" t="str">
        <f>IFERROR(MID(VLOOKUP($B86,Seqs!$A:$B,2,0),M86,1),"")</f>
        <v>T</v>
      </c>
      <c r="M86" s="3">
        <v>100</v>
      </c>
      <c r="N86" s="3" t="str">
        <f>IFERROR(MID(VLOOKUP($B86,Seqs!$A:$B,2,0),O86,1),"")</f>
        <v>M</v>
      </c>
      <c r="O86" s="3">
        <v>130</v>
      </c>
      <c r="P86" s="3" t="str">
        <f>IFERROR(MID(VLOOKUP($B86,Seqs!$A:$B,2,0),Q86,1),"")</f>
        <v>R</v>
      </c>
      <c r="Q86" s="3">
        <v>132</v>
      </c>
      <c r="R86" s="3" t="str">
        <f>IFERROR(MID(VLOOKUP($B86,Seqs!$A:$B,2,0),S86,1),"")</f>
        <v>L</v>
      </c>
      <c r="S86" s="3">
        <v>135</v>
      </c>
      <c r="T86" s="3" t="str">
        <f>IFERROR(MID(VLOOKUP($B86,Seqs!$A:$B,2,0),U86,1),"")</f>
        <v>G</v>
      </c>
      <c r="U86" s="3">
        <v>136</v>
      </c>
      <c r="V86" s="3" t="str">
        <f>IFERROR(MID(VLOOKUP($B86,Seqs!$A:$B,2,0),W86,1),"")</f>
        <v>R</v>
      </c>
      <c r="W86" s="3">
        <v>171</v>
      </c>
      <c r="X86" s="3" t="str">
        <f>IFERROR(MID(VLOOKUP($B86,Seqs!$A:$B,2,0),Y86,1),"")</f>
        <v>P</v>
      </c>
      <c r="Y86" s="3">
        <v>172</v>
      </c>
      <c r="Z86" s="3" t="str">
        <f>IFERROR(MID(VLOOKUP($B86,Seqs!$A:$B,2,0),AA86,1),"")</f>
        <v>R</v>
      </c>
      <c r="AA86" s="3">
        <v>179</v>
      </c>
      <c r="AB86" s="3" t="str">
        <f>IFERROR(MID(VLOOKUP($B86,Seqs!$A:$B,2,0),AC86,1),"")</f>
        <v>T</v>
      </c>
      <c r="AC86" s="9">
        <v>180</v>
      </c>
      <c r="AD86" s="3" t="str">
        <f>IFERROR(MID(VLOOKUP($B86,Seqs!$A:$B,2,0),AE86,1),"")</f>
        <v>G</v>
      </c>
      <c r="AE86" s="3">
        <v>211</v>
      </c>
      <c r="AF86" s="3" t="str">
        <f>IFERROR(MID(VLOOKUP($B86,Seqs!$A:$B,2,0),AG86,1),"")</f>
        <v>C</v>
      </c>
      <c r="AG86" s="3">
        <v>220</v>
      </c>
      <c r="AH86" s="3" t="str">
        <f>IFERROR(MID(VLOOKUP($B86,Seqs!$A:$B,2,0),AI86,1),"")</f>
        <v>I</v>
      </c>
      <c r="AI86" s="3">
        <v>222</v>
      </c>
      <c r="AJ86" s="3" t="str">
        <f>IFERROR(MID(VLOOKUP($B86,Seqs!$A:$B,2,0),AK86,1),"")</f>
        <v>E</v>
      </c>
      <c r="AK86" s="3">
        <v>227</v>
      </c>
      <c r="AL86" s="3" t="str">
        <f>IFERROR(MID(VLOOKUP($B86,Seqs!$A:$B,2,0),AM86,1),"")</f>
        <v>K</v>
      </c>
      <c r="AM86" s="3">
        <v>259</v>
      </c>
      <c r="AN86" s="3" t="str">
        <f>IFERROR(MID(VLOOKUP($B86,Seqs!$A:$B,2,0),AO86,1),"")</f>
        <v>I</v>
      </c>
      <c r="AO86" s="3">
        <v>483</v>
      </c>
      <c r="AP86" s="3" t="str">
        <f>IFERROR(MID(VLOOKUP($B86,Seqs!$A:$B,2,0),AQ86,1),"")</f>
        <v>C</v>
      </c>
      <c r="AQ86" s="3">
        <v>516</v>
      </c>
      <c r="AR86" s="3" t="str">
        <f>IFERROR(MID(VLOOKUP($B86,Seqs!$A:$B,2,0),AS86,1),"")</f>
        <v>P</v>
      </c>
      <c r="AS86" s="3">
        <v>521</v>
      </c>
      <c r="AT86" s="3" t="str">
        <f>IFERROR(MID(VLOOKUP($B86,Seqs!$A:$B,2,0),AU86,1),"")</f>
        <v>C</v>
      </c>
      <c r="AU86" s="3">
        <v>546</v>
      </c>
      <c r="AV86" s="3" t="str">
        <f>IFERROR(MID(VLOOKUP($B86,Seqs!$A:$B,2,0),AW86,1),"")</f>
        <v/>
      </c>
      <c r="AW86" s="3" t="s">
        <v>23</v>
      </c>
      <c r="AX86" s="3" t="str">
        <f>IFERROR(MID(VLOOKUP($B86,Seqs!$A:$B,2,0),AY86,1),"")</f>
        <v/>
      </c>
      <c r="AY86" s="3" t="s">
        <v>23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si="420"/>
        <v>1</v>
      </c>
      <c r="BC86" s="23">
        <f t="shared" si="225"/>
        <v>244</v>
      </c>
      <c r="BD86" s="4" t="s">
        <v>23</v>
      </c>
      <c r="BE86" s="3" t="s">
        <v>1375</v>
      </c>
      <c r="BF86" s="119">
        <v>3.7</v>
      </c>
      <c r="BG86" s="49" t="s">
        <v>1378</v>
      </c>
      <c r="BH86" s="49" t="s">
        <v>1378</v>
      </c>
      <c r="BI86" s="1"/>
      <c r="BJ86" s="70" t="s">
        <v>1288</v>
      </c>
      <c r="BK86" s="57" t="s">
        <v>1288</v>
      </c>
      <c r="BL86" s="57" t="s">
        <v>1288</v>
      </c>
      <c r="BM86" s="57" t="s">
        <v>1288</v>
      </c>
      <c r="BN86" s="57" t="s">
        <v>1288</v>
      </c>
      <c r="BO86" s="57" t="s">
        <v>1288</v>
      </c>
      <c r="BP86" s="57" t="s">
        <v>1288</v>
      </c>
      <c r="BQ86" s="57" t="s">
        <v>1288</v>
      </c>
      <c r="BR86" s="57" t="s">
        <v>1288</v>
      </c>
      <c r="BS86" s="57" t="s">
        <v>1288</v>
      </c>
      <c r="BT86" s="57" t="s">
        <v>1288</v>
      </c>
      <c r="BU86" s="57" t="s">
        <v>1288</v>
      </c>
      <c r="BV86" s="70">
        <f t="shared" si="226"/>
        <v>64</v>
      </c>
      <c r="BW86" s="71">
        <f t="shared" si="227"/>
        <v>96</v>
      </c>
      <c r="BX86" s="72">
        <f t="shared" si="228"/>
        <v>100</v>
      </c>
      <c r="BY86" s="71">
        <f t="shared" si="229"/>
        <v>132</v>
      </c>
      <c r="BZ86" s="72">
        <f t="shared" si="230"/>
        <v>136</v>
      </c>
      <c r="CA86" s="71">
        <f t="shared" si="231"/>
        <v>172</v>
      </c>
      <c r="CB86" s="72">
        <f t="shared" si="232"/>
        <v>180</v>
      </c>
      <c r="CC86" s="71">
        <f t="shared" si="233"/>
        <v>220</v>
      </c>
      <c r="CD86" s="72">
        <f t="shared" si="234"/>
        <v>227</v>
      </c>
      <c r="CE86" s="71">
        <f t="shared" si="235"/>
        <v>483</v>
      </c>
      <c r="CF86" s="72">
        <f t="shared" si="236"/>
        <v>521</v>
      </c>
      <c r="CG86" s="71" t="str">
        <f t="shared" si="237"/>
        <v>-</v>
      </c>
      <c r="CH86" s="70">
        <f t="shared" si="238"/>
        <v>95</v>
      </c>
      <c r="CI86" s="71">
        <f t="shared" si="239"/>
        <v>99</v>
      </c>
      <c r="CJ86" s="72">
        <f t="shared" si="240"/>
        <v>130</v>
      </c>
      <c r="CK86" s="72">
        <f t="shared" si="241"/>
        <v>135</v>
      </c>
      <c r="CL86" s="72">
        <f t="shared" si="242"/>
        <v>171</v>
      </c>
      <c r="CM86" s="72">
        <f t="shared" si="243"/>
        <v>179</v>
      </c>
      <c r="CN86" s="72">
        <f t="shared" si="244"/>
        <v>211</v>
      </c>
      <c r="CO86" s="72">
        <f t="shared" si="245"/>
        <v>222</v>
      </c>
      <c r="CP86" s="72">
        <f t="shared" si="246"/>
        <v>259</v>
      </c>
      <c r="CQ86" s="72">
        <f t="shared" si="247"/>
        <v>516</v>
      </c>
      <c r="CR86" s="72">
        <f t="shared" si="248"/>
        <v>546</v>
      </c>
      <c r="CS86" s="72" t="str">
        <f t="shared" si="249"/>
        <v>-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s="12" customFormat="1" x14ac:dyDescent="0.2">
      <c r="A87" s="9" t="str">
        <f t="shared" ref="A87" si="589">CONCATENATE(B87,"_",C87)</f>
        <v>acm3_rat_5ZHP</v>
      </c>
      <c r="B87" s="9" t="s">
        <v>910</v>
      </c>
      <c r="C87" s="9" t="s">
        <v>1577</v>
      </c>
      <c r="D87" s="9" t="str">
        <f>IFERROR(MID(VLOOKUP($B87,Seqs!$A:$B,2,0),E87,1),"")</f>
        <v>T</v>
      </c>
      <c r="E87" s="9">
        <v>63</v>
      </c>
      <c r="F87" s="9" t="str">
        <f>IFERROR(MID(VLOOKUP($B87,Seqs!$A:$B,2,0),G87,1),"")</f>
        <v>N</v>
      </c>
      <c r="G87" s="9">
        <v>95</v>
      </c>
      <c r="H87" s="9" t="str">
        <f>IFERROR(MID(VLOOKUP($B87,Seqs!$A:$B,2,0),I87,1),"")</f>
        <v>K</v>
      </c>
      <c r="I87" s="109">
        <v>96</v>
      </c>
      <c r="J87" s="9" t="str">
        <f>IFERROR(MID(VLOOKUP($B87,Seqs!$A:$B,2,0),K87,1),"")</f>
        <v>K</v>
      </c>
      <c r="K87" s="109">
        <v>99</v>
      </c>
      <c r="L87" s="9" t="str">
        <f>IFERROR(MID(VLOOKUP($B87,Seqs!$A:$B,2,0),M87,1),"")</f>
        <v>T</v>
      </c>
      <c r="M87" s="9">
        <v>100</v>
      </c>
      <c r="N87" s="9" t="str">
        <f>IFERROR(MID(VLOOKUP($B87,Seqs!$A:$B,2,0),O87,1),"")</f>
        <v>M</v>
      </c>
      <c r="O87" s="9">
        <v>130</v>
      </c>
      <c r="P87" s="9" t="str">
        <f>IFERROR(MID(VLOOKUP($B87,Seqs!$A:$B,2,0),Q87,1),"")</f>
        <v>R</v>
      </c>
      <c r="Q87" s="9">
        <v>132</v>
      </c>
      <c r="R87" s="9" t="str">
        <f>IFERROR(MID(VLOOKUP($B87,Seqs!$A:$B,2,0),S87,1),"")</f>
        <v>L</v>
      </c>
      <c r="S87" s="9">
        <v>135</v>
      </c>
      <c r="T87" s="9" t="str">
        <f>IFERROR(MID(VLOOKUP($B87,Seqs!$A:$B,2,0),U87,1),"")</f>
        <v>G</v>
      </c>
      <c r="U87" s="9">
        <v>136</v>
      </c>
      <c r="V87" s="9" t="str">
        <f>IFERROR(MID(VLOOKUP($B87,Seqs!$A:$B,2,0),W87,1),"")</f>
        <v>R</v>
      </c>
      <c r="W87" s="9">
        <v>171</v>
      </c>
      <c r="X87" s="9" t="str">
        <f>IFERROR(MID(VLOOKUP($B87,Seqs!$A:$B,2,0),Y87,1),"")</f>
        <v>P</v>
      </c>
      <c r="Y87" s="9">
        <v>172</v>
      </c>
      <c r="Z87" s="9" t="str">
        <f>IFERROR(MID(VLOOKUP($B87,Seqs!$A:$B,2,0),AA87,1),"")</f>
        <v>R</v>
      </c>
      <c r="AA87" s="9">
        <v>179</v>
      </c>
      <c r="AB87" s="9" t="str">
        <f>IFERROR(MID(VLOOKUP($B87,Seqs!$A:$B,2,0),AC87,1),"")</f>
        <v>T</v>
      </c>
      <c r="AC87" s="9">
        <v>180</v>
      </c>
      <c r="AD87" s="9" t="str">
        <f>IFERROR(MID(VLOOKUP($B87,Seqs!$A:$B,2,0),AE87,1),"")</f>
        <v>G</v>
      </c>
      <c r="AE87" s="9">
        <v>211</v>
      </c>
      <c r="AF87" s="9" t="str">
        <f>IFERROR(MID(VLOOKUP($B87,Seqs!$A:$B,2,0),AG87,1),"")</f>
        <v>C</v>
      </c>
      <c r="AG87" s="9">
        <v>220</v>
      </c>
      <c r="AH87" s="9" t="str">
        <f>IFERROR(MID(VLOOKUP($B87,Seqs!$A:$B,2,0),AI87,1),"")</f>
        <v>I</v>
      </c>
      <c r="AI87" s="9">
        <v>222</v>
      </c>
      <c r="AJ87" s="9" t="str">
        <f>IFERROR(MID(VLOOKUP($B87,Seqs!$A:$B,2,0),AK87,1),"")</f>
        <v>E</v>
      </c>
      <c r="AK87" s="9">
        <v>227</v>
      </c>
      <c r="AL87" s="9" t="str">
        <f>IFERROR(MID(VLOOKUP($B87,Seqs!$A:$B,2,0),AM87,1),"")</f>
        <v>K</v>
      </c>
      <c r="AM87" s="9">
        <v>259</v>
      </c>
      <c r="AN87" s="9" t="str">
        <f>IFERROR(MID(VLOOKUP($B87,Seqs!$A:$B,2,0),AO87,1),"")</f>
        <v>L</v>
      </c>
      <c r="AO87" s="9">
        <v>482</v>
      </c>
      <c r="AP87" s="9" t="str">
        <f>IFERROR(MID(VLOOKUP($B87,Seqs!$A:$B,2,0),AQ87,1),"")</f>
        <v>C</v>
      </c>
      <c r="AQ87" s="9">
        <v>516</v>
      </c>
      <c r="AR87" s="9" t="str">
        <f>IFERROR(MID(VLOOKUP($B87,Seqs!$A:$B,2,0),AS87,1),"")</f>
        <v>P</v>
      </c>
      <c r="AS87" s="9">
        <v>521</v>
      </c>
      <c r="AT87" s="9" t="str">
        <f>IFERROR(MID(VLOOKUP($B87,Seqs!$A:$B,2,0),AU87,1),"")</f>
        <v>C</v>
      </c>
      <c r="AU87" s="9">
        <v>546</v>
      </c>
      <c r="AV87" s="9" t="str">
        <f>IFERROR(MID(VLOOKUP($B87,Seqs!$A:$B,2,0),AW87,1),"")</f>
        <v>N</v>
      </c>
      <c r="AW87" s="9">
        <v>547</v>
      </c>
      <c r="AX87" s="9" t="str">
        <f>IFERROR(MID(VLOOKUP($B87,Seqs!$A:$B,2,0),AY87,1),"")</f>
        <v>C</v>
      </c>
      <c r="AY87" s="9">
        <v>560</v>
      </c>
      <c r="AZ87" s="110" t="str">
        <f>VLOOKUP(B87,Classification!A:D,2,0)</f>
        <v>A</v>
      </c>
      <c r="BA87" s="98" t="str">
        <f>VLOOKUP(B87,Classification!A:D,4,0)</f>
        <v>Acetylcholine(muscarinic)</v>
      </c>
      <c r="BB87" s="36" t="b">
        <f t="shared" ref="BB87" si="590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109">
        <f t="shared" ref="BC87" si="591">_xlfn.AGGREGATE(9,6,CH87:CS87)-_xlfn.AGGREGATE(9,6,BV87:CG87)+12</f>
        <v>259</v>
      </c>
      <c r="BD87" s="11" t="s">
        <v>1377</v>
      </c>
      <c r="BE87" s="9" t="s">
        <v>1375</v>
      </c>
      <c r="BF87" s="120">
        <v>3.1</v>
      </c>
      <c r="BG87" s="51" t="s">
        <v>1282</v>
      </c>
      <c r="BH87" s="51" t="s">
        <v>1282</v>
      </c>
      <c r="BJ87" s="111" t="s">
        <v>1288</v>
      </c>
      <c r="BK87" s="112" t="s">
        <v>1288</v>
      </c>
      <c r="BL87" s="112" t="s">
        <v>1288</v>
      </c>
      <c r="BM87" s="112" t="s">
        <v>1288</v>
      </c>
      <c r="BN87" s="112" t="s">
        <v>1288</v>
      </c>
      <c r="BO87" s="112" t="s">
        <v>1288</v>
      </c>
      <c r="BP87" s="112" t="s">
        <v>1288</v>
      </c>
      <c r="BQ87" s="112" t="s">
        <v>1288</v>
      </c>
      <c r="BR87" s="112" t="s">
        <v>1288</v>
      </c>
      <c r="BS87" s="112" t="s">
        <v>1288</v>
      </c>
      <c r="BT87" s="112" t="s">
        <v>1288</v>
      </c>
      <c r="BU87" s="112" t="s">
        <v>1288</v>
      </c>
      <c r="BV87" s="111">
        <f t="shared" ref="BV87" si="592">E87</f>
        <v>63</v>
      </c>
      <c r="BW87" s="113">
        <f t="shared" ref="BW87" si="593">I87</f>
        <v>96</v>
      </c>
      <c r="BX87" s="114">
        <f t="shared" ref="BX87" si="594">M87</f>
        <v>100</v>
      </c>
      <c r="BY87" s="113">
        <f t="shared" ref="BY87" si="595">Q87</f>
        <v>132</v>
      </c>
      <c r="BZ87" s="114">
        <f t="shared" ref="BZ87" si="596">U87</f>
        <v>136</v>
      </c>
      <c r="CA87" s="113">
        <f t="shared" ref="CA87" si="597">Y87</f>
        <v>172</v>
      </c>
      <c r="CB87" s="114">
        <f t="shared" ref="CB87" si="598">AC87</f>
        <v>180</v>
      </c>
      <c r="CC87" s="113">
        <f t="shared" ref="CC87" si="599">AG87</f>
        <v>220</v>
      </c>
      <c r="CD87" s="114">
        <f t="shared" ref="CD87" si="600">AK87</f>
        <v>227</v>
      </c>
      <c r="CE87" s="113">
        <f t="shared" ref="CE87" si="601">AO87</f>
        <v>482</v>
      </c>
      <c r="CF87" s="114">
        <f t="shared" ref="CF87" si="602">AS87</f>
        <v>521</v>
      </c>
      <c r="CG87" s="113">
        <f t="shared" ref="CG87" si="603">AW87</f>
        <v>547</v>
      </c>
      <c r="CH87" s="111">
        <f t="shared" ref="CH87" si="604">G87</f>
        <v>95</v>
      </c>
      <c r="CI87" s="113">
        <f t="shared" ref="CI87" si="605">K87</f>
        <v>99</v>
      </c>
      <c r="CJ87" s="114">
        <f t="shared" ref="CJ87" si="606">O87</f>
        <v>130</v>
      </c>
      <c r="CK87" s="114">
        <f t="shared" ref="CK87" si="607">S87</f>
        <v>135</v>
      </c>
      <c r="CL87" s="114">
        <f t="shared" ref="CL87" si="608">W87</f>
        <v>171</v>
      </c>
      <c r="CM87" s="114">
        <f t="shared" ref="CM87" si="609">AA87</f>
        <v>179</v>
      </c>
      <c r="CN87" s="114">
        <f t="shared" ref="CN87" si="610">AE87</f>
        <v>211</v>
      </c>
      <c r="CO87" s="114">
        <f t="shared" ref="CO87" si="611">AI87</f>
        <v>222</v>
      </c>
      <c r="CP87" s="114">
        <f t="shared" ref="CP87" si="612">AM87</f>
        <v>259</v>
      </c>
      <c r="CQ87" s="114">
        <f t="shared" ref="CQ87" si="613">AQ87</f>
        <v>516</v>
      </c>
      <c r="CR87" s="114">
        <f t="shared" ref="CR87" si="614">AU87</f>
        <v>546</v>
      </c>
      <c r="CS87" s="114">
        <f t="shared" ref="CS87" si="615">AY87</f>
        <v>560</v>
      </c>
      <c r="CT87" s="109">
        <f t="shared" ref="CT87" si="616">M87-K87</f>
        <v>1</v>
      </c>
    </row>
    <row r="88" spans="1:1029" x14ac:dyDescent="0.2">
      <c r="A88" s="3" t="str">
        <f t="shared" si="419"/>
        <v>acm4_human__wt</v>
      </c>
      <c r="B88" s="3" t="s">
        <v>149</v>
      </c>
      <c r="C88" s="3" t="s">
        <v>100</v>
      </c>
      <c r="D88" s="3" t="str">
        <f>IFERROR(MID(VLOOKUP($B88,Seqs!$A:$B,2,0),E88,1),"")</f>
        <v>R</v>
      </c>
      <c r="E88" s="3">
        <v>26</v>
      </c>
      <c r="F88" s="3" t="str">
        <f>IFERROR(MID(VLOOKUP($B88,Seqs!$A:$B,2,0),G88,1),"")</f>
        <v>N</v>
      </c>
      <c r="G88" s="3">
        <v>60</v>
      </c>
      <c r="H88" s="3" t="str">
        <f>IFERROR(MID(VLOOKUP($B88,Seqs!$A:$B,2,0),I88,1),"")</f>
        <v>R</v>
      </c>
      <c r="I88" s="23">
        <v>61</v>
      </c>
      <c r="J88" s="3" t="str">
        <f>IFERROR(MID(VLOOKUP($B88,Seqs!$A:$B,2,0),K88,1),"")</f>
        <v>Q</v>
      </c>
      <c r="K88" s="23">
        <v>64</v>
      </c>
      <c r="L88" s="3" t="str">
        <f>IFERROR(MID(VLOOKUP($B88,Seqs!$A:$B,2,0),M88,1),"")</f>
        <v>T</v>
      </c>
      <c r="M88" s="3">
        <v>65</v>
      </c>
      <c r="N88" s="3" t="str">
        <f>IFERROR(MID(VLOOKUP($B88,Seqs!$A:$B,2,0),O88,1),"")</f>
        <v>K</v>
      </c>
      <c r="O88" s="3">
        <v>95</v>
      </c>
      <c r="P88" s="3" t="str">
        <f>IFERROR(MID(VLOOKUP($B88,Seqs!$A:$B,2,0),Q88,1),"")</f>
        <v>Y</v>
      </c>
      <c r="Q88" s="3">
        <v>97</v>
      </c>
      <c r="R88" s="3" t="str">
        <f>IFERROR(MID(VLOOKUP($B88,Seqs!$A:$B,2,0),S88,1),"")</f>
        <v>L</v>
      </c>
      <c r="S88" s="3">
        <v>100</v>
      </c>
      <c r="T88" s="3" t="str">
        <f>IFERROR(MID(VLOOKUP($B88,Seqs!$A:$B,2,0),U88,1),"")</f>
        <v>G</v>
      </c>
      <c r="U88" s="3">
        <v>101</v>
      </c>
      <c r="V88" s="3" t="str">
        <f>IFERROR(MID(VLOOKUP($B88,Seqs!$A:$B,2,0),W88,1),"")</f>
        <v>K</v>
      </c>
      <c r="W88" s="3">
        <v>136</v>
      </c>
      <c r="X88" s="3" t="str">
        <f>IFERROR(MID(VLOOKUP($B88,Seqs!$A:$B,2,0),Y88,1),"")</f>
        <v>P</v>
      </c>
      <c r="Y88" s="3">
        <v>137</v>
      </c>
      <c r="Z88" s="3" t="str">
        <f>IFERROR(MID(VLOOKUP($B88,Seqs!$A:$B,2,0),AA88,1),"")</f>
        <v>R</v>
      </c>
      <c r="AA88" s="3">
        <v>144</v>
      </c>
      <c r="AB88" s="3" t="str">
        <f>IFERROR(MID(VLOOKUP($B88,Seqs!$A:$B,2,0),AC88,1),"")</f>
        <v>T</v>
      </c>
      <c r="AC88" s="9">
        <v>145</v>
      </c>
      <c r="AD88" s="3" t="str">
        <f>IFERROR(MID(VLOOKUP($B88,Seqs!$A:$B,2,0),AE88,1),"")</f>
        <v>G</v>
      </c>
      <c r="AE88" s="3">
        <v>176</v>
      </c>
      <c r="AF88" s="3" t="str">
        <f>IFERROR(MID(VLOOKUP($B88,Seqs!$A:$B,2,0),AG88,1),"")</f>
        <v>C</v>
      </c>
      <c r="AG88" s="3">
        <v>185</v>
      </c>
      <c r="AH88" s="3" t="str">
        <f>IFERROR(MID(VLOOKUP($B88,Seqs!$A:$B,2,0),AI88,1),"")</f>
        <v>I</v>
      </c>
      <c r="AI88" s="3">
        <v>187</v>
      </c>
      <c r="AJ88" s="3" t="str">
        <f>IFERROR(MID(VLOOKUP($B88,Seqs!$A:$B,2,0),AK88,1),"")</f>
        <v>N</v>
      </c>
      <c r="AK88" s="3">
        <v>192</v>
      </c>
      <c r="AL88" s="3" t="str">
        <f>IFERROR(MID(VLOOKUP($B88,Seqs!$A:$B,2,0),AM88,1),"")</f>
        <v>E</v>
      </c>
      <c r="AM88" s="3">
        <v>232</v>
      </c>
      <c r="AN88" s="3" t="str">
        <f>IFERROR(MID(VLOOKUP($B88,Seqs!$A:$B,2,0),AO88,1),"")</f>
        <v>R</v>
      </c>
      <c r="AO88" s="3">
        <v>389</v>
      </c>
      <c r="AP88" s="3" t="str">
        <f>IFERROR(MID(VLOOKUP($B88,Seqs!$A:$B,2,0),AQ88,1),"")</f>
        <v>C</v>
      </c>
      <c r="AQ88" s="3">
        <v>426</v>
      </c>
      <c r="AR88" s="3" t="str">
        <f>IFERROR(MID(VLOOKUP($B88,Seqs!$A:$B,2,0),AS88,1),"")</f>
        <v>P</v>
      </c>
      <c r="AS88" s="3">
        <v>431</v>
      </c>
      <c r="AT88" s="3" t="str">
        <f>IFERROR(MID(VLOOKUP($B88,Seqs!$A:$B,2,0),AU88,1),"")</f>
        <v>C</v>
      </c>
      <c r="AU88" s="3">
        <v>456</v>
      </c>
      <c r="AV88" s="3" t="str">
        <f>IFERROR(MID(VLOOKUP($B88,Seqs!$A:$B,2,0),AW88,1),"")</f>
        <v>N</v>
      </c>
      <c r="AW88" s="3">
        <v>457</v>
      </c>
      <c r="AX88" s="3" t="str">
        <f>IFERROR(MID(VLOOKUP($B88,Seqs!$A:$B,2,0),AY88,1),"")</f>
        <v>L</v>
      </c>
      <c r="AY88" s="3">
        <v>469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420"/>
        <v>1</v>
      </c>
      <c r="BC88" s="23">
        <f t="shared" si="225"/>
        <v>271</v>
      </c>
      <c r="BD88" s="34" t="s">
        <v>23</v>
      </c>
      <c r="BE88" s="3" t="s">
        <v>23</v>
      </c>
      <c r="BF88" s="119" t="s">
        <v>23</v>
      </c>
      <c r="BG88" s="49" t="s">
        <v>1373</v>
      </c>
      <c r="BH88" s="49" t="s">
        <v>1378</v>
      </c>
      <c r="BI88" s="1"/>
      <c r="BJ88" s="70" t="s">
        <v>1288</v>
      </c>
      <c r="BK88" s="57" t="s">
        <v>1288</v>
      </c>
      <c r="BL88" s="57" t="s">
        <v>1288</v>
      </c>
      <c r="BM88" s="57" t="s">
        <v>1288</v>
      </c>
      <c r="BN88" s="57" t="s">
        <v>1288</v>
      </c>
      <c r="BO88" s="57" t="s">
        <v>1288</v>
      </c>
      <c r="BP88" s="57" t="s">
        <v>1288</v>
      </c>
      <c r="BQ88" s="57" t="s">
        <v>1288</v>
      </c>
      <c r="BR88" s="57" t="s">
        <v>1288</v>
      </c>
      <c r="BS88" s="57" t="s">
        <v>1288</v>
      </c>
      <c r="BT88" s="57" t="s">
        <v>1288</v>
      </c>
      <c r="BU88" s="57" t="s">
        <v>1288</v>
      </c>
      <c r="BV88" s="70">
        <f t="shared" si="226"/>
        <v>26</v>
      </c>
      <c r="BW88" s="71">
        <f t="shared" si="227"/>
        <v>61</v>
      </c>
      <c r="BX88" s="72">
        <f t="shared" si="228"/>
        <v>65</v>
      </c>
      <c r="BY88" s="71">
        <f t="shared" si="229"/>
        <v>97</v>
      </c>
      <c r="BZ88" s="72">
        <f t="shared" si="230"/>
        <v>101</v>
      </c>
      <c r="CA88" s="71">
        <f t="shared" si="231"/>
        <v>137</v>
      </c>
      <c r="CB88" s="72">
        <f t="shared" si="232"/>
        <v>145</v>
      </c>
      <c r="CC88" s="71">
        <f t="shared" si="233"/>
        <v>185</v>
      </c>
      <c r="CD88" s="72">
        <f t="shared" si="234"/>
        <v>192</v>
      </c>
      <c r="CE88" s="71">
        <f t="shared" si="235"/>
        <v>389</v>
      </c>
      <c r="CF88" s="72">
        <f t="shared" si="236"/>
        <v>431</v>
      </c>
      <c r="CG88" s="71">
        <f t="shared" si="237"/>
        <v>457</v>
      </c>
      <c r="CH88" s="70">
        <f t="shared" si="238"/>
        <v>60</v>
      </c>
      <c r="CI88" s="71">
        <f t="shared" si="239"/>
        <v>64</v>
      </c>
      <c r="CJ88" s="72">
        <f t="shared" si="240"/>
        <v>95</v>
      </c>
      <c r="CK88" s="72">
        <f t="shared" si="241"/>
        <v>100</v>
      </c>
      <c r="CL88" s="72">
        <f t="shared" si="242"/>
        <v>136</v>
      </c>
      <c r="CM88" s="72">
        <f t="shared" si="243"/>
        <v>144</v>
      </c>
      <c r="CN88" s="72">
        <f t="shared" si="244"/>
        <v>176</v>
      </c>
      <c r="CO88" s="72">
        <f t="shared" si="245"/>
        <v>187</v>
      </c>
      <c r="CP88" s="72">
        <f t="shared" si="246"/>
        <v>232</v>
      </c>
      <c r="CQ88" s="72">
        <f t="shared" si="247"/>
        <v>426</v>
      </c>
      <c r="CR88" s="72">
        <f t="shared" si="248"/>
        <v>456</v>
      </c>
      <c r="CS88" s="72">
        <f t="shared" si="249"/>
        <v>469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419"/>
        <v>acm4_human_5DSG</v>
      </c>
      <c r="B89" s="3" t="s">
        <v>149</v>
      </c>
      <c r="C89" s="3" t="s">
        <v>61</v>
      </c>
      <c r="D89" s="3" t="str">
        <f>IFERROR(MID(VLOOKUP($B89,Seqs!$A:$B,2,0),E89,1),"")</f>
        <v>R</v>
      </c>
      <c r="E89" s="3">
        <v>26</v>
      </c>
      <c r="F89" s="3" t="str">
        <f>IFERROR(MID(VLOOKUP($B89,Seqs!$A:$B,2,0),G89,1),"")</f>
        <v>N</v>
      </c>
      <c r="G89" s="3">
        <v>60</v>
      </c>
      <c r="H89" s="3" t="str">
        <f>IFERROR(MID(VLOOKUP($B89,Seqs!$A:$B,2,0),I89,1),"")</f>
        <v>R</v>
      </c>
      <c r="I89" s="23">
        <v>61</v>
      </c>
      <c r="J89" s="3" t="str">
        <f>IFERROR(MID(VLOOKUP($B89,Seqs!$A:$B,2,0),K89,1),"")</f>
        <v>Q</v>
      </c>
      <c r="K89" s="23">
        <v>64</v>
      </c>
      <c r="L89" s="3" t="str">
        <f>IFERROR(MID(VLOOKUP($B89,Seqs!$A:$B,2,0),M89,1),"")</f>
        <v>T</v>
      </c>
      <c r="M89" s="3">
        <v>65</v>
      </c>
      <c r="N89" s="3" t="str">
        <f>IFERROR(MID(VLOOKUP($B89,Seqs!$A:$B,2,0),O89,1),"")</f>
        <v>K</v>
      </c>
      <c r="O89" s="3">
        <v>95</v>
      </c>
      <c r="P89" s="3" t="str">
        <f>IFERROR(MID(VLOOKUP($B89,Seqs!$A:$B,2,0),Q89,1),"")</f>
        <v>Y</v>
      </c>
      <c r="Q89" s="3">
        <v>97</v>
      </c>
      <c r="R89" s="3" t="str">
        <f>IFERROR(MID(VLOOKUP($B89,Seqs!$A:$B,2,0),S89,1),"")</f>
        <v>L</v>
      </c>
      <c r="S89" s="3">
        <v>100</v>
      </c>
      <c r="T89" s="3" t="str">
        <f>IFERROR(MID(VLOOKUP($B89,Seqs!$A:$B,2,0),U89,1),"")</f>
        <v>G</v>
      </c>
      <c r="U89" s="3">
        <v>101</v>
      </c>
      <c r="V89" s="3" t="str">
        <f>IFERROR(MID(VLOOKUP($B89,Seqs!$A:$B,2,0),W89,1),"")</f>
        <v>K</v>
      </c>
      <c r="W89" s="3">
        <v>136</v>
      </c>
      <c r="X89" s="3" t="str">
        <f>IFERROR(MID(VLOOKUP($B89,Seqs!$A:$B,2,0),Y89,1),"")</f>
        <v>P</v>
      </c>
      <c r="Y89" s="3">
        <v>137</v>
      </c>
      <c r="Z89" s="3" t="str">
        <f>IFERROR(MID(VLOOKUP($B89,Seqs!$A:$B,2,0),AA89,1),"")</f>
        <v>R</v>
      </c>
      <c r="AA89" s="3">
        <v>144</v>
      </c>
      <c r="AB89" s="3" t="str">
        <f>IFERROR(MID(VLOOKUP($B89,Seqs!$A:$B,2,0),AC89,1),"")</f>
        <v>T</v>
      </c>
      <c r="AC89" s="9">
        <v>145</v>
      </c>
      <c r="AD89" s="3" t="str">
        <f>IFERROR(MID(VLOOKUP($B89,Seqs!$A:$B,2,0),AE89,1),"")</f>
        <v>G</v>
      </c>
      <c r="AE89" s="3">
        <v>176</v>
      </c>
      <c r="AF89" s="3" t="str">
        <f>IFERROR(MID(VLOOKUP($B89,Seqs!$A:$B,2,0),AG89,1),"")</f>
        <v>C</v>
      </c>
      <c r="AG89" s="3">
        <v>185</v>
      </c>
      <c r="AH89" s="3" t="str">
        <f>IFERROR(MID(VLOOKUP($B89,Seqs!$A:$B,2,0),AI89,1),"")</f>
        <v>I</v>
      </c>
      <c r="AI89" s="3">
        <v>187</v>
      </c>
      <c r="AJ89" s="3" t="str">
        <f>IFERROR(MID(VLOOKUP($B89,Seqs!$A:$B,2,0),AK89,1),"")</f>
        <v>N</v>
      </c>
      <c r="AK89" s="3">
        <v>192</v>
      </c>
      <c r="AL89" s="3" t="str">
        <f>IFERROR(MID(VLOOKUP($B89,Seqs!$A:$B,2,0),AM89,1),"")</f>
        <v>L</v>
      </c>
      <c r="AM89" s="3">
        <v>220</v>
      </c>
      <c r="AN89" s="3" t="str">
        <f>IFERROR(MID(VLOOKUP($B89,Seqs!$A:$B,2,0),AO89,1),"")</f>
        <v>R</v>
      </c>
      <c r="AO89" s="3">
        <v>396</v>
      </c>
      <c r="AP89" s="3" t="str">
        <f>IFERROR(MID(VLOOKUP($B89,Seqs!$A:$B,2,0),AQ89,1),"")</f>
        <v>C</v>
      </c>
      <c r="AQ89" s="3">
        <v>426</v>
      </c>
      <c r="AR89" s="3" t="str">
        <f>IFERROR(MID(VLOOKUP($B89,Seqs!$A:$B,2,0),AS89,1),"")</f>
        <v>P</v>
      </c>
      <c r="AS89" s="3">
        <v>431</v>
      </c>
      <c r="AT89" s="3" t="str">
        <f>IFERROR(MID(VLOOKUP($B89,Seqs!$A:$B,2,0),AU89,1),"")</f>
        <v>C</v>
      </c>
      <c r="AU89" s="3">
        <v>456</v>
      </c>
      <c r="AV89" s="3" t="str">
        <f>IFERROR(MID(VLOOKUP($B89,Seqs!$A:$B,2,0),AW89,1),"")</f>
        <v>N</v>
      </c>
      <c r="AW89" s="3">
        <v>457</v>
      </c>
      <c r="AX89" s="3" t="str">
        <f>IFERROR(MID(VLOOKUP($B89,Seqs!$A:$B,2,0),AY89,1),"")</f>
        <v>L</v>
      </c>
      <c r="AY89" s="3">
        <v>469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420"/>
        <v>1</v>
      </c>
      <c r="BC89" s="23">
        <f t="shared" si="225"/>
        <v>252</v>
      </c>
      <c r="BD89" s="2" t="s">
        <v>1377</v>
      </c>
      <c r="BE89" s="3" t="s">
        <v>1375</v>
      </c>
      <c r="BF89" s="119">
        <v>2.6</v>
      </c>
      <c r="BG89" s="49" t="s">
        <v>1378</v>
      </c>
      <c r="BH89" s="49" t="s">
        <v>1378</v>
      </c>
      <c r="BI89" s="1"/>
      <c r="BJ89" s="70" t="s">
        <v>1288</v>
      </c>
      <c r="BK89" s="57" t="s">
        <v>1288</v>
      </c>
      <c r="BL89" s="57" t="s">
        <v>1288</v>
      </c>
      <c r="BM89" s="57" t="s">
        <v>1288</v>
      </c>
      <c r="BN89" s="57" t="s">
        <v>1288</v>
      </c>
      <c r="BO89" s="57" t="s">
        <v>1288</v>
      </c>
      <c r="BP89" s="57" t="s">
        <v>1288</v>
      </c>
      <c r="BQ89" s="57" t="s">
        <v>1288</v>
      </c>
      <c r="BR89" s="57" t="s">
        <v>1288</v>
      </c>
      <c r="BS89" s="57" t="s">
        <v>1288</v>
      </c>
      <c r="BT89" s="57" t="s">
        <v>1288</v>
      </c>
      <c r="BU89" s="57" t="s">
        <v>1288</v>
      </c>
      <c r="BV89" s="70">
        <f t="shared" si="226"/>
        <v>26</v>
      </c>
      <c r="BW89" s="71">
        <f t="shared" si="227"/>
        <v>61</v>
      </c>
      <c r="BX89" s="72">
        <f t="shared" si="228"/>
        <v>65</v>
      </c>
      <c r="BY89" s="71">
        <f t="shared" si="229"/>
        <v>97</v>
      </c>
      <c r="BZ89" s="72">
        <f t="shared" si="230"/>
        <v>101</v>
      </c>
      <c r="CA89" s="71">
        <f t="shared" si="231"/>
        <v>137</v>
      </c>
      <c r="CB89" s="72">
        <f t="shared" si="232"/>
        <v>145</v>
      </c>
      <c r="CC89" s="71">
        <f t="shared" si="233"/>
        <v>185</v>
      </c>
      <c r="CD89" s="72">
        <f t="shared" si="234"/>
        <v>192</v>
      </c>
      <c r="CE89" s="71">
        <f t="shared" si="235"/>
        <v>396</v>
      </c>
      <c r="CF89" s="72">
        <f t="shared" si="236"/>
        <v>431</v>
      </c>
      <c r="CG89" s="71">
        <f t="shared" si="237"/>
        <v>457</v>
      </c>
      <c r="CH89" s="70">
        <f t="shared" si="238"/>
        <v>60</v>
      </c>
      <c r="CI89" s="71">
        <f t="shared" si="239"/>
        <v>64</v>
      </c>
      <c r="CJ89" s="72">
        <f t="shared" si="240"/>
        <v>95</v>
      </c>
      <c r="CK89" s="72">
        <f t="shared" si="241"/>
        <v>100</v>
      </c>
      <c r="CL89" s="72">
        <f t="shared" si="242"/>
        <v>136</v>
      </c>
      <c r="CM89" s="72">
        <f t="shared" si="243"/>
        <v>144</v>
      </c>
      <c r="CN89" s="72">
        <f t="shared" si="244"/>
        <v>176</v>
      </c>
      <c r="CO89" s="72">
        <f t="shared" si="245"/>
        <v>187</v>
      </c>
      <c r="CP89" s="72">
        <f t="shared" si="246"/>
        <v>220</v>
      </c>
      <c r="CQ89" s="72">
        <f t="shared" si="247"/>
        <v>426</v>
      </c>
      <c r="CR89" s="72">
        <f t="shared" si="248"/>
        <v>456</v>
      </c>
      <c r="CS89" s="72">
        <f t="shared" si="249"/>
        <v>469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419"/>
        <v>adrb1_melga__wt</v>
      </c>
      <c r="B90" s="3" t="s">
        <v>912</v>
      </c>
      <c r="C90" s="3" t="s">
        <v>100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E</v>
      </c>
      <c r="AM90" s="3">
        <v>245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420"/>
        <v>1</v>
      </c>
      <c r="BC90" s="23">
        <f t="shared" si="225"/>
        <v>272</v>
      </c>
      <c r="BD90" s="34" t="s">
        <v>23</v>
      </c>
      <c r="BE90" s="3" t="s">
        <v>23</v>
      </c>
      <c r="BF90" s="119" t="s">
        <v>23</v>
      </c>
      <c r="BG90" s="49" t="s">
        <v>1373</v>
      </c>
      <c r="BH90" s="49" t="s">
        <v>1378</v>
      </c>
      <c r="BI90" s="3" t="s">
        <v>1166</v>
      </c>
      <c r="BJ90" s="70" t="s">
        <v>1288</v>
      </c>
      <c r="BK90" s="57" t="s">
        <v>1288</v>
      </c>
      <c r="BL90" s="57" t="s">
        <v>1288</v>
      </c>
      <c r="BM90" s="57" t="s">
        <v>1288</v>
      </c>
      <c r="BN90" s="57" t="s">
        <v>1288</v>
      </c>
      <c r="BO90" s="57" t="s">
        <v>1288</v>
      </c>
      <c r="BP90" s="57" t="s">
        <v>1288</v>
      </c>
      <c r="BQ90" s="57" t="s">
        <v>1288</v>
      </c>
      <c r="BR90" s="57" t="s">
        <v>1288</v>
      </c>
      <c r="BS90" s="57" t="s">
        <v>1288</v>
      </c>
      <c r="BT90" s="57" t="s">
        <v>1288</v>
      </c>
      <c r="BU90" s="57" t="s">
        <v>1288</v>
      </c>
      <c r="BV90" s="70">
        <f t="shared" si="226"/>
        <v>33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275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245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419"/>
        <v>adrb1_melga_2Y00</v>
      </c>
      <c r="B91" s="3" t="s">
        <v>912</v>
      </c>
      <c r="C91" s="3" t="s">
        <v>1023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I</v>
      </c>
      <c r="AM91" s="3">
        <v>238</v>
      </c>
      <c r="AN91" s="3" t="str">
        <f>IFERROR(MID(VLOOKUP($B91,Seqs!$A:$B,2,0),AO91,1),"")</f>
        <v>R</v>
      </c>
      <c r="AO91" s="3">
        <v>275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420"/>
        <v>1</v>
      </c>
      <c r="BC91" s="23">
        <f t="shared" si="225"/>
        <v>265</v>
      </c>
      <c r="BD91" s="4" t="s">
        <v>23</v>
      </c>
      <c r="BE91" s="3" t="s">
        <v>1375</v>
      </c>
      <c r="BF91" s="119">
        <v>2.5</v>
      </c>
      <c r="BG91" s="49" t="s">
        <v>1378</v>
      </c>
      <c r="BH91" s="49" t="s">
        <v>1378</v>
      </c>
      <c r="BI91" s="1"/>
      <c r="BJ91" s="70" t="s">
        <v>1288</v>
      </c>
      <c r="BK91" s="57" t="s">
        <v>1288</v>
      </c>
      <c r="BL91" s="57" t="s">
        <v>1288</v>
      </c>
      <c r="BM91" s="57" t="s">
        <v>1288</v>
      </c>
      <c r="BN91" s="57" t="s">
        <v>1288</v>
      </c>
      <c r="BO91" s="57" t="s">
        <v>1288</v>
      </c>
      <c r="BP91" s="57" t="s">
        <v>1288</v>
      </c>
      <c r="BQ91" s="57" t="s">
        <v>1288</v>
      </c>
      <c r="BR91" s="57" t="s">
        <v>1288</v>
      </c>
      <c r="BS91" s="57" t="s">
        <v>1288</v>
      </c>
      <c r="BT91" s="57" t="s">
        <v>1288</v>
      </c>
      <c r="BU91" s="57" t="s">
        <v>1288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275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238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419"/>
        <v>adrb1_melga_2Y02</v>
      </c>
      <c r="B92" s="3" t="s">
        <v>912</v>
      </c>
      <c r="C92" s="3" t="s">
        <v>1024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420"/>
        <v>1</v>
      </c>
      <c r="BC92" s="23">
        <f t="shared" si="225"/>
        <v>265</v>
      </c>
      <c r="BD92" s="4" t="s">
        <v>23</v>
      </c>
      <c r="BE92" s="3" t="s">
        <v>1375</v>
      </c>
      <c r="BF92" s="119">
        <v>2.6</v>
      </c>
      <c r="BG92" s="49" t="s">
        <v>1378</v>
      </c>
      <c r="BH92" s="49" t="s">
        <v>1378</v>
      </c>
      <c r="BI92" s="1"/>
      <c r="BJ92" s="70" t="s">
        <v>1288</v>
      </c>
      <c r="BK92" s="57" t="s">
        <v>1288</v>
      </c>
      <c r="BL92" s="57" t="s">
        <v>1288</v>
      </c>
      <c r="BM92" s="57" t="s">
        <v>1288</v>
      </c>
      <c r="BN92" s="57" t="s">
        <v>1288</v>
      </c>
      <c r="BO92" s="57" t="s">
        <v>1288</v>
      </c>
      <c r="BP92" s="57" t="s">
        <v>1288</v>
      </c>
      <c r="BQ92" s="57" t="s">
        <v>1288</v>
      </c>
      <c r="BR92" s="57" t="s">
        <v>1288</v>
      </c>
      <c r="BS92" s="57" t="s">
        <v>1288</v>
      </c>
      <c r="BT92" s="57" t="s">
        <v>1288</v>
      </c>
      <c r="BU92" s="57" t="s">
        <v>1288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419"/>
        <v>adrb1_melga_2Y03</v>
      </c>
      <c r="B93" s="3" t="s">
        <v>912</v>
      </c>
      <c r="C93" s="3" t="s">
        <v>1025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420"/>
        <v>1</v>
      </c>
      <c r="BC93" s="23">
        <f t="shared" si="225"/>
        <v>265</v>
      </c>
      <c r="BD93" s="4" t="s">
        <v>23</v>
      </c>
      <c r="BE93" s="3" t="s">
        <v>1375</v>
      </c>
      <c r="BF93" s="119">
        <v>2.85</v>
      </c>
      <c r="BG93" s="49" t="s">
        <v>1378</v>
      </c>
      <c r="BH93" s="49" t="s">
        <v>1378</v>
      </c>
      <c r="BI93" s="1"/>
      <c r="BJ93" s="70" t="s">
        <v>1288</v>
      </c>
      <c r="BK93" s="57" t="s">
        <v>1288</v>
      </c>
      <c r="BL93" s="57" t="s">
        <v>1288</v>
      </c>
      <c r="BM93" s="57" t="s">
        <v>1288</v>
      </c>
      <c r="BN93" s="57" t="s">
        <v>1288</v>
      </c>
      <c r="BO93" s="57" t="s">
        <v>1288</v>
      </c>
      <c r="BP93" s="57" t="s">
        <v>1288</v>
      </c>
      <c r="BQ93" s="57" t="s">
        <v>1288</v>
      </c>
      <c r="BR93" s="57" t="s">
        <v>1288</v>
      </c>
      <c r="BS93" s="57" t="s">
        <v>1288</v>
      </c>
      <c r="BT93" s="57" t="s">
        <v>1288</v>
      </c>
      <c r="BU93" s="57" t="s">
        <v>1288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419"/>
        <v>adrb1_melga_2Y04</v>
      </c>
      <c r="B94" s="3" t="s">
        <v>912</v>
      </c>
      <c r="C94" s="3" t="s">
        <v>1026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I</v>
      </c>
      <c r="AM94" s="3">
        <v>238</v>
      </c>
      <c r="AN94" s="3" t="str">
        <f>IFERROR(MID(VLOOKUP($B94,Seqs!$A:$B,2,0),AO94,1),"")</f>
        <v>R</v>
      </c>
      <c r="AO94" s="3">
        <v>275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420"/>
        <v>1</v>
      </c>
      <c r="BC94" s="23">
        <f t="shared" si="225"/>
        <v>265</v>
      </c>
      <c r="BD94" s="4" t="s">
        <v>23</v>
      </c>
      <c r="BE94" s="3" t="s">
        <v>1375</v>
      </c>
      <c r="BF94" s="119">
        <v>3.05</v>
      </c>
      <c r="BG94" s="49" t="s">
        <v>1378</v>
      </c>
      <c r="BH94" s="49" t="s">
        <v>1378</v>
      </c>
      <c r="BI94" s="1"/>
      <c r="BJ94" s="70" t="s">
        <v>1288</v>
      </c>
      <c r="BK94" s="57" t="s">
        <v>1288</v>
      </c>
      <c r="BL94" s="57" t="s">
        <v>1288</v>
      </c>
      <c r="BM94" s="57" t="s">
        <v>1288</v>
      </c>
      <c r="BN94" s="57" t="s">
        <v>1288</v>
      </c>
      <c r="BO94" s="57" t="s">
        <v>1288</v>
      </c>
      <c r="BP94" s="57" t="s">
        <v>1288</v>
      </c>
      <c r="BQ94" s="57" t="s">
        <v>1288</v>
      </c>
      <c r="BR94" s="57" t="s">
        <v>1288</v>
      </c>
      <c r="BS94" s="57" t="s">
        <v>1288</v>
      </c>
      <c r="BT94" s="57" t="s">
        <v>1288</v>
      </c>
      <c r="BU94" s="57" t="s">
        <v>1288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275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238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419"/>
        <v>adrb1_melga_2YCW</v>
      </c>
      <c r="B95" s="3" t="s">
        <v>912</v>
      </c>
      <c r="C95" s="3" t="s">
        <v>1027</v>
      </c>
      <c r="D95" s="3" t="str">
        <f>IFERROR(MID(VLOOKUP($B95,Seqs!$A:$B,2,0),E95,1),"")</f>
        <v>S</v>
      </c>
      <c r="E95" s="3">
        <v>37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K</v>
      </c>
      <c r="AM95" s="3">
        <v>240</v>
      </c>
      <c r="AN95" s="3" t="str">
        <f>IFERROR(MID(VLOOKUP($B95,Seqs!$A:$B,2,0),AO95,1),"")</f>
        <v>L</v>
      </c>
      <c r="AO95" s="3">
        <v>289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420"/>
        <v>1</v>
      </c>
      <c r="BC95" s="23">
        <f t="shared" si="225"/>
        <v>249</v>
      </c>
      <c r="BD95" s="4" t="s">
        <v>23</v>
      </c>
      <c r="BE95" s="3" t="s">
        <v>1375</v>
      </c>
      <c r="BF95" s="119">
        <v>3</v>
      </c>
      <c r="BG95" s="49" t="s">
        <v>1378</v>
      </c>
      <c r="BH95" s="49" t="s">
        <v>1378</v>
      </c>
      <c r="BI95" s="1"/>
      <c r="BJ95" s="70" t="s">
        <v>1288</v>
      </c>
      <c r="BK95" s="57" t="s">
        <v>1288</v>
      </c>
      <c r="BL95" s="57" t="s">
        <v>1288</v>
      </c>
      <c r="BM95" s="57" t="s">
        <v>1288</v>
      </c>
      <c r="BN95" s="57" t="s">
        <v>1288</v>
      </c>
      <c r="BO95" s="57" t="s">
        <v>1288</v>
      </c>
      <c r="BP95" s="57" t="s">
        <v>1288</v>
      </c>
      <c r="BQ95" s="57" t="s">
        <v>1288</v>
      </c>
      <c r="BR95" s="57" t="s">
        <v>1288</v>
      </c>
      <c r="BS95" s="57" t="s">
        <v>1288</v>
      </c>
      <c r="BT95" s="57" t="s">
        <v>1288</v>
      </c>
      <c r="BU95" s="57" t="s">
        <v>1288</v>
      </c>
      <c r="BV95" s="70">
        <f t="shared" si="226"/>
        <v>37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289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240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419"/>
        <v>adrb1_melga_2YCZ</v>
      </c>
      <c r="B96" s="3" t="s">
        <v>912</v>
      </c>
      <c r="C96" s="3" t="s">
        <v>1028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K</v>
      </c>
      <c r="AM96" s="3">
        <v>240</v>
      </c>
      <c r="AN96" s="3" t="str">
        <f>IFERROR(MID(VLOOKUP($B96,Seqs!$A:$B,2,0),AO96,1),"")</f>
        <v>A</v>
      </c>
      <c r="AO96" s="3">
        <v>288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420"/>
        <v>1</v>
      </c>
      <c r="BC96" s="23">
        <f t="shared" si="225"/>
        <v>254</v>
      </c>
      <c r="BD96" s="16" t="s">
        <v>23</v>
      </c>
      <c r="BE96" s="3" t="s">
        <v>1375</v>
      </c>
      <c r="BF96" s="119">
        <v>3.65</v>
      </c>
      <c r="BG96" s="49" t="s">
        <v>1378</v>
      </c>
      <c r="BH96" s="49" t="s">
        <v>1378</v>
      </c>
      <c r="BI96" s="1"/>
      <c r="BJ96" s="70" t="s">
        <v>1288</v>
      </c>
      <c r="BK96" s="57" t="s">
        <v>1288</v>
      </c>
      <c r="BL96" s="57" t="s">
        <v>1288</v>
      </c>
      <c r="BM96" s="57" t="s">
        <v>1288</v>
      </c>
      <c r="BN96" s="57" t="s">
        <v>1288</v>
      </c>
      <c r="BO96" s="57" t="s">
        <v>1288</v>
      </c>
      <c r="BP96" s="57" t="s">
        <v>1288</v>
      </c>
      <c r="BQ96" s="57" t="s">
        <v>1288</v>
      </c>
      <c r="BR96" s="57" t="s">
        <v>1288</v>
      </c>
      <c r="BS96" s="57" t="s">
        <v>1288</v>
      </c>
      <c r="BT96" s="57" t="s">
        <v>1288</v>
      </c>
      <c r="BU96" s="57" t="s">
        <v>1288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288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240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419"/>
        <v>adrb1_melga_3ZPQ</v>
      </c>
      <c r="B97" s="3" t="s">
        <v>912</v>
      </c>
      <c r="C97" s="3" t="s">
        <v>1038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I</v>
      </c>
      <c r="AM97" s="3">
        <v>238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420"/>
        <v>1</v>
      </c>
      <c r="BC97" s="23">
        <f t="shared" si="225"/>
        <v>265</v>
      </c>
      <c r="BD97" s="4" t="s">
        <v>23</v>
      </c>
      <c r="BE97" s="3" t="s">
        <v>1375</v>
      </c>
      <c r="BF97" s="119">
        <v>2.8</v>
      </c>
      <c r="BG97" s="49" t="s">
        <v>1378</v>
      </c>
      <c r="BH97" s="49" t="s">
        <v>1378</v>
      </c>
      <c r="BI97" s="1"/>
      <c r="BJ97" s="70" t="s">
        <v>1288</v>
      </c>
      <c r="BK97" s="57" t="s">
        <v>1288</v>
      </c>
      <c r="BL97" s="57" t="s">
        <v>1288</v>
      </c>
      <c r="BM97" s="57" t="s">
        <v>1288</v>
      </c>
      <c r="BN97" s="57" t="s">
        <v>1288</v>
      </c>
      <c r="BO97" s="57" t="s">
        <v>1288</v>
      </c>
      <c r="BP97" s="57" t="s">
        <v>1288</v>
      </c>
      <c r="BQ97" s="57" t="s">
        <v>1288</v>
      </c>
      <c r="BR97" s="57" t="s">
        <v>1288</v>
      </c>
      <c r="BS97" s="57" t="s">
        <v>1288</v>
      </c>
      <c r="BT97" s="57" t="s">
        <v>1288</v>
      </c>
      <c r="BU97" s="57" t="s">
        <v>1288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238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419"/>
        <v>adrb1_melga_3ZPR</v>
      </c>
      <c r="B98" s="3" t="s">
        <v>912</v>
      </c>
      <c r="C98" s="3" t="s">
        <v>1039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420"/>
        <v>1</v>
      </c>
      <c r="BC98" s="23">
        <f t="shared" si="225"/>
        <v>265</v>
      </c>
      <c r="BD98" s="4" t="s">
        <v>23</v>
      </c>
      <c r="BE98" s="3" t="s">
        <v>1375</v>
      </c>
      <c r="BF98" s="119">
        <v>2.7</v>
      </c>
      <c r="BG98" s="49" t="s">
        <v>1378</v>
      </c>
      <c r="BH98" s="49" t="s">
        <v>1378</v>
      </c>
      <c r="BI98" s="1"/>
      <c r="BJ98" s="70" t="s">
        <v>1288</v>
      </c>
      <c r="BK98" s="57" t="s">
        <v>1288</v>
      </c>
      <c r="BL98" s="57" t="s">
        <v>1288</v>
      </c>
      <c r="BM98" s="57" t="s">
        <v>1288</v>
      </c>
      <c r="BN98" s="57" t="s">
        <v>1288</v>
      </c>
      <c r="BO98" s="57" t="s">
        <v>1288</v>
      </c>
      <c r="BP98" s="57" t="s">
        <v>1288</v>
      </c>
      <c r="BQ98" s="57" t="s">
        <v>1288</v>
      </c>
      <c r="BR98" s="57" t="s">
        <v>1288</v>
      </c>
      <c r="BS98" s="57" t="s">
        <v>1288</v>
      </c>
      <c r="BT98" s="57" t="s">
        <v>1288</v>
      </c>
      <c r="BU98" s="57" t="s">
        <v>1288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419"/>
        <v>adrb1_melga_4AMI</v>
      </c>
      <c r="B99" s="3" t="s">
        <v>912</v>
      </c>
      <c r="C99" s="3" t="s">
        <v>1040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E</v>
      </c>
      <c r="AM99" s="3">
        <v>236</v>
      </c>
      <c r="AN99" s="3" t="str">
        <f>IFERROR(MID(VLOOKUP($B99,Seqs!$A:$B,2,0),AO99,1),"")</f>
        <v>A</v>
      </c>
      <c r="AO99" s="3">
        <v>288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420"/>
        <v>1</v>
      </c>
      <c r="BC99" s="23">
        <f t="shared" si="225"/>
        <v>250</v>
      </c>
      <c r="BD99" s="4" t="s">
        <v>23</v>
      </c>
      <c r="BE99" s="3" t="s">
        <v>1375</v>
      </c>
      <c r="BF99" s="119">
        <v>3.2</v>
      </c>
      <c r="BG99" s="49" t="s">
        <v>1378</v>
      </c>
      <c r="BH99" s="49" t="s">
        <v>1378</v>
      </c>
      <c r="BI99" s="1"/>
      <c r="BJ99" s="70" t="s">
        <v>1288</v>
      </c>
      <c r="BK99" s="57" t="s">
        <v>1288</v>
      </c>
      <c r="BL99" s="57" t="s">
        <v>1288</v>
      </c>
      <c r="BM99" s="57" t="s">
        <v>1288</v>
      </c>
      <c r="BN99" s="57" t="s">
        <v>1288</v>
      </c>
      <c r="BO99" s="57" t="s">
        <v>1288</v>
      </c>
      <c r="BP99" s="57" t="s">
        <v>1288</v>
      </c>
      <c r="BQ99" s="57" t="s">
        <v>1288</v>
      </c>
      <c r="BR99" s="57" t="s">
        <v>1288</v>
      </c>
      <c r="BS99" s="57" t="s">
        <v>1288</v>
      </c>
      <c r="BT99" s="57" t="s">
        <v>1288</v>
      </c>
      <c r="BU99" s="57" t="s">
        <v>1288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288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236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419"/>
        <v>adrb1_melga_4AMJ</v>
      </c>
      <c r="B100" s="3" t="s">
        <v>912</v>
      </c>
      <c r="C100" s="3" t="s">
        <v>1041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I</v>
      </c>
      <c r="AM100" s="3">
        <v>238</v>
      </c>
      <c r="AN100" s="3" t="str">
        <f>IFERROR(MID(VLOOKUP($B100,Seqs!$A:$B,2,0),AO100,1),"")</f>
        <v>R</v>
      </c>
      <c r="AO100" s="3">
        <v>275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420"/>
        <v>1</v>
      </c>
      <c r="BC100" s="23">
        <f t="shared" si="225"/>
        <v>265</v>
      </c>
      <c r="BD100" s="2" t="s">
        <v>1377</v>
      </c>
      <c r="BE100" s="3" t="s">
        <v>1375</v>
      </c>
      <c r="BF100" s="119">
        <v>2.2999999999999998</v>
      </c>
      <c r="BG100" s="49" t="s">
        <v>1378</v>
      </c>
      <c r="BH100" s="49" t="s">
        <v>1378</v>
      </c>
      <c r="BI100" s="1"/>
      <c r="BJ100" s="70" t="s">
        <v>1288</v>
      </c>
      <c r="BK100" s="57" t="s">
        <v>1288</v>
      </c>
      <c r="BL100" s="57" t="s">
        <v>1288</v>
      </c>
      <c r="BM100" s="57" t="s">
        <v>1288</v>
      </c>
      <c r="BN100" s="57" t="s">
        <v>1288</v>
      </c>
      <c r="BO100" s="57" t="s">
        <v>1288</v>
      </c>
      <c r="BP100" s="57" t="s">
        <v>1288</v>
      </c>
      <c r="BQ100" s="57" t="s">
        <v>1288</v>
      </c>
      <c r="BR100" s="57" t="s">
        <v>1288</v>
      </c>
      <c r="BS100" s="57" t="s">
        <v>1288</v>
      </c>
      <c r="BT100" s="57" t="s">
        <v>1288</v>
      </c>
      <c r="BU100" s="57" t="s">
        <v>1288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275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238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419"/>
        <v>adrb1_melga_4BVN</v>
      </c>
      <c r="B101" s="3" t="s">
        <v>912</v>
      </c>
      <c r="C101" s="3" t="s">
        <v>82</v>
      </c>
      <c r="D101" s="3" t="str">
        <f>IFERROR(MID(VLOOKUP($B101,Seqs!$A:$B,2,0),E101,1),"")</f>
        <v>S</v>
      </c>
      <c r="E101" s="3">
        <v>37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R</v>
      </c>
      <c r="AM101" s="3">
        <v>239</v>
      </c>
      <c r="AN101" s="3" t="str">
        <f>IFERROR(MID(VLOOKUP($B101,Seqs!$A:$B,2,0),AO101,1),"")</f>
        <v>R</v>
      </c>
      <c r="AO101" s="3">
        <v>279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420"/>
        <v>1</v>
      </c>
      <c r="BC101" s="23">
        <f t="shared" ref="BC101:BC163" si="617">_xlfn.AGGREGATE(9,6,CH101:CS101)-_xlfn.AGGREGATE(9,6,BV101:CG101)+12</f>
        <v>258</v>
      </c>
      <c r="BD101" s="4" t="s">
        <v>23</v>
      </c>
      <c r="BE101" s="3" t="s">
        <v>1375</v>
      </c>
      <c r="BF101" s="119">
        <v>2.1</v>
      </c>
      <c r="BG101" s="49" t="s">
        <v>1378</v>
      </c>
      <c r="BH101" s="49" t="s">
        <v>1378</v>
      </c>
      <c r="BI101" s="1"/>
      <c r="BJ101" s="70" t="s">
        <v>1288</v>
      </c>
      <c r="BK101" s="57" t="s">
        <v>1288</v>
      </c>
      <c r="BL101" s="57" t="s">
        <v>1288</v>
      </c>
      <c r="BM101" s="57" t="s">
        <v>1288</v>
      </c>
      <c r="BN101" s="57" t="s">
        <v>1288</v>
      </c>
      <c r="BO101" s="57" t="s">
        <v>1288</v>
      </c>
      <c r="BP101" s="57" t="s">
        <v>1288</v>
      </c>
      <c r="BQ101" s="57" t="s">
        <v>1288</v>
      </c>
      <c r="BR101" s="57" t="s">
        <v>1288</v>
      </c>
      <c r="BS101" s="57" t="s">
        <v>1288</v>
      </c>
      <c r="BT101" s="57" t="s">
        <v>1288</v>
      </c>
      <c r="BU101" s="57" t="s">
        <v>1288</v>
      </c>
      <c r="BV101" s="70">
        <f t="shared" ref="BV101:BV163" si="618">E101</f>
        <v>37</v>
      </c>
      <c r="BW101" s="71">
        <f t="shared" ref="BW101:BW163" si="619">I101</f>
        <v>70</v>
      </c>
      <c r="BX101" s="72">
        <f t="shared" ref="BX101:BX163" si="620">M101</f>
        <v>74</v>
      </c>
      <c r="BY101" s="71">
        <f t="shared" ref="BY101:BY163" si="621">Q101</f>
        <v>106</v>
      </c>
      <c r="BZ101" s="72">
        <f t="shared" ref="BZ101:BZ163" si="622">U101</f>
        <v>110</v>
      </c>
      <c r="CA101" s="71">
        <f t="shared" ref="CA101:CA163" si="623">Y101</f>
        <v>146</v>
      </c>
      <c r="CB101" s="72">
        <f t="shared" ref="CB101:CB163" si="624">AC101</f>
        <v>154</v>
      </c>
      <c r="CC101" s="71">
        <f t="shared" ref="CC101:CC163" si="625">AG101</f>
        <v>199</v>
      </c>
      <c r="CD101" s="72">
        <f t="shared" ref="CD101:CD163" si="626">AK101</f>
        <v>204</v>
      </c>
      <c r="CE101" s="71">
        <f t="shared" ref="CE101:CE163" si="627">AO101</f>
        <v>279</v>
      </c>
      <c r="CF101" s="72">
        <f t="shared" ref="CF101:CF163" si="628">AS101</f>
        <v>321</v>
      </c>
      <c r="CG101" s="71">
        <f t="shared" ref="CG101:CG163" si="629">AW101</f>
        <v>346</v>
      </c>
      <c r="CH101" s="70">
        <f t="shared" ref="CH101:CH163" si="630">G101</f>
        <v>69</v>
      </c>
      <c r="CI101" s="71">
        <f t="shared" ref="CI101:CI163" si="631">K101</f>
        <v>73</v>
      </c>
      <c r="CJ101" s="72">
        <f t="shared" ref="CJ101:CJ163" si="632">O101</f>
        <v>104</v>
      </c>
      <c r="CK101" s="72">
        <f t="shared" ref="CK101:CK163" si="633">S101</f>
        <v>109</v>
      </c>
      <c r="CL101" s="72">
        <f t="shared" ref="CL101:CL163" si="634">W101</f>
        <v>145</v>
      </c>
      <c r="CM101" s="72">
        <f t="shared" ref="CM101:CM163" si="635">AA101</f>
        <v>153</v>
      </c>
      <c r="CN101" s="72">
        <f t="shared" ref="CN101:CN163" si="636">AE101</f>
        <v>180</v>
      </c>
      <c r="CO101" s="72">
        <f t="shared" ref="CO101:CO163" si="637">AI101</f>
        <v>201</v>
      </c>
      <c r="CP101" s="72">
        <f t="shared" ref="CP101:CP163" si="638">AM101</f>
        <v>239</v>
      </c>
      <c r="CQ101" s="72">
        <f t="shared" ref="CQ101:CQ163" si="639">AQ101</f>
        <v>316</v>
      </c>
      <c r="CR101" s="72">
        <f t="shared" ref="CR101:CR163" si="640">AU101</f>
        <v>345</v>
      </c>
      <c r="CS101" s="72">
        <f t="shared" ref="CS101:CS163" si="641">AY101</f>
        <v>358</v>
      </c>
      <c r="CT101" s="23">
        <f t="shared" ref="CT101:CT163" si="642">M101-K101</f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419"/>
        <v>adrb1_melga_4GPO</v>
      </c>
      <c r="B102" s="3" t="s">
        <v>912</v>
      </c>
      <c r="C102" s="3" t="s">
        <v>1042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E</v>
      </c>
      <c r="AM102" s="3">
        <v>233</v>
      </c>
      <c r="AN102" s="3" t="str">
        <f>IFERROR(MID(VLOOKUP($B102,Seqs!$A:$B,2,0),AO102,1),"")</f>
        <v>M</v>
      </c>
      <c r="AO102" s="3">
        <v>283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L</v>
      </c>
      <c r="AY102" s="3">
        <v>356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420"/>
        <v>1</v>
      </c>
      <c r="BC102" s="23">
        <f t="shared" si="617"/>
        <v>246</v>
      </c>
      <c r="BD102" s="4" t="s">
        <v>23</v>
      </c>
      <c r="BE102" s="3" t="s">
        <v>1375</v>
      </c>
      <c r="BF102" s="119">
        <v>3.5</v>
      </c>
      <c r="BG102" s="49" t="s">
        <v>1378</v>
      </c>
      <c r="BH102" s="49" t="s">
        <v>1378</v>
      </c>
      <c r="BI102" s="1"/>
      <c r="BJ102" s="70" t="s">
        <v>1288</v>
      </c>
      <c r="BK102" s="57" t="s">
        <v>1288</v>
      </c>
      <c r="BL102" s="57" t="s">
        <v>1288</v>
      </c>
      <c r="BM102" s="57" t="s">
        <v>1288</v>
      </c>
      <c r="BN102" s="57" t="s">
        <v>1288</v>
      </c>
      <c r="BO102" s="57" t="s">
        <v>1288</v>
      </c>
      <c r="BP102" s="57" t="s">
        <v>1288</v>
      </c>
      <c r="BQ102" s="57" t="s">
        <v>1288</v>
      </c>
      <c r="BR102" s="57" t="s">
        <v>1288</v>
      </c>
      <c r="BS102" s="57" t="s">
        <v>1288</v>
      </c>
      <c r="BT102" s="57" t="s">
        <v>1288</v>
      </c>
      <c r="BU102" s="57" t="s">
        <v>1288</v>
      </c>
      <c r="BV102" s="70">
        <f t="shared" si="618"/>
        <v>37</v>
      </c>
      <c r="BW102" s="71">
        <f t="shared" si="619"/>
        <v>70</v>
      </c>
      <c r="BX102" s="72">
        <f t="shared" si="620"/>
        <v>74</v>
      </c>
      <c r="BY102" s="71">
        <f t="shared" si="621"/>
        <v>106</v>
      </c>
      <c r="BZ102" s="72">
        <f t="shared" si="622"/>
        <v>110</v>
      </c>
      <c r="CA102" s="71">
        <f t="shared" si="623"/>
        <v>146</v>
      </c>
      <c r="CB102" s="72">
        <f t="shared" si="624"/>
        <v>154</v>
      </c>
      <c r="CC102" s="71">
        <f t="shared" si="625"/>
        <v>199</v>
      </c>
      <c r="CD102" s="72">
        <f t="shared" si="626"/>
        <v>204</v>
      </c>
      <c r="CE102" s="71">
        <f t="shared" si="627"/>
        <v>283</v>
      </c>
      <c r="CF102" s="72">
        <f t="shared" si="628"/>
        <v>321</v>
      </c>
      <c r="CG102" s="71">
        <f t="shared" si="629"/>
        <v>346</v>
      </c>
      <c r="CH102" s="70">
        <f t="shared" si="630"/>
        <v>69</v>
      </c>
      <c r="CI102" s="71">
        <f t="shared" si="631"/>
        <v>73</v>
      </c>
      <c r="CJ102" s="72">
        <f t="shared" si="632"/>
        <v>104</v>
      </c>
      <c r="CK102" s="72">
        <f t="shared" si="633"/>
        <v>109</v>
      </c>
      <c r="CL102" s="72">
        <f t="shared" si="634"/>
        <v>145</v>
      </c>
      <c r="CM102" s="72">
        <f t="shared" si="635"/>
        <v>153</v>
      </c>
      <c r="CN102" s="72">
        <f t="shared" si="636"/>
        <v>180</v>
      </c>
      <c r="CO102" s="72">
        <f t="shared" si="637"/>
        <v>201</v>
      </c>
      <c r="CP102" s="72">
        <f t="shared" si="638"/>
        <v>233</v>
      </c>
      <c r="CQ102" s="72">
        <f t="shared" si="639"/>
        <v>316</v>
      </c>
      <c r="CR102" s="72">
        <f t="shared" si="640"/>
        <v>345</v>
      </c>
      <c r="CS102" s="72">
        <f t="shared" si="641"/>
        <v>356</v>
      </c>
      <c r="CT102" s="23">
        <f t="shared" si="642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419"/>
        <v>adrb1_melga_5A8E</v>
      </c>
      <c r="B103" s="3" t="s">
        <v>912</v>
      </c>
      <c r="C103" s="3" t="s">
        <v>1059</v>
      </c>
      <c r="D103" s="3" t="str">
        <f>IFERROR(MID(VLOOKUP($B103,Seqs!$A:$B,2,0),E103,1),"")</f>
        <v>S</v>
      </c>
      <c r="E103" s="3">
        <v>37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R</v>
      </c>
      <c r="AM103" s="3">
        <v>239</v>
      </c>
      <c r="AN103" s="3" t="str">
        <f>IFERROR(MID(VLOOKUP($B103,Seqs!$A:$B,2,0),AO103,1),"")</f>
        <v>R</v>
      </c>
      <c r="AO103" s="3">
        <v>279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K</v>
      </c>
      <c r="AY103" s="3">
        <v>354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420"/>
        <v>1</v>
      </c>
      <c r="BC103" s="23">
        <f t="shared" si="617"/>
        <v>254</v>
      </c>
      <c r="BD103" s="4" t="s">
        <v>23</v>
      </c>
      <c r="BE103" s="3" t="s">
        <v>1375</v>
      </c>
      <c r="BF103" s="119">
        <v>2.42</v>
      </c>
      <c r="BG103" s="49" t="s">
        <v>1378</v>
      </c>
      <c r="BH103" s="49" t="s">
        <v>1378</v>
      </c>
      <c r="BI103" s="1"/>
      <c r="BJ103" s="70" t="s">
        <v>1288</v>
      </c>
      <c r="BK103" s="57" t="s">
        <v>1288</v>
      </c>
      <c r="BL103" s="57" t="s">
        <v>1288</v>
      </c>
      <c r="BM103" s="57" t="s">
        <v>1288</v>
      </c>
      <c r="BN103" s="57" t="s">
        <v>1288</v>
      </c>
      <c r="BO103" s="57" t="s">
        <v>1288</v>
      </c>
      <c r="BP103" s="57" t="s">
        <v>1288</v>
      </c>
      <c r="BQ103" s="57" t="s">
        <v>1288</v>
      </c>
      <c r="BR103" s="57" t="s">
        <v>1288</v>
      </c>
      <c r="BS103" s="57" t="s">
        <v>1288</v>
      </c>
      <c r="BT103" s="57" t="s">
        <v>1288</v>
      </c>
      <c r="BU103" s="57" t="s">
        <v>1288</v>
      </c>
      <c r="BV103" s="70">
        <f t="shared" si="618"/>
        <v>37</v>
      </c>
      <c r="BW103" s="71">
        <f t="shared" si="619"/>
        <v>70</v>
      </c>
      <c r="BX103" s="72">
        <f t="shared" si="620"/>
        <v>74</v>
      </c>
      <c r="BY103" s="71">
        <f t="shared" si="621"/>
        <v>106</v>
      </c>
      <c r="BZ103" s="72">
        <f t="shared" si="622"/>
        <v>110</v>
      </c>
      <c r="CA103" s="71">
        <f t="shared" si="623"/>
        <v>146</v>
      </c>
      <c r="CB103" s="72">
        <f t="shared" si="624"/>
        <v>154</v>
      </c>
      <c r="CC103" s="71">
        <f t="shared" si="625"/>
        <v>199</v>
      </c>
      <c r="CD103" s="72">
        <f t="shared" si="626"/>
        <v>204</v>
      </c>
      <c r="CE103" s="71">
        <f t="shared" si="627"/>
        <v>279</v>
      </c>
      <c r="CF103" s="72">
        <f t="shared" si="628"/>
        <v>321</v>
      </c>
      <c r="CG103" s="71">
        <f t="shared" si="629"/>
        <v>346</v>
      </c>
      <c r="CH103" s="70">
        <f t="shared" si="630"/>
        <v>69</v>
      </c>
      <c r="CI103" s="71">
        <f t="shared" si="631"/>
        <v>73</v>
      </c>
      <c r="CJ103" s="72">
        <f t="shared" si="632"/>
        <v>104</v>
      </c>
      <c r="CK103" s="72">
        <f t="shared" si="633"/>
        <v>109</v>
      </c>
      <c r="CL103" s="72">
        <f t="shared" si="634"/>
        <v>145</v>
      </c>
      <c r="CM103" s="72">
        <f t="shared" si="635"/>
        <v>153</v>
      </c>
      <c r="CN103" s="72">
        <f t="shared" si="636"/>
        <v>180</v>
      </c>
      <c r="CO103" s="72">
        <f t="shared" si="637"/>
        <v>201</v>
      </c>
      <c r="CP103" s="72">
        <f t="shared" si="638"/>
        <v>239</v>
      </c>
      <c r="CQ103" s="72">
        <f t="shared" si="639"/>
        <v>316</v>
      </c>
      <c r="CR103" s="72">
        <f t="shared" si="640"/>
        <v>345</v>
      </c>
      <c r="CS103" s="72">
        <f t="shared" si="641"/>
        <v>354</v>
      </c>
      <c r="CT103" s="23">
        <f t="shared" si="642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419"/>
        <v>adrb1_melga_5F8U</v>
      </c>
      <c r="B104" s="3" t="s">
        <v>912</v>
      </c>
      <c r="C104" s="3" t="s">
        <v>1355</v>
      </c>
      <c r="D104" s="3" t="str">
        <f>IFERROR(MID(VLOOKUP($B104,Seqs!$A:$B,2,0),E104,1),"")</f>
        <v>W</v>
      </c>
      <c r="E104" s="3">
        <v>40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Q</v>
      </c>
      <c r="AM104" s="3">
        <v>237</v>
      </c>
      <c r="AN104" s="3" t="str">
        <f>IFERROR(MID(VLOOKUP($B104,Seqs!$A:$B,2,0),AO104,1),"")</f>
        <v>R</v>
      </c>
      <c r="AO104" s="3">
        <v>284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420"/>
        <v>1</v>
      </c>
      <c r="BC104" s="23">
        <f t="shared" si="617"/>
        <v>248</v>
      </c>
      <c r="BD104" s="5" t="s">
        <v>23</v>
      </c>
      <c r="BE104" s="3" t="s">
        <v>1375</v>
      </c>
      <c r="BF104" s="119">
        <v>3.35</v>
      </c>
      <c r="BG104" s="49" t="s">
        <v>1378</v>
      </c>
      <c r="BH104" s="49" t="s">
        <v>1378</v>
      </c>
      <c r="BI104" s="1"/>
      <c r="BJ104" s="70" t="s">
        <v>1288</v>
      </c>
      <c r="BK104" s="57" t="s">
        <v>1288</v>
      </c>
      <c r="BL104" s="57" t="s">
        <v>1288</v>
      </c>
      <c r="BM104" s="57" t="s">
        <v>1288</v>
      </c>
      <c r="BN104" s="57" t="s">
        <v>1288</v>
      </c>
      <c r="BO104" s="57" t="s">
        <v>1288</v>
      </c>
      <c r="BP104" s="57" t="s">
        <v>1288</v>
      </c>
      <c r="BQ104" s="57" t="s">
        <v>1288</v>
      </c>
      <c r="BR104" s="57" t="s">
        <v>1288</v>
      </c>
      <c r="BS104" s="57" t="s">
        <v>1288</v>
      </c>
      <c r="BT104" s="57" t="s">
        <v>1288</v>
      </c>
      <c r="BU104" s="57" t="s">
        <v>1288</v>
      </c>
      <c r="BV104" s="70">
        <f t="shared" si="618"/>
        <v>40</v>
      </c>
      <c r="BW104" s="71">
        <f t="shared" si="619"/>
        <v>70</v>
      </c>
      <c r="BX104" s="72">
        <f t="shared" si="620"/>
        <v>74</v>
      </c>
      <c r="BY104" s="71">
        <f t="shared" si="621"/>
        <v>106</v>
      </c>
      <c r="BZ104" s="72">
        <f t="shared" si="622"/>
        <v>110</v>
      </c>
      <c r="CA104" s="71">
        <f t="shared" si="623"/>
        <v>146</v>
      </c>
      <c r="CB104" s="72">
        <f t="shared" si="624"/>
        <v>154</v>
      </c>
      <c r="CC104" s="71">
        <f t="shared" si="625"/>
        <v>199</v>
      </c>
      <c r="CD104" s="72">
        <f t="shared" si="626"/>
        <v>204</v>
      </c>
      <c r="CE104" s="71">
        <f t="shared" si="627"/>
        <v>284</v>
      </c>
      <c r="CF104" s="72">
        <f t="shared" si="628"/>
        <v>321</v>
      </c>
      <c r="CG104" s="71">
        <f t="shared" si="629"/>
        <v>346</v>
      </c>
      <c r="CH104" s="70">
        <f t="shared" si="630"/>
        <v>69</v>
      </c>
      <c r="CI104" s="71">
        <f t="shared" si="631"/>
        <v>73</v>
      </c>
      <c r="CJ104" s="72">
        <f t="shared" si="632"/>
        <v>104</v>
      </c>
      <c r="CK104" s="72">
        <f t="shared" si="633"/>
        <v>109</v>
      </c>
      <c r="CL104" s="72">
        <f t="shared" si="634"/>
        <v>145</v>
      </c>
      <c r="CM104" s="72">
        <f t="shared" si="635"/>
        <v>153</v>
      </c>
      <c r="CN104" s="72">
        <f t="shared" si="636"/>
        <v>180</v>
      </c>
      <c r="CO104" s="72">
        <f t="shared" si="637"/>
        <v>201</v>
      </c>
      <c r="CP104" s="72">
        <f t="shared" si="638"/>
        <v>237</v>
      </c>
      <c r="CQ104" s="72">
        <f t="shared" si="639"/>
        <v>316</v>
      </c>
      <c r="CR104" s="72">
        <f t="shared" si="640"/>
        <v>345</v>
      </c>
      <c r="CS104" s="72">
        <f t="shared" si="641"/>
        <v>358</v>
      </c>
      <c r="CT104" s="23">
        <f t="shared" si="642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s="12" customFormat="1" x14ac:dyDescent="0.2">
      <c r="A105" s="9" t="str">
        <f t="shared" ref="A105" si="643">CONCATENATE(B105,"_",C105)</f>
        <v>adrb1_melga_6H7J</v>
      </c>
      <c r="B105" s="9" t="s">
        <v>912</v>
      </c>
      <c r="C105" s="9" t="s">
        <v>1520</v>
      </c>
      <c r="D105" s="9" t="str">
        <f>IFERROR(MID(VLOOKUP($B105,Seqs!$A:$B,2,0),E105,1),"")</f>
        <v>W</v>
      </c>
      <c r="E105" s="9">
        <v>40</v>
      </c>
      <c r="F105" s="9" t="str">
        <f>IFERROR(MID(VLOOKUP($B105,Seqs!$A:$B,2,0),G105,1),"")</f>
        <v>T</v>
      </c>
      <c r="G105" s="9">
        <v>69</v>
      </c>
      <c r="H105" s="9" t="str">
        <f>IFERROR(MID(VLOOKUP($B105,Seqs!$A:$B,2,0),I105,1),"")</f>
        <v>Q</v>
      </c>
      <c r="I105" s="109">
        <v>70</v>
      </c>
      <c r="J105" s="9" t="str">
        <f>IFERROR(MID(VLOOKUP($B105,Seqs!$A:$B,2,0),K105,1),"")</f>
        <v>Q</v>
      </c>
      <c r="K105" s="109">
        <v>73</v>
      </c>
      <c r="L105" s="9" t="str">
        <f>IFERROR(MID(VLOOKUP($B105,Seqs!$A:$B,2,0),M105,1),"")</f>
        <v>T</v>
      </c>
      <c r="M105" s="9">
        <v>74</v>
      </c>
      <c r="N105" s="9" t="str">
        <f>IFERROR(MID(VLOOKUP($B105,Seqs!$A:$B,2,0),O105,1),"")</f>
        <v>R</v>
      </c>
      <c r="O105" s="9">
        <v>104</v>
      </c>
      <c r="P105" s="9" t="str">
        <f>IFERROR(MID(VLOOKUP($B105,Seqs!$A:$B,2,0),Q105,1),"")</f>
        <v>T</v>
      </c>
      <c r="Q105" s="9">
        <v>106</v>
      </c>
      <c r="R105" s="9" t="str">
        <f>IFERROR(MID(VLOOKUP($B105,Seqs!$A:$B,2,0),S105,1),"")</f>
        <v>W</v>
      </c>
      <c r="S105" s="9">
        <v>109</v>
      </c>
      <c r="T105" s="9" t="str">
        <f>IFERROR(MID(VLOOKUP($B105,Seqs!$A:$B,2,0),U105,1),"")</f>
        <v>G</v>
      </c>
      <c r="U105" s="9">
        <v>110</v>
      </c>
      <c r="V105" s="9" t="str">
        <f>IFERROR(MID(VLOOKUP($B105,Seqs!$A:$B,2,0),W105,1),"")</f>
        <v>S</v>
      </c>
      <c r="W105" s="9">
        <v>145</v>
      </c>
      <c r="X105" s="9" t="str">
        <f>IFERROR(MID(VLOOKUP($B105,Seqs!$A:$B,2,0),Y105,1),"")</f>
        <v>P</v>
      </c>
      <c r="Y105" s="9">
        <v>146</v>
      </c>
      <c r="Z105" s="9" t="str">
        <f>IFERROR(MID(VLOOKUP($B105,Seqs!$A:$B,2,0),AA105,1),"")</f>
        <v>M</v>
      </c>
      <c r="AA105" s="9">
        <v>153</v>
      </c>
      <c r="AB105" s="9" t="str">
        <f>IFERROR(MID(VLOOKUP($B105,Seqs!$A:$B,2,0),AC105,1),"")</f>
        <v>T</v>
      </c>
      <c r="AC105" s="9">
        <v>154</v>
      </c>
      <c r="AD105" s="9" t="str">
        <f>IFERROR(MID(VLOOKUP($B105,Seqs!$A:$B,2,0),AE105,1),"")</f>
        <v>H</v>
      </c>
      <c r="AE105" s="9">
        <v>180</v>
      </c>
      <c r="AF105" s="9" t="str">
        <f>IFERROR(MID(VLOOKUP($B105,Seqs!$A:$B,2,0),AG105,1),"")</f>
        <v>C</v>
      </c>
      <c r="AG105" s="9">
        <v>199</v>
      </c>
      <c r="AH105" s="9" t="str">
        <f>IFERROR(MID(VLOOKUP($B105,Seqs!$A:$B,2,0),AI105,1),"")</f>
        <v>F</v>
      </c>
      <c r="AI105" s="9">
        <v>201</v>
      </c>
      <c r="AJ105" s="9" t="str">
        <f>IFERROR(MID(VLOOKUP($B105,Seqs!$A:$B,2,0),AK105,1),"")</f>
        <v>N</v>
      </c>
      <c r="AK105" s="9">
        <v>204</v>
      </c>
      <c r="AL105" s="9" t="str">
        <f>IFERROR(MID(VLOOKUP($B105,Seqs!$A:$B,2,0),AM105,1),"")</f>
        <v>S</v>
      </c>
      <c r="AM105" s="9">
        <v>273</v>
      </c>
      <c r="AN105" s="9" t="str">
        <f>IFERROR(MID(VLOOKUP($B105,Seqs!$A:$B,2,0),AO105,1),"")</f>
        <v>A</v>
      </c>
      <c r="AO105" s="9">
        <v>282</v>
      </c>
      <c r="AP105" s="9" t="str">
        <f>IFERROR(MID(VLOOKUP($B105,Seqs!$A:$B,2,0),AQ105,1),"")</f>
        <v>N</v>
      </c>
      <c r="AQ105" s="9">
        <v>316</v>
      </c>
      <c r="AR105" s="9" t="str">
        <f>IFERROR(MID(VLOOKUP($B105,Seqs!$A:$B,2,0),AS105,1),"")</f>
        <v>P</v>
      </c>
      <c r="AS105" s="9">
        <v>321</v>
      </c>
      <c r="AT105" s="9" t="str">
        <f>IFERROR(MID(VLOOKUP($B105,Seqs!$A:$B,2,0),AU105,1),"")</f>
        <v>R</v>
      </c>
      <c r="AU105" s="9">
        <v>345</v>
      </c>
      <c r="AV105" s="9" t="str">
        <f>IFERROR(MID(VLOOKUP($B105,Seqs!$A:$B,2,0),AW105,1),"")</f>
        <v>S</v>
      </c>
      <c r="AW105" s="9">
        <v>346</v>
      </c>
      <c r="AX105" s="9" t="str">
        <f>IFERROR(MID(VLOOKUP($B105,Seqs!$A:$B,2,0),AY105,1),"")</f>
        <v>L</v>
      </c>
      <c r="AY105" s="9">
        <v>357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64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645">_xlfn.AGGREGATE(9,6,CH105:CS105)-_xlfn.AGGREGATE(9,6,BV105:CG105)+12</f>
        <v>285</v>
      </c>
      <c r="BD105" s="13" t="s">
        <v>23</v>
      </c>
      <c r="BE105" s="9" t="s">
        <v>1292</v>
      </c>
      <c r="BF105" s="120">
        <v>2.8</v>
      </c>
      <c r="BG105" s="51" t="s">
        <v>1</v>
      </c>
      <c r="BH105" s="51" t="s">
        <v>1</v>
      </c>
      <c r="BJ105" s="111" t="s">
        <v>1288</v>
      </c>
      <c r="BK105" s="112" t="s">
        <v>1288</v>
      </c>
      <c r="BL105" s="112" t="s">
        <v>1288</v>
      </c>
      <c r="BM105" s="112" t="s">
        <v>1288</v>
      </c>
      <c r="BN105" s="112" t="s">
        <v>1288</v>
      </c>
      <c r="BO105" s="112" t="s">
        <v>1288</v>
      </c>
      <c r="BP105" s="112" t="s">
        <v>1288</v>
      </c>
      <c r="BQ105" s="112" t="s">
        <v>1288</v>
      </c>
      <c r="BR105" s="112" t="s">
        <v>1288</v>
      </c>
      <c r="BS105" s="112" t="s">
        <v>1288</v>
      </c>
      <c r="BT105" s="112" t="s">
        <v>1288</v>
      </c>
      <c r="BU105" s="112" t="s">
        <v>1288</v>
      </c>
      <c r="BV105" s="111">
        <f t="shared" ref="BV105" si="646">E105</f>
        <v>40</v>
      </c>
      <c r="BW105" s="113">
        <f t="shared" ref="BW105" si="647">I105</f>
        <v>70</v>
      </c>
      <c r="BX105" s="114">
        <f t="shared" ref="BX105" si="648">M105</f>
        <v>74</v>
      </c>
      <c r="BY105" s="113">
        <f t="shared" ref="BY105" si="649">Q105</f>
        <v>106</v>
      </c>
      <c r="BZ105" s="114">
        <f t="shared" ref="BZ105" si="650">U105</f>
        <v>110</v>
      </c>
      <c r="CA105" s="113">
        <f t="shared" ref="CA105" si="651">Y105</f>
        <v>146</v>
      </c>
      <c r="CB105" s="114">
        <f t="shared" ref="CB105" si="652">AC105</f>
        <v>154</v>
      </c>
      <c r="CC105" s="113">
        <f t="shared" ref="CC105" si="653">AG105</f>
        <v>199</v>
      </c>
      <c r="CD105" s="114">
        <f t="shared" ref="CD105" si="654">AK105</f>
        <v>204</v>
      </c>
      <c r="CE105" s="113">
        <f t="shared" ref="CE105" si="655">AO105</f>
        <v>282</v>
      </c>
      <c r="CF105" s="114">
        <f t="shared" ref="CF105" si="656">AS105</f>
        <v>321</v>
      </c>
      <c r="CG105" s="113">
        <f t="shared" ref="CG105" si="657">AW105</f>
        <v>346</v>
      </c>
      <c r="CH105" s="111">
        <f t="shared" ref="CH105" si="658">G105</f>
        <v>69</v>
      </c>
      <c r="CI105" s="113">
        <f t="shared" ref="CI105" si="659">K105</f>
        <v>73</v>
      </c>
      <c r="CJ105" s="114">
        <f t="shared" ref="CJ105" si="660">O105</f>
        <v>104</v>
      </c>
      <c r="CK105" s="114">
        <f t="shared" ref="CK105" si="661">S105</f>
        <v>109</v>
      </c>
      <c r="CL105" s="114">
        <f t="shared" ref="CL105" si="662">W105</f>
        <v>145</v>
      </c>
      <c r="CM105" s="114">
        <f t="shared" ref="CM105" si="663">AA105</f>
        <v>153</v>
      </c>
      <c r="CN105" s="114">
        <f t="shared" ref="CN105" si="664">AE105</f>
        <v>180</v>
      </c>
      <c r="CO105" s="114">
        <f t="shared" ref="CO105" si="665">AI105</f>
        <v>201</v>
      </c>
      <c r="CP105" s="114">
        <f t="shared" ref="CP105" si="666">AM105</f>
        <v>273</v>
      </c>
      <c r="CQ105" s="114">
        <f t="shared" ref="CQ105" si="667">AQ105</f>
        <v>316</v>
      </c>
      <c r="CR105" s="114">
        <f t="shared" ref="CR105" si="668">AU105</f>
        <v>345</v>
      </c>
      <c r="CS105" s="114">
        <f t="shared" ref="CS105" si="669">AY105</f>
        <v>357</v>
      </c>
      <c r="CT105" s="109">
        <f t="shared" ref="CT105" si="670">M105-K105</f>
        <v>1</v>
      </c>
    </row>
    <row r="106" spans="1:1029" s="12" customFormat="1" x14ac:dyDescent="0.2">
      <c r="A106" s="9" t="str">
        <f t="shared" ref="A106" si="671">CONCATENATE(B106,"_",C106)</f>
        <v>adrb1_melga_6H7L</v>
      </c>
      <c r="B106" s="9" t="s">
        <v>912</v>
      </c>
      <c r="C106" s="9" t="s">
        <v>1521</v>
      </c>
      <c r="D106" s="9" t="str">
        <f>IFERROR(MID(VLOOKUP($B106,Seqs!$A:$B,2,0),E106,1),"")</f>
        <v>W</v>
      </c>
      <c r="E106" s="9">
        <v>40</v>
      </c>
      <c r="F106" s="9" t="str">
        <f>IFERROR(MID(VLOOKUP($B106,Seqs!$A:$B,2,0),G106,1),"")</f>
        <v>T</v>
      </c>
      <c r="G106" s="9">
        <v>69</v>
      </c>
      <c r="H106" s="9" t="str">
        <f>IFERROR(MID(VLOOKUP($B106,Seqs!$A:$B,2,0),I106,1),"")</f>
        <v>Q</v>
      </c>
      <c r="I106" s="109">
        <v>70</v>
      </c>
      <c r="J106" s="9" t="str">
        <f>IFERROR(MID(VLOOKUP($B106,Seqs!$A:$B,2,0),K106,1),"")</f>
        <v>Q</v>
      </c>
      <c r="K106" s="109">
        <v>73</v>
      </c>
      <c r="L106" s="9" t="str">
        <f>IFERROR(MID(VLOOKUP($B106,Seqs!$A:$B,2,0),M106,1),"")</f>
        <v>T</v>
      </c>
      <c r="M106" s="9">
        <v>74</v>
      </c>
      <c r="N106" s="9" t="str">
        <f>IFERROR(MID(VLOOKUP($B106,Seqs!$A:$B,2,0),O106,1),"")</f>
        <v>R</v>
      </c>
      <c r="O106" s="9">
        <v>104</v>
      </c>
      <c r="P106" s="9" t="str">
        <f>IFERROR(MID(VLOOKUP($B106,Seqs!$A:$B,2,0),Q106,1),"")</f>
        <v>T</v>
      </c>
      <c r="Q106" s="9">
        <v>106</v>
      </c>
      <c r="R106" s="9" t="str">
        <f>IFERROR(MID(VLOOKUP($B106,Seqs!$A:$B,2,0),S106,1),"")</f>
        <v>W</v>
      </c>
      <c r="S106" s="9">
        <v>109</v>
      </c>
      <c r="T106" s="9" t="str">
        <f>IFERROR(MID(VLOOKUP($B106,Seqs!$A:$B,2,0),U106,1),"")</f>
        <v>G</v>
      </c>
      <c r="U106" s="9">
        <v>110</v>
      </c>
      <c r="V106" s="9" t="str">
        <f>IFERROR(MID(VLOOKUP($B106,Seqs!$A:$B,2,0),W106,1),"")</f>
        <v>S</v>
      </c>
      <c r="W106" s="9">
        <v>145</v>
      </c>
      <c r="X106" s="9" t="str">
        <f>IFERROR(MID(VLOOKUP($B106,Seqs!$A:$B,2,0),Y106,1),"")</f>
        <v>P</v>
      </c>
      <c r="Y106" s="9">
        <v>146</v>
      </c>
      <c r="Z106" s="9" t="str">
        <f>IFERROR(MID(VLOOKUP($B106,Seqs!$A:$B,2,0),AA106,1),"")</f>
        <v>M</v>
      </c>
      <c r="AA106" s="9">
        <v>153</v>
      </c>
      <c r="AB106" s="9" t="str">
        <f>IFERROR(MID(VLOOKUP($B106,Seqs!$A:$B,2,0),AC106,1),"")</f>
        <v>T</v>
      </c>
      <c r="AC106" s="9">
        <v>154</v>
      </c>
      <c r="AD106" s="9" t="str">
        <f>IFERROR(MID(VLOOKUP($B106,Seqs!$A:$B,2,0),AE106,1),"")</f>
        <v>H</v>
      </c>
      <c r="AE106" s="9">
        <v>180</v>
      </c>
      <c r="AF106" s="9" t="str">
        <f>IFERROR(MID(VLOOKUP($B106,Seqs!$A:$B,2,0),AG106,1),"")</f>
        <v>C</v>
      </c>
      <c r="AG106" s="9">
        <v>199</v>
      </c>
      <c r="AH106" s="9" t="str">
        <f>IFERROR(MID(VLOOKUP($B106,Seqs!$A:$B,2,0),AI106,1),"")</f>
        <v>F</v>
      </c>
      <c r="AI106" s="9">
        <v>201</v>
      </c>
      <c r="AJ106" s="9" t="str">
        <f>IFERROR(MID(VLOOKUP($B106,Seqs!$A:$B,2,0),AK106,1),"")</f>
        <v>N</v>
      </c>
      <c r="AK106" s="9">
        <v>204</v>
      </c>
      <c r="AL106" s="9" t="str">
        <f>IFERROR(MID(VLOOKUP($B106,Seqs!$A:$B,2,0),AM106,1),"")</f>
        <v>S</v>
      </c>
      <c r="AM106" s="9">
        <v>273</v>
      </c>
      <c r="AN106" s="9" t="str">
        <f>IFERROR(MID(VLOOKUP($B106,Seqs!$A:$B,2,0),AO106,1),"")</f>
        <v>A</v>
      </c>
      <c r="AO106" s="9">
        <v>282</v>
      </c>
      <c r="AP106" s="9" t="str">
        <f>IFERROR(MID(VLOOKUP($B106,Seqs!$A:$B,2,0),AQ106,1),"")</f>
        <v>N</v>
      </c>
      <c r="AQ106" s="9">
        <v>316</v>
      </c>
      <c r="AR106" s="9" t="str">
        <f>IFERROR(MID(VLOOKUP($B106,Seqs!$A:$B,2,0),AS106,1),"")</f>
        <v>P</v>
      </c>
      <c r="AS106" s="9">
        <v>321</v>
      </c>
      <c r="AT106" s="9" t="str">
        <f>IFERROR(MID(VLOOKUP($B106,Seqs!$A:$B,2,0),AU106,1),"")</f>
        <v>R</v>
      </c>
      <c r="AU106" s="9">
        <v>345</v>
      </c>
      <c r="AV106" s="9" t="str">
        <f>IFERROR(MID(VLOOKUP($B106,Seqs!$A:$B,2,0),AW106,1),"")</f>
        <v>S</v>
      </c>
      <c r="AW106" s="9">
        <v>346</v>
      </c>
      <c r="AX106" s="9" t="str">
        <f>IFERROR(MID(VLOOKUP($B106,Seqs!$A:$B,2,0),AY106,1),"")</f>
        <v>L</v>
      </c>
      <c r="AY106" s="9">
        <v>357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" si="672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" si="673">_xlfn.AGGREGATE(9,6,CH106:CS106)-_xlfn.AGGREGATE(9,6,BV106:CG106)+12</f>
        <v>285</v>
      </c>
      <c r="BD106" s="13" t="s">
        <v>23</v>
      </c>
      <c r="BE106" s="9" t="s">
        <v>1292</v>
      </c>
      <c r="BF106" s="120">
        <v>2.7</v>
      </c>
      <c r="BG106" s="51" t="s">
        <v>1</v>
      </c>
      <c r="BH106" s="51" t="s">
        <v>1</v>
      </c>
      <c r="BJ106" s="111" t="s">
        <v>1288</v>
      </c>
      <c r="BK106" s="112" t="s">
        <v>1288</v>
      </c>
      <c r="BL106" s="112" t="s">
        <v>1288</v>
      </c>
      <c r="BM106" s="112" t="s">
        <v>1288</v>
      </c>
      <c r="BN106" s="112" t="s">
        <v>1288</v>
      </c>
      <c r="BO106" s="112" t="s">
        <v>1288</v>
      </c>
      <c r="BP106" s="112" t="s">
        <v>1288</v>
      </c>
      <c r="BQ106" s="112" t="s">
        <v>1288</v>
      </c>
      <c r="BR106" s="112" t="s">
        <v>1288</v>
      </c>
      <c r="BS106" s="112" t="s">
        <v>1288</v>
      </c>
      <c r="BT106" s="112" t="s">
        <v>1288</v>
      </c>
      <c r="BU106" s="112" t="s">
        <v>1288</v>
      </c>
      <c r="BV106" s="111">
        <f t="shared" ref="BV106" si="674">E106</f>
        <v>40</v>
      </c>
      <c r="BW106" s="113">
        <f t="shared" ref="BW106" si="675">I106</f>
        <v>70</v>
      </c>
      <c r="BX106" s="114">
        <f t="shared" ref="BX106" si="676">M106</f>
        <v>74</v>
      </c>
      <c r="BY106" s="113">
        <f t="shared" ref="BY106" si="677">Q106</f>
        <v>106</v>
      </c>
      <c r="BZ106" s="114">
        <f t="shared" ref="BZ106" si="678">U106</f>
        <v>110</v>
      </c>
      <c r="CA106" s="113">
        <f t="shared" ref="CA106" si="679">Y106</f>
        <v>146</v>
      </c>
      <c r="CB106" s="114">
        <f t="shared" ref="CB106" si="680">AC106</f>
        <v>154</v>
      </c>
      <c r="CC106" s="113">
        <f t="shared" ref="CC106" si="681">AG106</f>
        <v>199</v>
      </c>
      <c r="CD106" s="114">
        <f t="shared" ref="CD106" si="682">AK106</f>
        <v>204</v>
      </c>
      <c r="CE106" s="113">
        <f t="shared" ref="CE106" si="683">AO106</f>
        <v>282</v>
      </c>
      <c r="CF106" s="114">
        <f t="shared" ref="CF106" si="684">AS106</f>
        <v>321</v>
      </c>
      <c r="CG106" s="113">
        <f t="shared" ref="CG106" si="685">AW106</f>
        <v>346</v>
      </c>
      <c r="CH106" s="111">
        <f t="shared" ref="CH106" si="686">G106</f>
        <v>69</v>
      </c>
      <c r="CI106" s="113">
        <f t="shared" ref="CI106" si="687">K106</f>
        <v>73</v>
      </c>
      <c r="CJ106" s="114">
        <f t="shared" ref="CJ106" si="688">O106</f>
        <v>104</v>
      </c>
      <c r="CK106" s="114">
        <f t="shared" ref="CK106" si="689">S106</f>
        <v>109</v>
      </c>
      <c r="CL106" s="114">
        <f t="shared" ref="CL106" si="690">W106</f>
        <v>145</v>
      </c>
      <c r="CM106" s="114">
        <f t="shared" ref="CM106" si="691">AA106</f>
        <v>153</v>
      </c>
      <c r="CN106" s="114">
        <f t="shared" ref="CN106" si="692">AE106</f>
        <v>180</v>
      </c>
      <c r="CO106" s="114">
        <f t="shared" ref="CO106" si="693">AI106</f>
        <v>201</v>
      </c>
      <c r="CP106" s="114">
        <f t="shared" ref="CP106" si="694">AM106</f>
        <v>273</v>
      </c>
      <c r="CQ106" s="114">
        <f t="shared" ref="CQ106" si="695">AQ106</f>
        <v>316</v>
      </c>
      <c r="CR106" s="114">
        <f t="shared" ref="CR106" si="696">AU106</f>
        <v>345</v>
      </c>
      <c r="CS106" s="114">
        <f t="shared" ref="CS106" si="697">AY106</f>
        <v>357</v>
      </c>
      <c r="CT106" s="109">
        <f t="shared" ref="CT106" si="698">M106-K106</f>
        <v>1</v>
      </c>
    </row>
    <row r="107" spans="1:1029" s="12" customFormat="1" x14ac:dyDescent="0.2">
      <c r="A107" s="9" t="str">
        <f t="shared" ref="A107" si="699">CONCATENATE(B107,"_",C107)</f>
        <v>adrb1_melga_6H7M</v>
      </c>
      <c r="B107" s="9" t="s">
        <v>912</v>
      </c>
      <c r="C107" s="9" t="s">
        <v>1522</v>
      </c>
      <c r="D107" s="9" t="str">
        <f>IFERROR(MID(VLOOKUP($B107,Seqs!$A:$B,2,0),E107,1),"")</f>
        <v>W</v>
      </c>
      <c r="E107" s="9">
        <v>40</v>
      </c>
      <c r="F107" s="9" t="str">
        <f>IFERROR(MID(VLOOKUP($B107,Seqs!$A:$B,2,0),G107,1),"")</f>
        <v>T</v>
      </c>
      <c r="G107" s="9">
        <v>69</v>
      </c>
      <c r="H107" s="9" t="str">
        <f>IFERROR(MID(VLOOKUP($B107,Seqs!$A:$B,2,0),I107,1),"")</f>
        <v>Q</v>
      </c>
      <c r="I107" s="109">
        <v>70</v>
      </c>
      <c r="J107" s="9" t="str">
        <f>IFERROR(MID(VLOOKUP($B107,Seqs!$A:$B,2,0),K107,1),"")</f>
        <v>Q</v>
      </c>
      <c r="K107" s="109">
        <v>73</v>
      </c>
      <c r="L107" s="9" t="str">
        <f>IFERROR(MID(VLOOKUP($B107,Seqs!$A:$B,2,0),M107,1),"")</f>
        <v>T</v>
      </c>
      <c r="M107" s="9">
        <v>74</v>
      </c>
      <c r="N107" s="9" t="str">
        <f>IFERROR(MID(VLOOKUP($B107,Seqs!$A:$B,2,0),O107,1),"")</f>
        <v>R</v>
      </c>
      <c r="O107" s="9">
        <v>104</v>
      </c>
      <c r="P107" s="9" t="str">
        <f>IFERROR(MID(VLOOKUP($B107,Seqs!$A:$B,2,0),Q107,1),"")</f>
        <v>T</v>
      </c>
      <c r="Q107" s="9">
        <v>106</v>
      </c>
      <c r="R107" s="9" t="str">
        <f>IFERROR(MID(VLOOKUP($B107,Seqs!$A:$B,2,0),S107,1),"")</f>
        <v>W</v>
      </c>
      <c r="S107" s="9">
        <v>109</v>
      </c>
      <c r="T107" s="9" t="str">
        <f>IFERROR(MID(VLOOKUP($B107,Seqs!$A:$B,2,0),U107,1),"")</f>
        <v>G</v>
      </c>
      <c r="U107" s="9">
        <v>110</v>
      </c>
      <c r="V107" s="9" t="str">
        <f>IFERROR(MID(VLOOKUP($B107,Seqs!$A:$B,2,0),W107,1),"")</f>
        <v>S</v>
      </c>
      <c r="W107" s="9">
        <v>145</v>
      </c>
      <c r="X107" s="9" t="str">
        <f>IFERROR(MID(VLOOKUP($B107,Seqs!$A:$B,2,0),Y107,1),"")</f>
        <v>P</v>
      </c>
      <c r="Y107" s="9">
        <v>146</v>
      </c>
      <c r="Z107" s="9" t="str">
        <f>IFERROR(MID(VLOOKUP($B107,Seqs!$A:$B,2,0),AA107,1),"")</f>
        <v>M</v>
      </c>
      <c r="AA107" s="9">
        <v>153</v>
      </c>
      <c r="AB107" s="9" t="str">
        <f>IFERROR(MID(VLOOKUP($B107,Seqs!$A:$B,2,0),AC107,1),"")</f>
        <v>T</v>
      </c>
      <c r="AC107" s="9">
        <v>154</v>
      </c>
      <c r="AD107" s="9" t="str">
        <f>IFERROR(MID(VLOOKUP($B107,Seqs!$A:$B,2,0),AE107,1),"")</f>
        <v>H</v>
      </c>
      <c r="AE107" s="9">
        <v>180</v>
      </c>
      <c r="AF107" s="9" t="str">
        <f>IFERROR(MID(VLOOKUP($B107,Seqs!$A:$B,2,0),AG107,1),"")</f>
        <v>C</v>
      </c>
      <c r="AG107" s="9">
        <v>199</v>
      </c>
      <c r="AH107" s="9" t="str">
        <f>IFERROR(MID(VLOOKUP($B107,Seqs!$A:$B,2,0),AI107,1),"")</f>
        <v>F</v>
      </c>
      <c r="AI107" s="9">
        <v>201</v>
      </c>
      <c r="AJ107" s="9" t="str">
        <f>IFERROR(MID(VLOOKUP($B107,Seqs!$A:$B,2,0),AK107,1),"")</f>
        <v>N</v>
      </c>
      <c r="AK107" s="9">
        <v>204</v>
      </c>
      <c r="AL107" s="9" t="str">
        <f>IFERROR(MID(VLOOKUP($B107,Seqs!$A:$B,2,0),AM107,1),"")</f>
        <v>S</v>
      </c>
      <c r="AM107" s="9">
        <v>273</v>
      </c>
      <c r="AN107" s="9" t="str">
        <f>IFERROR(MID(VLOOKUP($B107,Seqs!$A:$B,2,0),AO107,1),"")</f>
        <v>A</v>
      </c>
      <c r="AO107" s="9">
        <v>282</v>
      </c>
      <c r="AP107" s="9" t="str">
        <f>IFERROR(MID(VLOOKUP($B107,Seqs!$A:$B,2,0),AQ107,1),"")</f>
        <v>N</v>
      </c>
      <c r="AQ107" s="9">
        <v>316</v>
      </c>
      <c r="AR107" s="9" t="str">
        <f>IFERROR(MID(VLOOKUP($B107,Seqs!$A:$B,2,0),AS107,1),"")</f>
        <v>P</v>
      </c>
      <c r="AS107" s="9">
        <v>321</v>
      </c>
      <c r="AT107" s="9" t="str">
        <f>IFERROR(MID(VLOOKUP($B107,Seqs!$A:$B,2,0),AU107,1),"")</f>
        <v>R</v>
      </c>
      <c r="AU107" s="9">
        <v>345</v>
      </c>
      <c r="AV107" s="9" t="str">
        <f>IFERROR(MID(VLOOKUP($B107,Seqs!$A:$B,2,0),AW107,1),"")</f>
        <v>S</v>
      </c>
      <c r="AW107" s="9">
        <v>346</v>
      </c>
      <c r="AX107" s="9" t="str">
        <f>IFERROR(MID(VLOOKUP($B107,Seqs!$A:$B,2,0),AY107,1),"")</f>
        <v>L</v>
      </c>
      <c r="AY107" s="9">
        <v>357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70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701">_xlfn.AGGREGATE(9,6,CH107:CS107)-_xlfn.AGGREGATE(9,6,BV107:CG107)+12</f>
        <v>285</v>
      </c>
      <c r="BD107" s="13" t="s">
        <v>23</v>
      </c>
      <c r="BE107" s="9" t="s">
        <v>1292</v>
      </c>
      <c r="BF107" s="120">
        <v>2.76</v>
      </c>
      <c r="BG107" s="51" t="s">
        <v>1</v>
      </c>
      <c r="BH107" s="51" t="s">
        <v>1</v>
      </c>
      <c r="BJ107" s="111" t="s">
        <v>1288</v>
      </c>
      <c r="BK107" s="112" t="s">
        <v>1288</v>
      </c>
      <c r="BL107" s="112" t="s">
        <v>1288</v>
      </c>
      <c r="BM107" s="112" t="s">
        <v>1288</v>
      </c>
      <c r="BN107" s="112" t="s">
        <v>1288</v>
      </c>
      <c r="BO107" s="112" t="s">
        <v>1288</v>
      </c>
      <c r="BP107" s="112" t="s">
        <v>1288</v>
      </c>
      <c r="BQ107" s="112" t="s">
        <v>1288</v>
      </c>
      <c r="BR107" s="112" t="s">
        <v>1288</v>
      </c>
      <c r="BS107" s="112" t="s">
        <v>1288</v>
      </c>
      <c r="BT107" s="112" t="s">
        <v>1288</v>
      </c>
      <c r="BU107" s="112" t="s">
        <v>1288</v>
      </c>
      <c r="BV107" s="111">
        <f t="shared" ref="BV107" si="702">E107</f>
        <v>40</v>
      </c>
      <c r="BW107" s="113">
        <f t="shared" ref="BW107" si="703">I107</f>
        <v>70</v>
      </c>
      <c r="BX107" s="114">
        <f t="shared" ref="BX107" si="704">M107</f>
        <v>74</v>
      </c>
      <c r="BY107" s="113">
        <f t="shared" ref="BY107" si="705">Q107</f>
        <v>106</v>
      </c>
      <c r="BZ107" s="114">
        <f t="shared" ref="BZ107" si="706">U107</f>
        <v>110</v>
      </c>
      <c r="CA107" s="113">
        <f t="shared" ref="CA107" si="707">Y107</f>
        <v>146</v>
      </c>
      <c r="CB107" s="114">
        <f t="shared" ref="CB107" si="708">AC107</f>
        <v>154</v>
      </c>
      <c r="CC107" s="113">
        <f t="shared" ref="CC107" si="709">AG107</f>
        <v>199</v>
      </c>
      <c r="CD107" s="114">
        <f t="shared" ref="CD107" si="710">AK107</f>
        <v>204</v>
      </c>
      <c r="CE107" s="113">
        <f t="shared" ref="CE107" si="711">AO107</f>
        <v>282</v>
      </c>
      <c r="CF107" s="114">
        <f t="shared" ref="CF107" si="712">AS107</f>
        <v>321</v>
      </c>
      <c r="CG107" s="113">
        <f t="shared" ref="CG107" si="713">AW107</f>
        <v>346</v>
      </c>
      <c r="CH107" s="111">
        <f t="shared" ref="CH107" si="714">G107</f>
        <v>69</v>
      </c>
      <c r="CI107" s="113">
        <f t="shared" ref="CI107" si="715">K107</f>
        <v>73</v>
      </c>
      <c r="CJ107" s="114">
        <f t="shared" ref="CJ107" si="716">O107</f>
        <v>104</v>
      </c>
      <c r="CK107" s="114">
        <f t="shared" ref="CK107" si="717">S107</f>
        <v>109</v>
      </c>
      <c r="CL107" s="114">
        <f t="shared" ref="CL107" si="718">W107</f>
        <v>145</v>
      </c>
      <c r="CM107" s="114">
        <f t="shared" ref="CM107" si="719">AA107</f>
        <v>153</v>
      </c>
      <c r="CN107" s="114">
        <f t="shared" ref="CN107" si="720">AE107</f>
        <v>180</v>
      </c>
      <c r="CO107" s="114">
        <f t="shared" ref="CO107" si="721">AI107</f>
        <v>201</v>
      </c>
      <c r="CP107" s="114">
        <f t="shared" ref="CP107" si="722">AM107</f>
        <v>273</v>
      </c>
      <c r="CQ107" s="114">
        <f t="shared" ref="CQ107" si="723">AQ107</f>
        <v>316</v>
      </c>
      <c r="CR107" s="114">
        <f t="shared" ref="CR107" si="724">AU107</f>
        <v>345</v>
      </c>
      <c r="CS107" s="114">
        <f t="shared" ref="CS107" si="725">AY107</f>
        <v>357</v>
      </c>
      <c r="CT107" s="109">
        <f t="shared" ref="CT107" si="726">M107-K107</f>
        <v>1</v>
      </c>
    </row>
    <row r="108" spans="1:1029" s="12" customFormat="1" x14ac:dyDescent="0.2">
      <c r="A108" s="9" t="str">
        <f t="shared" ref="A108" si="727">CONCATENATE(B108,"_",C108)</f>
        <v>adrb1_melga_6H7N</v>
      </c>
      <c r="B108" s="9" t="s">
        <v>912</v>
      </c>
      <c r="C108" s="9" t="s">
        <v>1523</v>
      </c>
      <c r="D108" s="9" t="str">
        <f>IFERROR(MID(VLOOKUP($B108,Seqs!$A:$B,2,0),E108,1),"")</f>
        <v>W</v>
      </c>
      <c r="E108" s="9">
        <v>40</v>
      </c>
      <c r="F108" s="9" t="str">
        <f>IFERROR(MID(VLOOKUP($B108,Seqs!$A:$B,2,0),G108,1),"")</f>
        <v>T</v>
      </c>
      <c r="G108" s="9">
        <v>69</v>
      </c>
      <c r="H108" s="9" t="str">
        <f>IFERROR(MID(VLOOKUP($B108,Seqs!$A:$B,2,0),I108,1),"")</f>
        <v>Q</v>
      </c>
      <c r="I108" s="109">
        <v>70</v>
      </c>
      <c r="J108" s="9" t="str">
        <f>IFERROR(MID(VLOOKUP($B108,Seqs!$A:$B,2,0),K108,1),"")</f>
        <v>Q</v>
      </c>
      <c r="K108" s="109">
        <v>73</v>
      </c>
      <c r="L108" s="9" t="str">
        <f>IFERROR(MID(VLOOKUP($B108,Seqs!$A:$B,2,0),M108,1),"")</f>
        <v>T</v>
      </c>
      <c r="M108" s="9">
        <v>74</v>
      </c>
      <c r="N108" s="9" t="str">
        <f>IFERROR(MID(VLOOKUP($B108,Seqs!$A:$B,2,0),O108,1),"")</f>
        <v>R</v>
      </c>
      <c r="O108" s="9">
        <v>104</v>
      </c>
      <c r="P108" s="9" t="str">
        <f>IFERROR(MID(VLOOKUP($B108,Seqs!$A:$B,2,0),Q108,1),"")</f>
        <v>T</v>
      </c>
      <c r="Q108" s="9">
        <v>106</v>
      </c>
      <c r="R108" s="9" t="str">
        <f>IFERROR(MID(VLOOKUP($B108,Seqs!$A:$B,2,0),S108,1),"")</f>
        <v>W</v>
      </c>
      <c r="S108" s="9">
        <v>109</v>
      </c>
      <c r="T108" s="9" t="str">
        <f>IFERROR(MID(VLOOKUP($B108,Seqs!$A:$B,2,0),U108,1),"")</f>
        <v>G</v>
      </c>
      <c r="U108" s="9">
        <v>110</v>
      </c>
      <c r="V108" s="9" t="str">
        <f>IFERROR(MID(VLOOKUP($B108,Seqs!$A:$B,2,0),W108,1),"")</f>
        <v>S</v>
      </c>
      <c r="W108" s="9">
        <v>145</v>
      </c>
      <c r="X108" s="9" t="str">
        <f>IFERROR(MID(VLOOKUP($B108,Seqs!$A:$B,2,0),Y108,1),"")</f>
        <v>P</v>
      </c>
      <c r="Y108" s="9">
        <v>146</v>
      </c>
      <c r="Z108" s="9" t="str">
        <f>IFERROR(MID(VLOOKUP($B108,Seqs!$A:$B,2,0),AA108,1),"")</f>
        <v>M</v>
      </c>
      <c r="AA108" s="9">
        <v>153</v>
      </c>
      <c r="AB108" s="9" t="str">
        <f>IFERROR(MID(VLOOKUP($B108,Seqs!$A:$B,2,0),AC108,1),"")</f>
        <v>T</v>
      </c>
      <c r="AC108" s="9">
        <v>154</v>
      </c>
      <c r="AD108" s="9" t="str">
        <f>IFERROR(MID(VLOOKUP($B108,Seqs!$A:$B,2,0),AE108,1),"")</f>
        <v>H</v>
      </c>
      <c r="AE108" s="9">
        <v>180</v>
      </c>
      <c r="AF108" s="9" t="str">
        <f>IFERROR(MID(VLOOKUP($B108,Seqs!$A:$B,2,0),AG108,1),"")</f>
        <v>C</v>
      </c>
      <c r="AG108" s="9">
        <v>199</v>
      </c>
      <c r="AH108" s="9" t="str">
        <f>IFERROR(MID(VLOOKUP($B108,Seqs!$A:$B,2,0),AI108,1),"")</f>
        <v>F</v>
      </c>
      <c r="AI108" s="9">
        <v>201</v>
      </c>
      <c r="AJ108" s="9" t="str">
        <f>IFERROR(MID(VLOOKUP($B108,Seqs!$A:$B,2,0),AK108,1),"")</f>
        <v>N</v>
      </c>
      <c r="AK108" s="9">
        <v>204</v>
      </c>
      <c r="AL108" s="9" t="str">
        <f>IFERROR(MID(VLOOKUP($B108,Seqs!$A:$B,2,0),AM108,1),"")</f>
        <v>S</v>
      </c>
      <c r="AM108" s="9">
        <v>273</v>
      </c>
      <c r="AN108" s="9" t="str">
        <f>IFERROR(MID(VLOOKUP($B108,Seqs!$A:$B,2,0),AO108,1),"")</f>
        <v>A</v>
      </c>
      <c r="AO108" s="9">
        <v>282</v>
      </c>
      <c r="AP108" s="9" t="str">
        <f>IFERROR(MID(VLOOKUP($B108,Seqs!$A:$B,2,0),AQ108,1),"")</f>
        <v>N</v>
      </c>
      <c r="AQ108" s="9">
        <v>316</v>
      </c>
      <c r="AR108" s="9" t="str">
        <f>IFERROR(MID(VLOOKUP($B108,Seqs!$A:$B,2,0),AS108,1),"")</f>
        <v>P</v>
      </c>
      <c r="AS108" s="9">
        <v>321</v>
      </c>
      <c r="AT108" s="9" t="str">
        <f>IFERROR(MID(VLOOKUP($B108,Seqs!$A:$B,2,0),AU108,1),"")</f>
        <v>R</v>
      </c>
      <c r="AU108" s="9">
        <v>345</v>
      </c>
      <c r="AV108" s="9" t="str">
        <f>IFERROR(MID(VLOOKUP($B108,Seqs!$A:$B,2,0),AW108,1),"")</f>
        <v>S</v>
      </c>
      <c r="AW108" s="9">
        <v>346</v>
      </c>
      <c r="AX108" s="9" t="str">
        <f>IFERROR(MID(VLOOKUP($B108,Seqs!$A:$B,2,0),AY108,1),"")</f>
        <v>L</v>
      </c>
      <c r="AY108" s="9">
        <v>357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" si="72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" si="729">_xlfn.AGGREGATE(9,6,CH108:CS108)-_xlfn.AGGREGATE(9,6,BV108:CG108)+12</f>
        <v>285</v>
      </c>
      <c r="BD108" s="13" t="s">
        <v>1376</v>
      </c>
      <c r="BE108" s="9" t="s">
        <v>1292</v>
      </c>
      <c r="BF108" s="120">
        <v>2.5</v>
      </c>
      <c r="BG108" s="51" t="s">
        <v>1</v>
      </c>
      <c r="BH108" s="51" t="s">
        <v>1</v>
      </c>
      <c r="BJ108" s="111" t="s">
        <v>1288</v>
      </c>
      <c r="BK108" s="112" t="s">
        <v>1288</v>
      </c>
      <c r="BL108" s="112" t="s">
        <v>1288</v>
      </c>
      <c r="BM108" s="112" t="s">
        <v>1288</v>
      </c>
      <c r="BN108" s="112" t="s">
        <v>1288</v>
      </c>
      <c r="BO108" s="112" t="s">
        <v>1288</v>
      </c>
      <c r="BP108" s="112" t="s">
        <v>1288</v>
      </c>
      <c r="BQ108" s="112" t="s">
        <v>1288</v>
      </c>
      <c r="BR108" s="112" t="s">
        <v>1288</v>
      </c>
      <c r="BS108" s="112" t="s">
        <v>1288</v>
      </c>
      <c r="BT108" s="112" t="s">
        <v>1288</v>
      </c>
      <c r="BU108" s="112" t="s">
        <v>1288</v>
      </c>
      <c r="BV108" s="111">
        <f t="shared" ref="BV108" si="730">E108</f>
        <v>40</v>
      </c>
      <c r="BW108" s="113">
        <f t="shared" ref="BW108" si="731">I108</f>
        <v>70</v>
      </c>
      <c r="BX108" s="114">
        <f t="shared" ref="BX108" si="732">M108</f>
        <v>74</v>
      </c>
      <c r="BY108" s="113">
        <f t="shared" ref="BY108" si="733">Q108</f>
        <v>106</v>
      </c>
      <c r="BZ108" s="114">
        <f t="shared" ref="BZ108" si="734">U108</f>
        <v>110</v>
      </c>
      <c r="CA108" s="113">
        <f t="shared" ref="CA108" si="735">Y108</f>
        <v>146</v>
      </c>
      <c r="CB108" s="114">
        <f t="shared" ref="CB108" si="736">AC108</f>
        <v>154</v>
      </c>
      <c r="CC108" s="113">
        <f t="shared" ref="CC108" si="737">AG108</f>
        <v>199</v>
      </c>
      <c r="CD108" s="114">
        <f t="shared" ref="CD108" si="738">AK108</f>
        <v>204</v>
      </c>
      <c r="CE108" s="113">
        <f t="shared" ref="CE108" si="739">AO108</f>
        <v>282</v>
      </c>
      <c r="CF108" s="114">
        <f t="shared" ref="CF108" si="740">AS108</f>
        <v>321</v>
      </c>
      <c r="CG108" s="113">
        <f t="shared" ref="CG108" si="741">AW108</f>
        <v>346</v>
      </c>
      <c r="CH108" s="111">
        <f t="shared" ref="CH108" si="742">G108</f>
        <v>69</v>
      </c>
      <c r="CI108" s="113">
        <f t="shared" ref="CI108" si="743">K108</f>
        <v>73</v>
      </c>
      <c r="CJ108" s="114">
        <f t="shared" ref="CJ108" si="744">O108</f>
        <v>104</v>
      </c>
      <c r="CK108" s="114">
        <f t="shared" ref="CK108" si="745">S108</f>
        <v>109</v>
      </c>
      <c r="CL108" s="114">
        <f t="shared" ref="CL108" si="746">W108</f>
        <v>145</v>
      </c>
      <c r="CM108" s="114">
        <f t="shared" ref="CM108" si="747">AA108</f>
        <v>153</v>
      </c>
      <c r="CN108" s="114">
        <f t="shared" ref="CN108" si="748">AE108</f>
        <v>180</v>
      </c>
      <c r="CO108" s="114">
        <f t="shared" ref="CO108" si="749">AI108</f>
        <v>201</v>
      </c>
      <c r="CP108" s="114">
        <f t="shared" ref="CP108" si="750">AM108</f>
        <v>273</v>
      </c>
      <c r="CQ108" s="114">
        <f t="shared" ref="CQ108" si="751">AQ108</f>
        <v>316</v>
      </c>
      <c r="CR108" s="114">
        <f t="shared" ref="CR108" si="752">AU108</f>
        <v>345</v>
      </c>
      <c r="CS108" s="114">
        <f t="shared" ref="CS108" si="753">AY108</f>
        <v>357</v>
      </c>
      <c r="CT108" s="109">
        <f t="shared" ref="CT108" si="754">M108-K108</f>
        <v>1</v>
      </c>
    </row>
    <row r="109" spans="1:1029" s="12" customFormat="1" x14ac:dyDescent="0.2">
      <c r="A109" s="9" t="str">
        <f t="shared" ref="A109" si="755">CONCATENATE(B109,"_",C109)</f>
        <v>adrb1_melga_6H7O</v>
      </c>
      <c r="B109" s="9" t="s">
        <v>912</v>
      </c>
      <c r="C109" s="9" t="s">
        <v>1524</v>
      </c>
      <c r="D109" s="9" t="str">
        <f>IFERROR(MID(VLOOKUP($B109,Seqs!$A:$B,2,0),E109,1),"")</f>
        <v>W</v>
      </c>
      <c r="E109" s="9">
        <v>40</v>
      </c>
      <c r="F109" s="9" t="str">
        <f>IFERROR(MID(VLOOKUP($B109,Seqs!$A:$B,2,0),G109,1),"")</f>
        <v>T</v>
      </c>
      <c r="G109" s="9">
        <v>69</v>
      </c>
      <c r="H109" s="9" t="str">
        <f>IFERROR(MID(VLOOKUP($B109,Seqs!$A:$B,2,0),I109,1),"")</f>
        <v>Q</v>
      </c>
      <c r="I109" s="109">
        <v>70</v>
      </c>
      <c r="J109" s="9" t="str">
        <f>IFERROR(MID(VLOOKUP($B109,Seqs!$A:$B,2,0),K109,1),"")</f>
        <v>Q</v>
      </c>
      <c r="K109" s="109">
        <v>73</v>
      </c>
      <c r="L109" s="9" t="str">
        <f>IFERROR(MID(VLOOKUP($B109,Seqs!$A:$B,2,0),M109,1),"")</f>
        <v>T</v>
      </c>
      <c r="M109" s="9">
        <v>74</v>
      </c>
      <c r="N109" s="9" t="str">
        <f>IFERROR(MID(VLOOKUP($B109,Seqs!$A:$B,2,0),O109,1),"")</f>
        <v>R</v>
      </c>
      <c r="O109" s="9">
        <v>104</v>
      </c>
      <c r="P109" s="9" t="str">
        <f>IFERROR(MID(VLOOKUP($B109,Seqs!$A:$B,2,0),Q109,1),"")</f>
        <v>T</v>
      </c>
      <c r="Q109" s="9">
        <v>106</v>
      </c>
      <c r="R109" s="9" t="str">
        <f>IFERROR(MID(VLOOKUP($B109,Seqs!$A:$B,2,0),S109,1),"")</f>
        <v>W</v>
      </c>
      <c r="S109" s="9">
        <v>109</v>
      </c>
      <c r="T109" s="9" t="str">
        <f>IFERROR(MID(VLOOKUP($B109,Seqs!$A:$B,2,0),U109,1),"")</f>
        <v>G</v>
      </c>
      <c r="U109" s="9">
        <v>110</v>
      </c>
      <c r="V109" s="9" t="str">
        <f>IFERROR(MID(VLOOKUP($B109,Seqs!$A:$B,2,0),W109,1),"")</f>
        <v>S</v>
      </c>
      <c r="W109" s="9">
        <v>145</v>
      </c>
      <c r="X109" s="9" t="str">
        <f>IFERROR(MID(VLOOKUP($B109,Seqs!$A:$B,2,0),Y109,1),"")</f>
        <v>P</v>
      </c>
      <c r="Y109" s="9">
        <v>146</v>
      </c>
      <c r="Z109" s="9" t="str">
        <f>IFERROR(MID(VLOOKUP($B109,Seqs!$A:$B,2,0),AA109,1),"")</f>
        <v>M</v>
      </c>
      <c r="AA109" s="9">
        <v>153</v>
      </c>
      <c r="AB109" s="9" t="str">
        <f>IFERROR(MID(VLOOKUP($B109,Seqs!$A:$B,2,0),AC109,1),"")</f>
        <v>T</v>
      </c>
      <c r="AC109" s="9">
        <v>154</v>
      </c>
      <c r="AD109" s="9" t="str">
        <f>IFERROR(MID(VLOOKUP($B109,Seqs!$A:$B,2,0),AE109,1),"")</f>
        <v>H</v>
      </c>
      <c r="AE109" s="9">
        <v>180</v>
      </c>
      <c r="AF109" s="9" t="str">
        <f>IFERROR(MID(VLOOKUP($B109,Seqs!$A:$B,2,0),AG109,1),"")</f>
        <v>C</v>
      </c>
      <c r="AG109" s="9">
        <v>199</v>
      </c>
      <c r="AH109" s="9" t="str">
        <f>IFERROR(MID(VLOOKUP($B109,Seqs!$A:$B,2,0),AI109,1),"")</f>
        <v>F</v>
      </c>
      <c r="AI109" s="9">
        <v>201</v>
      </c>
      <c r="AJ109" s="9" t="str">
        <f>IFERROR(MID(VLOOKUP($B109,Seqs!$A:$B,2,0),AK109,1),"")</f>
        <v>N</v>
      </c>
      <c r="AK109" s="9">
        <v>204</v>
      </c>
      <c r="AL109" s="9" t="str">
        <f>IFERROR(MID(VLOOKUP($B109,Seqs!$A:$B,2,0),AM109,1),"")</f>
        <v>S</v>
      </c>
      <c r="AM109" s="9">
        <v>273</v>
      </c>
      <c r="AN109" s="9" t="str">
        <f>IFERROR(MID(VLOOKUP($B109,Seqs!$A:$B,2,0),AO109,1),"")</f>
        <v>A</v>
      </c>
      <c r="AO109" s="9">
        <v>282</v>
      </c>
      <c r="AP109" s="9" t="str">
        <f>IFERROR(MID(VLOOKUP($B109,Seqs!$A:$B,2,0),AQ109,1),"")</f>
        <v>N</v>
      </c>
      <c r="AQ109" s="9">
        <v>316</v>
      </c>
      <c r="AR109" s="9" t="str">
        <f>IFERROR(MID(VLOOKUP($B109,Seqs!$A:$B,2,0),AS109,1),"")</f>
        <v>P</v>
      </c>
      <c r="AS109" s="9">
        <v>321</v>
      </c>
      <c r="AT109" s="9" t="str">
        <f>IFERROR(MID(VLOOKUP($B109,Seqs!$A:$B,2,0),AU109,1),"")</f>
        <v>R</v>
      </c>
      <c r="AU109" s="9">
        <v>345</v>
      </c>
      <c r="AV109" s="9" t="str">
        <f>IFERROR(MID(VLOOKUP($B109,Seqs!$A:$B,2,0),AW109,1),"")</f>
        <v>S</v>
      </c>
      <c r="AW109" s="9">
        <v>346</v>
      </c>
      <c r="AX109" s="9" t="str">
        <f>IFERROR(MID(VLOOKUP($B109,Seqs!$A:$B,2,0),AY109,1),"")</f>
        <v>L</v>
      </c>
      <c r="AY109" s="9">
        <v>357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ref="BB109" si="756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09">
        <f t="shared" ref="BC109" si="757">_xlfn.AGGREGATE(9,6,CH109:CS109)-_xlfn.AGGREGATE(9,6,BV109:CG109)+12</f>
        <v>285</v>
      </c>
      <c r="BD109" s="13" t="s">
        <v>23</v>
      </c>
      <c r="BE109" s="9" t="s">
        <v>1292</v>
      </c>
      <c r="BF109" s="120">
        <v>2.8</v>
      </c>
      <c r="BG109" s="51" t="s">
        <v>1</v>
      </c>
      <c r="BH109" s="51" t="s">
        <v>1</v>
      </c>
      <c r="BJ109" s="111" t="s">
        <v>1288</v>
      </c>
      <c r="BK109" s="112" t="s">
        <v>1288</v>
      </c>
      <c r="BL109" s="112" t="s">
        <v>1288</v>
      </c>
      <c r="BM109" s="112" t="s">
        <v>1288</v>
      </c>
      <c r="BN109" s="112" t="s">
        <v>1288</v>
      </c>
      <c r="BO109" s="112" t="s">
        <v>1288</v>
      </c>
      <c r="BP109" s="112" t="s">
        <v>1288</v>
      </c>
      <c r="BQ109" s="112" t="s">
        <v>1288</v>
      </c>
      <c r="BR109" s="112" t="s">
        <v>1288</v>
      </c>
      <c r="BS109" s="112" t="s">
        <v>1288</v>
      </c>
      <c r="BT109" s="112" t="s">
        <v>1288</v>
      </c>
      <c r="BU109" s="112" t="s">
        <v>1288</v>
      </c>
      <c r="BV109" s="111">
        <f t="shared" ref="BV109" si="758">E109</f>
        <v>40</v>
      </c>
      <c r="BW109" s="113">
        <f t="shared" ref="BW109" si="759">I109</f>
        <v>70</v>
      </c>
      <c r="BX109" s="114">
        <f t="shared" ref="BX109" si="760">M109</f>
        <v>74</v>
      </c>
      <c r="BY109" s="113">
        <f t="shared" ref="BY109" si="761">Q109</f>
        <v>106</v>
      </c>
      <c r="BZ109" s="114">
        <f t="shared" ref="BZ109" si="762">U109</f>
        <v>110</v>
      </c>
      <c r="CA109" s="113">
        <f t="shared" ref="CA109" si="763">Y109</f>
        <v>146</v>
      </c>
      <c r="CB109" s="114">
        <f t="shared" ref="CB109" si="764">AC109</f>
        <v>154</v>
      </c>
      <c r="CC109" s="113">
        <f t="shared" ref="CC109" si="765">AG109</f>
        <v>199</v>
      </c>
      <c r="CD109" s="114">
        <f t="shared" ref="CD109" si="766">AK109</f>
        <v>204</v>
      </c>
      <c r="CE109" s="113">
        <f t="shared" ref="CE109" si="767">AO109</f>
        <v>282</v>
      </c>
      <c r="CF109" s="114">
        <f t="shared" ref="CF109" si="768">AS109</f>
        <v>321</v>
      </c>
      <c r="CG109" s="113">
        <f t="shared" ref="CG109" si="769">AW109</f>
        <v>346</v>
      </c>
      <c r="CH109" s="111">
        <f t="shared" ref="CH109" si="770">G109</f>
        <v>69</v>
      </c>
      <c r="CI109" s="113">
        <f t="shared" ref="CI109" si="771">K109</f>
        <v>73</v>
      </c>
      <c r="CJ109" s="114">
        <f t="shared" ref="CJ109" si="772">O109</f>
        <v>104</v>
      </c>
      <c r="CK109" s="114">
        <f t="shared" ref="CK109" si="773">S109</f>
        <v>109</v>
      </c>
      <c r="CL109" s="114">
        <f t="shared" ref="CL109" si="774">W109</f>
        <v>145</v>
      </c>
      <c r="CM109" s="114">
        <f t="shared" ref="CM109" si="775">AA109</f>
        <v>153</v>
      </c>
      <c r="CN109" s="114">
        <f t="shared" ref="CN109" si="776">AE109</f>
        <v>180</v>
      </c>
      <c r="CO109" s="114">
        <f t="shared" ref="CO109" si="777">AI109</f>
        <v>201</v>
      </c>
      <c r="CP109" s="114">
        <f t="shared" ref="CP109" si="778">AM109</f>
        <v>273</v>
      </c>
      <c r="CQ109" s="114">
        <f t="shared" ref="CQ109" si="779">AQ109</f>
        <v>316</v>
      </c>
      <c r="CR109" s="114">
        <f t="shared" ref="CR109" si="780">AU109</f>
        <v>345</v>
      </c>
      <c r="CS109" s="114">
        <f t="shared" ref="CS109" si="781">AY109</f>
        <v>357</v>
      </c>
      <c r="CT109" s="109">
        <f t="shared" ref="CT109" si="782">M109-K109</f>
        <v>1</v>
      </c>
    </row>
    <row r="110" spans="1:1029" s="12" customFormat="1" x14ac:dyDescent="0.2">
      <c r="A110" s="9" t="str">
        <f t="shared" ref="A110" si="783">CONCATENATE(B110,"_",C110)</f>
        <v>adrb1_melga_6IBL</v>
      </c>
      <c r="B110" s="9" t="s">
        <v>912</v>
      </c>
      <c r="C110" s="9" t="s">
        <v>1551</v>
      </c>
      <c r="D110" s="9" t="str">
        <f>IFERROR(MID(VLOOKUP($B110,Seqs!$A:$B,2,0),E110,1),"")</f>
        <v>E</v>
      </c>
      <c r="E110" s="9">
        <v>41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C</v>
      </c>
      <c r="AU110" s="9">
        <v>344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84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85">_xlfn.AGGREGATE(9,6,CH110:CS110)-_xlfn.AGGREGATE(9,6,BV110:CG110)+12</f>
        <v>283</v>
      </c>
      <c r="BD110" s="13" t="s">
        <v>23</v>
      </c>
      <c r="BE110" s="9" t="s">
        <v>1292</v>
      </c>
      <c r="BF110" s="120">
        <v>2.7</v>
      </c>
      <c r="BG110" s="51" t="s">
        <v>1</v>
      </c>
      <c r="BH110" s="51" t="s">
        <v>1</v>
      </c>
      <c r="BJ110" s="111" t="s">
        <v>1288</v>
      </c>
      <c r="BK110" s="112" t="s">
        <v>1288</v>
      </c>
      <c r="BL110" s="112" t="s">
        <v>1288</v>
      </c>
      <c r="BM110" s="112" t="s">
        <v>1288</v>
      </c>
      <c r="BN110" s="112" t="s">
        <v>1288</v>
      </c>
      <c r="BO110" s="112" t="s">
        <v>1288</v>
      </c>
      <c r="BP110" s="112" t="s">
        <v>1288</v>
      </c>
      <c r="BQ110" s="112" t="s">
        <v>1288</v>
      </c>
      <c r="BR110" s="112" t="s">
        <v>1288</v>
      </c>
      <c r="BS110" s="112" t="s">
        <v>1288</v>
      </c>
      <c r="BT110" s="112" t="s">
        <v>1288</v>
      </c>
      <c r="BU110" s="112" t="s">
        <v>1288</v>
      </c>
      <c r="BV110" s="111">
        <f t="shared" ref="BV110" si="786">E110</f>
        <v>41</v>
      </c>
      <c r="BW110" s="113">
        <f t="shared" ref="BW110" si="787">I110</f>
        <v>70</v>
      </c>
      <c r="BX110" s="114">
        <f t="shared" ref="BX110" si="788">M110</f>
        <v>74</v>
      </c>
      <c r="BY110" s="113">
        <f t="shared" ref="BY110" si="789">Q110</f>
        <v>106</v>
      </c>
      <c r="BZ110" s="114">
        <f t="shared" ref="BZ110" si="790">U110</f>
        <v>110</v>
      </c>
      <c r="CA110" s="113">
        <f t="shared" ref="CA110" si="791">Y110</f>
        <v>146</v>
      </c>
      <c r="CB110" s="114">
        <f t="shared" ref="CB110" si="792">AC110</f>
        <v>154</v>
      </c>
      <c r="CC110" s="113">
        <f t="shared" ref="CC110" si="793">AG110</f>
        <v>199</v>
      </c>
      <c r="CD110" s="114">
        <f t="shared" ref="CD110" si="794">AK110</f>
        <v>204</v>
      </c>
      <c r="CE110" s="113">
        <f t="shared" ref="CE110" si="795">AO110</f>
        <v>282</v>
      </c>
      <c r="CF110" s="114">
        <f t="shared" ref="CF110" si="796">AS110</f>
        <v>321</v>
      </c>
      <c r="CG110" s="113">
        <f t="shared" ref="CG110" si="797">AW110</f>
        <v>346</v>
      </c>
      <c r="CH110" s="111">
        <f t="shared" ref="CH110" si="798">G110</f>
        <v>69</v>
      </c>
      <c r="CI110" s="113">
        <f t="shared" ref="CI110" si="799">K110</f>
        <v>73</v>
      </c>
      <c r="CJ110" s="114">
        <f t="shared" ref="CJ110" si="800">O110</f>
        <v>104</v>
      </c>
      <c r="CK110" s="114">
        <f t="shared" ref="CK110" si="801">S110</f>
        <v>109</v>
      </c>
      <c r="CL110" s="114">
        <f t="shared" ref="CL110" si="802">W110</f>
        <v>145</v>
      </c>
      <c r="CM110" s="114">
        <f t="shared" ref="CM110" si="803">AA110</f>
        <v>153</v>
      </c>
      <c r="CN110" s="114">
        <f t="shared" ref="CN110" si="804">AE110</f>
        <v>180</v>
      </c>
      <c r="CO110" s="114">
        <f t="shared" ref="CO110" si="805">AI110</f>
        <v>201</v>
      </c>
      <c r="CP110" s="114">
        <f t="shared" ref="CP110" si="806">AM110</f>
        <v>273</v>
      </c>
      <c r="CQ110" s="114">
        <f t="shared" ref="CQ110" si="807">AQ110</f>
        <v>316</v>
      </c>
      <c r="CR110" s="114">
        <f t="shared" ref="CR110" si="808">AU110</f>
        <v>344</v>
      </c>
      <c r="CS110" s="114">
        <f t="shared" ref="CS110" si="809">AY110</f>
        <v>357</v>
      </c>
      <c r="CT110" s="109">
        <f t="shared" ref="CT110" si="810">M110-K110</f>
        <v>1</v>
      </c>
    </row>
    <row r="111" spans="1:1029" x14ac:dyDescent="0.2">
      <c r="A111" s="3" t="str">
        <f t="shared" si="419"/>
        <v>adrb2_human__wt</v>
      </c>
      <c r="B111" s="3" t="s">
        <v>126</v>
      </c>
      <c r="C111" s="3" t="s">
        <v>100</v>
      </c>
      <c r="D111" s="3" t="str">
        <f>IFERROR(MID(VLOOKUP($B111,Seqs!$A:$B,2,0),E111,1),"")</f>
        <v>Q</v>
      </c>
      <c r="E111" s="3">
        <v>26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>P</v>
      </c>
      <c r="Y111" s="3">
        <v>138</v>
      </c>
      <c r="Z111" s="3" t="str">
        <f>IFERROR(MID(VLOOKUP($B111,Seqs!$A:$B,2,0),AA111,1),"")</f>
        <v>L</v>
      </c>
      <c r="AA111" s="3">
        <v>145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E</v>
      </c>
      <c r="AM111" s="3">
        <v>237</v>
      </c>
      <c r="AN111" s="3" t="str">
        <f>IFERROR(MID(VLOOKUP($B111,Seqs!$A:$B,2,0),AO111,1),"")</f>
        <v>S</v>
      </c>
      <c r="AO111" s="3">
        <v>262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420"/>
        <v>1</v>
      </c>
      <c r="BC111" s="23">
        <f t="shared" si="617"/>
        <v>267</v>
      </c>
      <c r="BD111" s="56" t="s">
        <v>23</v>
      </c>
      <c r="BE111" s="3" t="s">
        <v>23</v>
      </c>
      <c r="BF111" s="119" t="s">
        <v>23</v>
      </c>
      <c r="BG111" s="49" t="s">
        <v>1373</v>
      </c>
      <c r="BH111" s="49" t="s">
        <v>1378</v>
      </c>
      <c r="BI111" s="3" t="s">
        <v>1166</v>
      </c>
      <c r="BJ111" s="70" t="s">
        <v>1288</v>
      </c>
      <c r="BK111" s="57" t="s">
        <v>1288</v>
      </c>
      <c r="BL111" s="57" t="s">
        <v>1288</v>
      </c>
      <c r="BM111" s="57" t="s">
        <v>1288</v>
      </c>
      <c r="BN111" s="57" t="s">
        <v>1288</v>
      </c>
      <c r="BO111" s="57" t="s">
        <v>1288</v>
      </c>
      <c r="BP111" s="57" t="s">
        <v>1288</v>
      </c>
      <c r="BQ111" s="57" t="s">
        <v>1288</v>
      </c>
      <c r="BR111" s="57" t="s">
        <v>1288</v>
      </c>
      <c r="BS111" s="57" t="s">
        <v>1288</v>
      </c>
      <c r="BT111" s="57" t="s">
        <v>1288</v>
      </c>
      <c r="BU111" s="57" t="s">
        <v>1288</v>
      </c>
      <c r="BV111" s="70">
        <f t="shared" si="618"/>
        <v>26</v>
      </c>
      <c r="BW111" s="71">
        <f t="shared" si="619"/>
        <v>62</v>
      </c>
      <c r="BX111" s="72">
        <f t="shared" si="620"/>
        <v>66</v>
      </c>
      <c r="BY111" s="71">
        <f t="shared" si="621"/>
        <v>98</v>
      </c>
      <c r="BZ111" s="72">
        <f t="shared" si="622"/>
        <v>102</v>
      </c>
      <c r="CA111" s="71">
        <f t="shared" si="623"/>
        <v>138</v>
      </c>
      <c r="CB111" s="72">
        <f t="shared" si="624"/>
        <v>146</v>
      </c>
      <c r="CC111" s="71">
        <f t="shared" si="625"/>
        <v>191</v>
      </c>
      <c r="CD111" s="72">
        <f t="shared" si="626"/>
        <v>196</v>
      </c>
      <c r="CE111" s="71">
        <f t="shared" si="627"/>
        <v>262</v>
      </c>
      <c r="CF111" s="72">
        <f t="shared" si="628"/>
        <v>304</v>
      </c>
      <c r="CG111" s="71">
        <f t="shared" si="629"/>
        <v>329</v>
      </c>
      <c r="CH111" s="70">
        <f t="shared" si="630"/>
        <v>61</v>
      </c>
      <c r="CI111" s="71">
        <f t="shared" si="631"/>
        <v>65</v>
      </c>
      <c r="CJ111" s="72">
        <f t="shared" si="632"/>
        <v>96</v>
      </c>
      <c r="CK111" s="72">
        <f t="shared" si="633"/>
        <v>101</v>
      </c>
      <c r="CL111" s="72">
        <f t="shared" si="634"/>
        <v>137</v>
      </c>
      <c r="CM111" s="72">
        <f t="shared" si="635"/>
        <v>145</v>
      </c>
      <c r="CN111" s="72">
        <f t="shared" si="636"/>
        <v>172</v>
      </c>
      <c r="CO111" s="72">
        <f t="shared" si="637"/>
        <v>193</v>
      </c>
      <c r="CP111" s="72">
        <f t="shared" si="638"/>
        <v>237</v>
      </c>
      <c r="CQ111" s="72">
        <f t="shared" si="639"/>
        <v>299</v>
      </c>
      <c r="CR111" s="72">
        <f t="shared" si="640"/>
        <v>328</v>
      </c>
      <c r="CS111" s="72">
        <f t="shared" si="641"/>
        <v>341</v>
      </c>
      <c r="CT111" s="23">
        <f t="shared" si="642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419"/>
        <v>adrb2_human_2RH1</v>
      </c>
      <c r="B112" s="3" t="s">
        <v>126</v>
      </c>
      <c r="C112" s="3" t="s">
        <v>75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/>
      </c>
      <c r="Y112" s="3" t="s">
        <v>23</v>
      </c>
      <c r="Z112" s="3" t="str">
        <f>IFERROR(MID(VLOOKUP($B112,Seqs!$A:$B,2,0),AA112,1),"")</f>
        <v/>
      </c>
      <c r="AA112" s="3" t="s">
        <v>23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Q</v>
      </c>
      <c r="AM112" s="3">
        <v>229</v>
      </c>
      <c r="AN112" s="3" t="str">
        <f>IFERROR(MID(VLOOKUP($B112,Seqs!$A:$B,2,0),AO112,1),"")</f>
        <v>K</v>
      </c>
      <c r="AO112" s="3">
        <v>267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420"/>
        <v>1</v>
      </c>
      <c r="BC112" s="23">
        <f t="shared" si="617"/>
        <v>244</v>
      </c>
      <c r="BD112" s="4" t="s">
        <v>23</v>
      </c>
      <c r="BE112" s="3" t="s">
        <v>1375</v>
      </c>
      <c r="BF112" s="119">
        <v>2.4</v>
      </c>
      <c r="BG112" s="49" t="s">
        <v>1378</v>
      </c>
      <c r="BH112" s="49" t="s">
        <v>1378</v>
      </c>
      <c r="BI112" s="1"/>
      <c r="BJ112" s="70" t="s">
        <v>1288</v>
      </c>
      <c r="BK112" s="57" t="s">
        <v>1288</v>
      </c>
      <c r="BL112" s="57" t="s">
        <v>1288</v>
      </c>
      <c r="BM112" s="57" t="s">
        <v>1288</v>
      </c>
      <c r="BN112" s="57" t="s">
        <v>1288</v>
      </c>
      <c r="BO112" s="57" t="s">
        <v>1288</v>
      </c>
      <c r="BP112" s="57" t="s">
        <v>1288</v>
      </c>
      <c r="BQ112" s="57" t="s">
        <v>1288</v>
      </c>
      <c r="BR112" s="57" t="s">
        <v>1288</v>
      </c>
      <c r="BS112" s="57" t="s">
        <v>1288</v>
      </c>
      <c r="BT112" s="57" t="s">
        <v>1288</v>
      </c>
      <c r="BU112" s="57" t="s">
        <v>1288</v>
      </c>
      <c r="BV112" s="70">
        <f t="shared" si="618"/>
        <v>29</v>
      </c>
      <c r="BW112" s="71">
        <f t="shared" si="619"/>
        <v>62</v>
      </c>
      <c r="BX112" s="72">
        <f t="shared" si="620"/>
        <v>66</v>
      </c>
      <c r="BY112" s="71">
        <f t="shared" si="621"/>
        <v>98</v>
      </c>
      <c r="BZ112" s="72">
        <f t="shared" si="622"/>
        <v>102</v>
      </c>
      <c r="CA112" s="71" t="str">
        <f t="shared" si="623"/>
        <v>-</v>
      </c>
      <c r="CB112" s="72">
        <f t="shared" si="624"/>
        <v>146</v>
      </c>
      <c r="CC112" s="71">
        <f t="shared" si="625"/>
        <v>191</v>
      </c>
      <c r="CD112" s="72">
        <f t="shared" si="626"/>
        <v>196</v>
      </c>
      <c r="CE112" s="71">
        <f t="shared" si="627"/>
        <v>267</v>
      </c>
      <c r="CF112" s="72">
        <f t="shared" si="628"/>
        <v>304</v>
      </c>
      <c r="CG112" s="71">
        <f t="shared" si="629"/>
        <v>329</v>
      </c>
      <c r="CH112" s="70">
        <f t="shared" si="630"/>
        <v>61</v>
      </c>
      <c r="CI112" s="71">
        <f t="shared" si="631"/>
        <v>65</v>
      </c>
      <c r="CJ112" s="72">
        <f t="shared" si="632"/>
        <v>96</v>
      </c>
      <c r="CK112" s="72">
        <f t="shared" si="633"/>
        <v>101</v>
      </c>
      <c r="CL112" s="72">
        <f t="shared" si="634"/>
        <v>137</v>
      </c>
      <c r="CM112" s="72" t="str">
        <f t="shared" si="635"/>
        <v>-</v>
      </c>
      <c r="CN112" s="72">
        <f t="shared" si="636"/>
        <v>172</v>
      </c>
      <c r="CO112" s="72">
        <f t="shared" si="637"/>
        <v>193</v>
      </c>
      <c r="CP112" s="72">
        <f t="shared" si="638"/>
        <v>229</v>
      </c>
      <c r="CQ112" s="72">
        <f t="shared" si="639"/>
        <v>299</v>
      </c>
      <c r="CR112" s="72">
        <f t="shared" si="640"/>
        <v>328</v>
      </c>
      <c r="CS112" s="72">
        <f t="shared" si="641"/>
        <v>341</v>
      </c>
      <c r="CT112" s="23">
        <f t="shared" si="642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419"/>
        <v>adrb2_human_3D4S</v>
      </c>
      <c r="B113" s="3" t="s">
        <v>126</v>
      </c>
      <c r="C113" s="3" t="s">
        <v>76</v>
      </c>
      <c r="D113" s="3" t="str">
        <f>IFERROR(MID(VLOOKUP($B113,Seqs!$A:$B,2,0),E113,1),"")</f>
        <v>W</v>
      </c>
      <c r="E113" s="3">
        <v>32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K</v>
      </c>
      <c r="AO113" s="3">
        <v>267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420"/>
        <v>1</v>
      </c>
      <c r="BC113" s="23">
        <f t="shared" si="617"/>
        <v>241</v>
      </c>
      <c r="BD113" s="4" t="s">
        <v>23</v>
      </c>
      <c r="BE113" s="3" t="s">
        <v>1375</v>
      </c>
      <c r="BF113" s="119">
        <v>2.8</v>
      </c>
      <c r="BG113" s="49" t="s">
        <v>1378</v>
      </c>
      <c r="BH113" s="49" t="s">
        <v>1378</v>
      </c>
      <c r="BI113" s="1"/>
      <c r="BJ113" s="70" t="s">
        <v>1288</v>
      </c>
      <c r="BK113" s="57" t="s">
        <v>1288</v>
      </c>
      <c r="BL113" s="57" t="s">
        <v>1288</v>
      </c>
      <c r="BM113" s="57" t="s">
        <v>1288</v>
      </c>
      <c r="BN113" s="57" t="s">
        <v>1288</v>
      </c>
      <c r="BO113" s="57" t="s">
        <v>1288</v>
      </c>
      <c r="BP113" s="57" t="s">
        <v>1288</v>
      </c>
      <c r="BQ113" s="57" t="s">
        <v>1288</v>
      </c>
      <c r="BR113" s="57" t="s">
        <v>1288</v>
      </c>
      <c r="BS113" s="57" t="s">
        <v>1288</v>
      </c>
      <c r="BT113" s="57" t="s">
        <v>1288</v>
      </c>
      <c r="BU113" s="57" t="s">
        <v>1288</v>
      </c>
      <c r="BV113" s="70">
        <f t="shared" si="618"/>
        <v>32</v>
      </c>
      <c r="BW113" s="71">
        <f t="shared" si="619"/>
        <v>62</v>
      </c>
      <c r="BX113" s="72">
        <f t="shared" si="620"/>
        <v>66</v>
      </c>
      <c r="BY113" s="71">
        <f t="shared" si="621"/>
        <v>98</v>
      </c>
      <c r="BZ113" s="72">
        <f t="shared" si="622"/>
        <v>102</v>
      </c>
      <c r="CA113" s="71" t="str">
        <f t="shared" si="623"/>
        <v>-</v>
      </c>
      <c r="CB113" s="72">
        <f t="shared" si="624"/>
        <v>146</v>
      </c>
      <c r="CC113" s="71">
        <f t="shared" si="625"/>
        <v>191</v>
      </c>
      <c r="CD113" s="72">
        <f t="shared" si="626"/>
        <v>196</v>
      </c>
      <c r="CE113" s="71">
        <f t="shared" si="627"/>
        <v>267</v>
      </c>
      <c r="CF113" s="72">
        <f t="shared" si="628"/>
        <v>304</v>
      </c>
      <c r="CG113" s="71">
        <f t="shared" si="629"/>
        <v>329</v>
      </c>
      <c r="CH113" s="70">
        <f t="shared" si="630"/>
        <v>61</v>
      </c>
      <c r="CI113" s="71">
        <f t="shared" si="631"/>
        <v>65</v>
      </c>
      <c r="CJ113" s="72">
        <f t="shared" si="632"/>
        <v>96</v>
      </c>
      <c r="CK113" s="72">
        <f t="shared" si="633"/>
        <v>101</v>
      </c>
      <c r="CL113" s="72">
        <f t="shared" si="634"/>
        <v>137</v>
      </c>
      <c r="CM113" s="72" t="str">
        <f t="shared" si="635"/>
        <v>-</v>
      </c>
      <c r="CN113" s="72">
        <f t="shared" si="636"/>
        <v>172</v>
      </c>
      <c r="CO113" s="72">
        <f t="shared" si="637"/>
        <v>193</v>
      </c>
      <c r="CP113" s="72">
        <f t="shared" si="638"/>
        <v>229</v>
      </c>
      <c r="CQ113" s="72">
        <f t="shared" si="639"/>
        <v>299</v>
      </c>
      <c r="CR113" s="72">
        <f t="shared" si="640"/>
        <v>328</v>
      </c>
      <c r="CS113" s="72">
        <f t="shared" si="641"/>
        <v>341</v>
      </c>
      <c r="CT113" s="23">
        <f t="shared" si="642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419"/>
        <v>adrb2_human_3NY8</v>
      </c>
      <c r="B114" s="3" t="s">
        <v>126</v>
      </c>
      <c r="C114" s="3" t="s">
        <v>1334</v>
      </c>
      <c r="D114" s="3" t="str">
        <f>IFERROR(MID(VLOOKUP($B114,Seqs!$A:$B,2,0),E114,1),"")</f>
        <v>W</v>
      </c>
      <c r="E114" s="3">
        <v>32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420"/>
        <v>1</v>
      </c>
      <c r="BC114" s="23">
        <f t="shared" si="617"/>
        <v>241</v>
      </c>
      <c r="BD114" s="4" t="s">
        <v>23</v>
      </c>
      <c r="BE114" s="3" t="s">
        <v>1375</v>
      </c>
      <c r="BF114" s="119">
        <v>2.84</v>
      </c>
      <c r="BG114" s="49" t="s">
        <v>1378</v>
      </c>
      <c r="BH114" s="49" t="s">
        <v>1378</v>
      </c>
      <c r="BI114" s="1"/>
      <c r="BJ114" s="70" t="s">
        <v>1288</v>
      </c>
      <c r="BK114" s="57" t="s">
        <v>1288</v>
      </c>
      <c r="BL114" s="57" t="s">
        <v>1288</v>
      </c>
      <c r="BM114" s="57" t="s">
        <v>1288</v>
      </c>
      <c r="BN114" s="57" t="s">
        <v>1288</v>
      </c>
      <c r="BO114" s="57" t="s">
        <v>1288</v>
      </c>
      <c r="BP114" s="57" t="s">
        <v>1288</v>
      </c>
      <c r="BQ114" s="57" t="s">
        <v>1288</v>
      </c>
      <c r="BR114" s="57" t="s">
        <v>1288</v>
      </c>
      <c r="BS114" s="57" t="s">
        <v>1288</v>
      </c>
      <c r="BT114" s="57" t="s">
        <v>1288</v>
      </c>
      <c r="BU114" s="57" t="s">
        <v>1288</v>
      </c>
      <c r="BV114" s="70">
        <f t="shared" si="618"/>
        <v>32</v>
      </c>
      <c r="BW114" s="71">
        <f t="shared" si="619"/>
        <v>62</v>
      </c>
      <c r="BX114" s="72">
        <f t="shared" si="620"/>
        <v>66</v>
      </c>
      <c r="BY114" s="71">
        <f t="shared" si="621"/>
        <v>98</v>
      </c>
      <c r="BZ114" s="72">
        <f t="shared" si="622"/>
        <v>102</v>
      </c>
      <c r="CA114" s="71" t="str">
        <f t="shared" si="623"/>
        <v>-</v>
      </c>
      <c r="CB114" s="72">
        <f t="shared" si="624"/>
        <v>146</v>
      </c>
      <c r="CC114" s="71">
        <f t="shared" si="625"/>
        <v>191</v>
      </c>
      <c r="CD114" s="72">
        <f t="shared" si="626"/>
        <v>196</v>
      </c>
      <c r="CE114" s="71">
        <f t="shared" si="627"/>
        <v>267</v>
      </c>
      <c r="CF114" s="72">
        <f t="shared" si="628"/>
        <v>304</v>
      </c>
      <c r="CG114" s="71">
        <f t="shared" si="629"/>
        <v>329</v>
      </c>
      <c r="CH114" s="70">
        <f t="shared" si="630"/>
        <v>61</v>
      </c>
      <c r="CI114" s="71">
        <f t="shared" si="631"/>
        <v>65</v>
      </c>
      <c r="CJ114" s="72">
        <f t="shared" si="632"/>
        <v>96</v>
      </c>
      <c r="CK114" s="72">
        <f t="shared" si="633"/>
        <v>101</v>
      </c>
      <c r="CL114" s="72">
        <f t="shared" si="634"/>
        <v>137</v>
      </c>
      <c r="CM114" s="72" t="str">
        <f t="shared" si="635"/>
        <v>-</v>
      </c>
      <c r="CN114" s="72">
        <f t="shared" si="636"/>
        <v>172</v>
      </c>
      <c r="CO114" s="72">
        <f t="shared" si="637"/>
        <v>193</v>
      </c>
      <c r="CP114" s="72">
        <f t="shared" si="638"/>
        <v>229</v>
      </c>
      <c r="CQ114" s="72">
        <f t="shared" si="639"/>
        <v>299</v>
      </c>
      <c r="CR114" s="72">
        <f t="shared" si="640"/>
        <v>328</v>
      </c>
      <c r="CS114" s="72">
        <f t="shared" si="641"/>
        <v>341</v>
      </c>
      <c r="CT114" s="23">
        <f t="shared" si="642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419"/>
        <v>adrb2_human_3NY9</v>
      </c>
      <c r="B115" s="3" t="s">
        <v>126</v>
      </c>
      <c r="C115" s="3" t="s">
        <v>1030</v>
      </c>
      <c r="D115" s="3" t="str">
        <f>IFERROR(MID(VLOOKUP($B115,Seqs!$A:$B,2,0),E115,1),"")</f>
        <v>W</v>
      </c>
      <c r="E115" s="3">
        <v>32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420"/>
        <v>1</v>
      </c>
      <c r="BC115" s="23">
        <f t="shared" si="617"/>
        <v>241</v>
      </c>
      <c r="BD115" s="4" t="s">
        <v>23</v>
      </c>
      <c r="BE115" s="3" t="s">
        <v>1375</v>
      </c>
      <c r="BF115" s="119">
        <v>2.84</v>
      </c>
      <c r="BG115" s="49" t="s">
        <v>1378</v>
      </c>
      <c r="BH115" s="49" t="s">
        <v>1378</v>
      </c>
      <c r="BI115" s="1"/>
      <c r="BJ115" s="70" t="s">
        <v>1288</v>
      </c>
      <c r="BK115" s="57" t="s">
        <v>1288</v>
      </c>
      <c r="BL115" s="57" t="s">
        <v>1288</v>
      </c>
      <c r="BM115" s="57" t="s">
        <v>1288</v>
      </c>
      <c r="BN115" s="57" t="s">
        <v>1288</v>
      </c>
      <c r="BO115" s="57" t="s">
        <v>1288</v>
      </c>
      <c r="BP115" s="57" t="s">
        <v>1288</v>
      </c>
      <c r="BQ115" s="57" t="s">
        <v>1288</v>
      </c>
      <c r="BR115" s="57" t="s">
        <v>1288</v>
      </c>
      <c r="BS115" s="57" t="s">
        <v>1288</v>
      </c>
      <c r="BT115" s="57" t="s">
        <v>1288</v>
      </c>
      <c r="BU115" s="57" t="s">
        <v>1288</v>
      </c>
      <c r="BV115" s="70">
        <f t="shared" si="618"/>
        <v>32</v>
      </c>
      <c r="BW115" s="71">
        <f t="shared" si="619"/>
        <v>62</v>
      </c>
      <c r="BX115" s="72">
        <f t="shared" si="620"/>
        <v>66</v>
      </c>
      <c r="BY115" s="71">
        <f t="shared" si="621"/>
        <v>98</v>
      </c>
      <c r="BZ115" s="72">
        <f t="shared" si="622"/>
        <v>102</v>
      </c>
      <c r="CA115" s="71" t="str">
        <f t="shared" si="623"/>
        <v>-</v>
      </c>
      <c r="CB115" s="72">
        <f t="shared" si="624"/>
        <v>146</v>
      </c>
      <c r="CC115" s="71">
        <f t="shared" si="625"/>
        <v>191</v>
      </c>
      <c r="CD115" s="72">
        <f t="shared" si="626"/>
        <v>196</v>
      </c>
      <c r="CE115" s="71">
        <f t="shared" si="627"/>
        <v>267</v>
      </c>
      <c r="CF115" s="72">
        <f t="shared" si="628"/>
        <v>304</v>
      </c>
      <c r="CG115" s="71">
        <f t="shared" si="629"/>
        <v>329</v>
      </c>
      <c r="CH115" s="70">
        <f t="shared" si="630"/>
        <v>61</v>
      </c>
      <c r="CI115" s="71">
        <f t="shared" si="631"/>
        <v>65</v>
      </c>
      <c r="CJ115" s="72">
        <f t="shared" si="632"/>
        <v>96</v>
      </c>
      <c r="CK115" s="72">
        <f t="shared" si="633"/>
        <v>101</v>
      </c>
      <c r="CL115" s="72">
        <f t="shared" si="634"/>
        <v>137</v>
      </c>
      <c r="CM115" s="72" t="str">
        <f t="shared" si="635"/>
        <v>-</v>
      </c>
      <c r="CN115" s="72">
        <f t="shared" si="636"/>
        <v>172</v>
      </c>
      <c r="CO115" s="72">
        <f t="shared" si="637"/>
        <v>193</v>
      </c>
      <c r="CP115" s="72">
        <f t="shared" si="638"/>
        <v>229</v>
      </c>
      <c r="CQ115" s="72">
        <f t="shared" si="639"/>
        <v>299</v>
      </c>
      <c r="CR115" s="72">
        <f t="shared" si="640"/>
        <v>328</v>
      </c>
      <c r="CS115" s="72">
        <f t="shared" si="641"/>
        <v>341</v>
      </c>
      <c r="CT115" s="23">
        <f t="shared" si="642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419"/>
        <v>adrb2_human_3NYA</v>
      </c>
      <c r="B116" s="3" t="s">
        <v>126</v>
      </c>
      <c r="C116" s="3" t="s">
        <v>1335</v>
      </c>
      <c r="D116" s="3" t="str">
        <f>IFERROR(MID(VLOOKUP($B116,Seqs!$A:$B,2,0),E116,1),"")</f>
        <v>W</v>
      </c>
      <c r="E116" s="3">
        <v>32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Q</v>
      </c>
      <c r="AM116" s="3">
        <v>229</v>
      </c>
      <c r="AN116" s="3" t="str">
        <f>IFERROR(MID(VLOOKUP($B116,Seqs!$A:$B,2,0),AO116,1),"")</f>
        <v>K</v>
      </c>
      <c r="AO116" s="3">
        <v>267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420"/>
        <v>1</v>
      </c>
      <c r="BC116" s="23">
        <f t="shared" si="617"/>
        <v>241</v>
      </c>
      <c r="BD116" s="4" t="s">
        <v>23</v>
      </c>
      <c r="BE116" s="3" t="s">
        <v>1375</v>
      </c>
      <c r="BF116" s="119">
        <v>3.16</v>
      </c>
      <c r="BG116" s="49" t="s">
        <v>1378</v>
      </c>
      <c r="BH116" s="49" t="s">
        <v>1378</v>
      </c>
      <c r="BI116" s="1"/>
      <c r="BJ116" s="70" t="s">
        <v>1288</v>
      </c>
      <c r="BK116" s="57" t="s">
        <v>1288</v>
      </c>
      <c r="BL116" s="57" t="s">
        <v>1288</v>
      </c>
      <c r="BM116" s="57" t="s">
        <v>1288</v>
      </c>
      <c r="BN116" s="57" t="s">
        <v>1288</v>
      </c>
      <c r="BO116" s="57" t="s">
        <v>1288</v>
      </c>
      <c r="BP116" s="57" t="s">
        <v>1288</v>
      </c>
      <c r="BQ116" s="57" t="s">
        <v>1288</v>
      </c>
      <c r="BR116" s="57" t="s">
        <v>1288</v>
      </c>
      <c r="BS116" s="57" t="s">
        <v>1288</v>
      </c>
      <c r="BT116" s="57" t="s">
        <v>1288</v>
      </c>
      <c r="BU116" s="57" t="s">
        <v>1288</v>
      </c>
      <c r="BV116" s="70">
        <f t="shared" si="618"/>
        <v>32</v>
      </c>
      <c r="BW116" s="71">
        <f t="shared" si="619"/>
        <v>62</v>
      </c>
      <c r="BX116" s="72">
        <f t="shared" si="620"/>
        <v>66</v>
      </c>
      <c r="BY116" s="71">
        <f t="shared" si="621"/>
        <v>98</v>
      </c>
      <c r="BZ116" s="72">
        <f t="shared" si="622"/>
        <v>102</v>
      </c>
      <c r="CA116" s="71" t="str">
        <f t="shared" si="623"/>
        <v>-</v>
      </c>
      <c r="CB116" s="72">
        <f t="shared" si="624"/>
        <v>146</v>
      </c>
      <c r="CC116" s="71">
        <f t="shared" si="625"/>
        <v>191</v>
      </c>
      <c r="CD116" s="72">
        <f t="shared" si="626"/>
        <v>196</v>
      </c>
      <c r="CE116" s="71">
        <f t="shared" si="627"/>
        <v>267</v>
      </c>
      <c r="CF116" s="72">
        <f t="shared" si="628"/>
        <v>304</v>
      </c>
      <c r="CG116" s="71">
        <f t="shared" si="629"/>
        <v>329</v>
      </c>
      <c r="CH116" s="70">
        <f t="shared" si="630"/>
        <v>61</v>
      </c>
      <c r="CI116" s="71">
        <f t="shared" si="631"/>
        <v>65</v>
      </c>
      <c r="CJ116" s="72">
        <f t="shared" si="632"/>
        <v>96</v>
      </c>
      <c r="CK116" s="72">
        <f t="shared" si="633"/>
        <v>101</v>
      </c>
      <c r="CL116" s="72">
        <f t="shared" si="634"/>
        <v>137</v>
      </c>
      <c r="CM116" s="72" t="str">
        <f t="shared" si="635"/>
        <v>-</v>
      </c>
      <c r="CN116" s="72">
        <f t="shared" si="636"/>
        <v>172</v>
      </c>
      <c r="CO116" s="72">
        <f t="shared" si="637"/>
        <v>193</v>
      </c>
      <c r="CP116" s="72">
        <f t="shared" si="638"/>
        <v>229</v>
      </c>
      <c r="CQ116" s="72">
        <f t="shared" si="639"/>
        <v>299</v>
      </c>
      <c r="CR116" s="72">
        <f t="shared" si="640"/>
        <v>328</v>
      </c>
      <c r="CS116" s="72">
        <f t="shared" si="641"/>
        <v>341</v>
      </c>
      <c r="CT116" s="23">
        <f t="shared" si="642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419"/>
        <v>adrb2_human_3P0G</v>
      </c>
      <c r="B117" s="3" t="s">
        <v>126</v>
      </c>
      <c r="C117" s="3" t="s">
        <v>66</v>
      </c>
      <c r="D117" s="3" t="str">
        <f>IFERROR(MID(VLOOKUP($B117,Seqs!$A:$B,2,0),E117,1),"")</f>
        <v>Q</v>
      </c>
      <c r="E117" s="3">
        <v>26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>P</v>
      </c>
      <c r="Y117" s="3">
        <v>138</v>
      </c>
      <c r="Z117" s="3" t="str">
        <f>IFERROR(MID(VLOOKUP($B117,Seqs!$A:$B,2,0),AA117,1),"")</f>
        <v>L</v>
      </c>
      <c r="AA117" s="3">
        <v>145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A</v>
      </c>
      <c r="AM117" s="3">
        <v>226</v>
      </c>
      <c r="AN117" s="3" t="str">
        <f>IFERROR(MID(VLOOKUP($B117,Seqs!$A:$B,2,0),AO117,1),"")</f>
        <v>H</v>
      </c>
      <c r="AO117" s="3">
        <v>269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420"/>
        <v>1</v>
      </c>
      <c r="BC117" s="23">
        <f t="shared" si="617"/>
        <v>249</v>
      </c>
      <c r="BD117" s="16" t="s">
        <v>23</v>
      </c>
      <c r="BE117" s="3" t="s">
        <v>1292</v>
      </c>
      <c r="BF117" s="119">
        <v>3.5</v>
      </c>
      <c r="BG117" s="49" t="s">
        <v>1378</v>
      </c>
      <c r="BH117" s="49" t="s">
        <v>1378</v>
      </c>
      <c r="BI117" s="1"/>
      <c r="BJ117" s="70" t="s">
        <v>1288</v>
      </c>
      <c r="BK117" s="57" t="s">
        <v>1288</v>
      </c>
      <c r="BL117" s="57" t="s">
        <v>1288</v>
      </c>
      <c r="BM117" s="57" t="s">
        <v>1288</v>
      </c>
      <c r="BN117" s="57" t="s">
        <v>1288</v>
      </c>
      <c r="BO117" s="57" t="s">
        <v>1288</v>
      </c>
      <c r="BP117" s="57" t="s">
        <v>1288</v>
      </c>
      <c r="BQ117" s="57" t="s">
        <v>1288</v>
      </c>
      <c r="BR117" s="57" t="s">
        <v>1288</v>
      </c>
      <c r="BS117" s="57" t="s">
        <v>1288</v>
      </c>
      <c r="BT117" s="57" t="s">
        <v>1288</v>
      </c>
      <c r="BU117" s="57" t="s">
        <v>1288</v>
      </c>
      <c r="BV117" s="70">
        <f t="shared" si="618"/>
        <v>26</v>
      </c>
      <c r="BW117" s="71">
        <f t="shared" si="619"/>
        <v>62</v>
      </c>
      <c r="BX117" s="72">
        <f t="shared" si="620"/>
        <v>66</v>
      </c>
      <c r="BY117" s="71">
        <f t="shared" si="621"/>
        <v>98</v>
      </c>
      <c r="BZ117" s="72">
        <f t="shared" si="622"/>
        <v>102</v>
      </c>
      <c r="CA117" s="71">
        <f t="shared" si="623"/>
        <v>138</v>
      </c>
      <c r="CB117" s="72">
        <f t="shared" si="624"/>
        <v>146</v>
      </c>
      <c r="CC117" s="71">
        <f t="shared" si="625"/>
        <v>191</v>
      </c>
      <c r="CD117" s="72">
        <f t="shared" si="626"/>
        <v>196</v>
      </c>
      <c r="CE117" s="71">
        <f t="shared" si="627"/>
        <v>269</v>
      </c>
      <c r="CF117" s="72">
        <f t="shared" si="628"/>
        <v>304</v>
      </c>
      <c r="CG117" s="71">
        <f t="shared" si="629"/>
        <v>329</v>
      </c>
      <c r="CH117" s="70">
        <f t="shared" si="630"/>
        <v>61</v>
      </c>
      <c r="CI117" s="71">
        <f t="shared" si="631"/>
        <v>65</v>
      </c>
      <c r="CJ117" s="72">
        <f t="shared" si="632"/>
        <v>96</v>
      </c>
      <c r="CK117" s="72">
        <f t="shared" si="633"/>
        <v>101</v>
      </c>
      <c r="CL117" s="72">
        <f t="shared" si="634"/>
        <v>137</v>
      </c>
      <c r="CM117" s="72">
        <f t="shared" si="635"/>
        <v>145</v>
      </c>
      <c r="CN117" s="72">
        <f t="shared" si="636"/>
        <v>172</v>
      </c>
      <c r="CO117" s="72">
        <f t="shared" si="637"/>
        <v>193</v>
      </c>
      <c r="CP117" s="72">
        <f t="shared" si="638"/>
        <v>226</v>
      </c>
      <c r="CQ117" s="72">
        <f t="shared" si="639"/>
        <v>299</v>
      </c>
      <c r="CR117" s="72">
        <f t="shared" si="640"/>
        <v>328</v>
      </c>
      <c r="CS117" s="72">
        <f t="shared" si="641"/>
        <v>341</v>
      </c>
      <c r="CT117" s="23">
        <f t="shared" si="642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19"/>
        <v>adrb2_human_3PDS</v>
      </c>
      <c r="B118" s="3" t="s">
        <v>126</v>
      </c>
      <c r="C118" s="3" t="s">
        <v>1336</v>
      </c>
      <c r="D118" s="3" t="str">
        <f>IFERROR(MID(VLOOKUP($B118,Seqs!$A:$B,2,0),E118,1),"")</f>
        <v>D</v>
      </c>
      <c r="E118" s="3">
        <v>29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L</v>
      </c>
      <c r="AO118" s="3">
        <v>266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420"/>
        <v>1</v>
      </c>
      <c r="BC118" s="23">
        <f t="shared" si="617"/>
        <v>245</v>
      </c>
      <c r="BD118" s="5" t="s">
        <v>23</v>
      </c>
      <c r="BE118" s="3" t="s">
        <v>1375</v>
      </c>
      <c r="BF118" s="119">
        <v>3.5</v>
      </c>
      <c r="BG118" s="49" t="s">
        <v>1378</v>
      </c>
      <c r="BH118" s="49" t="s">
        <v>1378</v>
      </c>
      <c r="BI118" s="1"/>
      <c r="BJ118" s="70" t="s">
        <v>1288</v>
      </c>
      <c r="BK118" s="57" t="s">
        <v>1288</v>
      </c>
      <c r="BL118" s="57" t="s">
        <v>1288</v>
      </c>
      <c r="BM118" s="57" t="s">
        <v>1288</v>
      </c>
      <c r="BN118" s="57" t="s">
        <v>1288</v>
      </c>
      <c r="BO118" s="57" t="s">
        <v>1288</v>
      </c>
      <c r="BP118" s="57" t="s">
        <v>1288</v>
      </c>
      <c r="BQ118" s="57" t="s">
        <v>1288</v>
      </c>
      <c r="BR118" s="57" t="s">
        <v>1288</v>
      </c>
      <c r="BS118" s="57" t="s">
        <v>1288</v>
      </c>
      <c r="BT118" s="57" t="s">
        <v>1288</v>
      </c>
      <c r="BU118" s="57" t="s">
        <v>1288</v>
      </c>
      <c r="BV118" s="70">
        <f t="shared" si="618"/>
        <v>29</v>
      </c>
      <c r="BW118" s="71">
        <f t="shared" si="619"/>
        <v>62</v>
      </c>
      <c r="BX118" s="72">
        <f t="shared" si="620"/>
        <v>66</v>
      </c>
      <c r="BY118" s="71">
        <f t="shared" si="621"/>
        <v>98</v>
      </c>
      <c r="BZ118" s="72">
        <f t="shared" si="622"/>
        <v>102</v>
      </c>
      <c r="CA118" s="71" t="str">
        <f t="shared" si="623"/>
        <v>-</v>
      </c>
      <c r="CB118" s="72">
        <f t="shared" si="624"/>
        <v>146</v>
      </c>
      <c r="CC118" s="71">
        <f t="shared" si="625"/>
        <v>191</v>
      </c>
      <c r="CD118" s="72">
        <f t="shared" si="626"/>
        <v>196</v>
      </c>
      <c r="CE118" s="71">
        <f t="shared" si="627"/>
        <v>266</v>
      </c>
      <c r="CF118" s="72">
        <f t="shared" si="628"/>
        <v>304</v>
      </c>
      <c r="CG118" s="71">
        <f t="shared" si="629"/>
        <v>329</v>
      </c>
      <c r="CH118" s="70">
        <f t="shared" si="630"/>
        <v>61</v>
      </c>
      <c r="CI118" s="71">
        <f t="shared" si="631"/>
        <v>65</v>
      </c>
      <c r="CJ118" s="72">
        <f t="shared" si="632"/>
        <v>96</v>
      </c>
      <c r="CK118" s="72">
        <f t="shared" si="633"/>
        <v>101</v>
      </c>
      <c r="CL118" s="72">
        <f t="shared" si="634"/>
        <v>137</v>
      </c>
      <c r="CM118" s="72" t="str">
        <f t="shared" si="635"/>
        <v>-</v>
      </c>
      <c r="CN118" s="72">
        <f t="shared" si="636"/>
        <v>172</v>
      </c>
      <c r="CO118" s="72">
        <f t="shared" si="637"/>
        <v>193</v>
      </c>
      <c r="CP118" s="72">
        <f t="shared" si="638"/>
        <v>229</v>
      </c>
      <c r="CQ118" s="72">
        <f t="shared" si="639"/>
        <v>299</v>
      </c>
      <c r="CR118" s="72">
        <f t="shared" si="640"/>
        <v>328</v>
      </c>
      <c r="CS118" s="72">
        <f t="shared" si="641"/>
        <v>341</v>
      </c>
      <c r="CT118" s="23">
        <f t="shared" si="642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ht="17" customHeight="1" x14ac:dyDescent="0.2">
      <c r="A119" s="3" t="str">
        <f t="shared" si="419"/>
        <v>adrb2_human_3SN6</v>
      </c>
      <c r="B119" s="3" t="s">
        <v>126</v>
      </c>
      <c r="C119" s="3" t="s">
        <v>85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>P</v>
      </c>
      <c r="Y119" s="3">
        <v>138</v>
      </c>
      <c r="Z119" s="3" t="str">
        <f>IFERROR(MID(VLOOKUP($B119,Seqs!$A:$B,2,0),AA119,1),"")</f>
        <v>L</v>
      </c>
      <c r="AA119" s="3">
        <v>145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E</v>
      </c>
      <c r="AM119" s="3">
        <v>237</v>
      </c>
      <c r="AN119" s="3" t="str">
        <f>IFERROR(MID(VLOOKUP($B119,Seqs!$A:$B,2,0),AO119,1),"")</f>
        <v>C</v>
      </c>
      <c r="AO119" s="3">
        <v>265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420"/>
        <v>1</v>
      </c>
      <c r="BC119" s="23">
        <f t="shared" si="617"/>
        <v>261</v>
      </c>
      <c r="BD119" s="4" t="s">
        <v>1376</v>
      </c>
      <c r="BE119" s="3" t="s">
        <v>1292</v>
      </c>
      <c r="BF119" s="119">
        <v>3.2</v>
      </c>
      <c r="BG119" s="49" t="s">
        <v>1378</v>
      </c>
      <c r="BH119" s="49" t="s">
        <v>1378</v>
      </c>
      <c r="BI119" s="1"/>
      <c r="BJ119" s="70" t="s">
        <v>1288</v>
      </c>
      <c r="BK119" s="57" t="s">
        <v>1288</v>
      </c>
      <c r="BL119" s="57" t="s">
        <v>1288</v>
      </c>
      <c r="BM119" s="57" t="s">
        <v>1288</v>
      </c>
      <c r="BN119" s="57" t="s">
        <v>1288</v>
      </c>
      <c r="BO119" s="57" t="s">
        <v>1288</v>
      </c>
      <c r="BP119" s="57" t="s">
        <v>1288</v>
      </c>
      <c r="BQ119" s="57" t="s">
        <v>1288</v>
      </c>
      <c r="BR119" s="57" t="s">
        <v>1288</v>
      </c>
      <c r="BS119" s="57" t="s">
        <v>1288</v>
      </c>
      <c r="BT119" s="57" t="s">
        <v>1288</v>
      </c>
      <c r="BU119" s="57" t="s">
        <v>1288</v>
      </c>
      <c r="BV119" s="70">
        <f t="shared" si="618"/>
        <v>29</v>
      </c>
      <c r="BW119" s="71">
        <f t="shared" si="619"/>
        <v>62</v>
      </c>
      <c r="BX119" s="72">
        <f t="shared" si="620"/>
        <v>66</v>
      </c>
      <c r="BY119" s="71">
        <f t="shared" si="621"/>
        <v>98</v>
      </c>
      <c r="BZ119" s="72">
        <f t="shared" si="622"/>
        <v>102</v>
      </c>
      <c r="CA119" s="71">
        <f t="shared" si="623"/>
        <v>138</v>
      </c>
      <c r="CB119" s="72">
        <f t="shared" si="624"/>
        <v>146</v>
      </c>
      <c r="CC119" s="71">
        <f t="shared" si="625"/>
        <v>191</v>
      </c>
      <c r="CD119" s="72">
        <f t="shared" si="626"/>
        <v>196</v>
      </c>
      <c r="CE119" s="71">
        <f t="shared" si="627"/>
        <v>265</v>
      </c>
      <c r="CF119" s="72">
        <f t="shared" si="628"/>
        <v>304</v>
      </c>
      <c r="CG119" s="71">
        <f t="shared" si="629"/>
        <v>329</v>
      </c>
      <c r="CH119" s="70">
        <f t="shared" si="630"/>
        <v>61</v>
      </c>
      <c r="CI119" s="71">
        <f t="shared" si="631"/>
        <v>65</v>
      </c>
      <c r="CJ119" s="72">
        <f t="shared" si="632"/>
        <v>96</v>
      </c>
      <c r="CK119" s="72">
        <f t="shared" si="633"/>
        <v>101</v>
      </c>
      <c r="CL119" s="72">
        <f t="shared" si="634"/>
        <v>137</v>
      </c>
      <c r="CM119" s="72">
        <f t="shared" si="635"/>
        <v>145</v>
      </c>
      <c r="CN119" s="72">
        <f t="shared" si="636"/>
        <v>172</v>
      </c>
      <c r="CO119" s="72">
        <f t="shared" si="637"/>
        <v>193</v>
      </c>
      <c r="CP119" s="72">
        <f t="shared" si="638"/>
        <v>237</v>
      </c>
      <c r="CQ119" s="72">
        <f t="shared" si="639"/>
        <v>299</v>
      </c>
      <c r="CR119" s="72">
        <f t="shared" si="640"/>
        <v>328</v>
      </c>
      <c r="CS119" s="72">
        <f t="shared" si="641"/>
        <v>341</v>
      </c>
      <c r="CT119" s="23">
        <f t="shared" si="642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s="12" customFormat="1" ht="17" customHeight="1" x14ac:dyDescent="0.2">
      <c r="A120" s="9" t="str">
        <f t="shared" ref="A120" si="811">CONCATENATE(B120,"_",C120)</f>
        <v>adrb2_human_4GBR</v>
      </c>
      <c r="B120" s="9" t="s">
        <v>126</v>
      </c>
      <c r="C120" s="9" t="s">
        <v>1107</v>
      </c>
      <c r="D120" s="9" t="str">
        <f>IFERROR(MID(VLOOKUP($B120,Seqs!$A:$B,2,0),E120,1),"")</f>
        <v>D</v>
      </c>
      <c r="E120" s="9">
        <v>29</v>
      </c>
      <c r="F120" s="9" t="str">
        <f>IFERROR(MID(VLOOKUP($B120,Seqs!$A:$B,2,0),G120,1),"")</f>
        <v>F</v>
      </c>
      <c r="G120" s="9">
        <v>61</v>
      </c>
      <c r="H120" s="9" t="str">
        <f>IFERROR(MID(VLOOKUP($B120,Seqs!$A:$B,2,0),I120,1),"")</f>
        <v>E</v>
      </c>
      <c r="I120" s="109">
        <v>62</v>
      </c>
      <c r="J120" s="9" t="str">
        <f>IFERROR(MID(VLOOKUP($B120,Seqs!$A:$B,2,0),K120,1),"")</f>
        <v>Q</v>
      </c>
      <c r="K120" s="109">
        <v>65</v>
      </c>
      <c r="L120" s="9" t="str">
        <f>IFERROR(MID(VLOOKUP($B120,Seqs!$A:$B,2,0),M120,1),"")</f>
        <v>T</v>
      </c>
      <c r="M120" s="9">
        <v>66</v>
      </c>
      <c r="N120" s="9" t="str">
        <f>IFERROR(MID(VLOOKUP($B120,Seqs!$A:$B,2,0),O120,1),"")</f>
        <v>M</v>
      </c>
      <c r="O120" s="9">
        <v>96</v>
      </c>
      <c r="P120" s="9" t="str">
        <f>IFERROR(MID(VLOOKUP($B120,Seqs!$A:$B,2,0),Q120,1),"")</f>
        <v>M</v>
      </c>
      <c r="Q120" s="9">
        <v>98</v>
      </c>
      <c r="R120" s="9" t="str">
        <f>IFERROR(MID(VLOOKUP($B120,Seqs!$A:$B,2,0),S120,1),"")</f>
        <v>F</v>
      </c>
      <c r="S120" s="9">
        <v>101</v>
      </c>
      <c r="T120" s="9" t="str">
        <f>IFERROR(MID(VLOOKUP($B120,Seqs!$A:$B,2,0),U120,1),"")</f>
        <v>G</v>
      </c>
      <c r="U120" s="9">
        <v>102</v>
      </c>
      <c r="V120" s="9" t="str">
        <f>IFERROR(MID(VLOOKUP($B120,Seqs!$A:$B,2,0),W120,1),"")</f>
        <v>T</v>
      </c>
      <c r="W120" s="9">
        <v>136</v>
      </c>
      <c r="X120" s="9" t="str">
        <f>IFERROR(MID(VLOOKUP($B120,Seqs!$A:$B,2,0),Y120,1),"")</f>
        <v/>
      </c>
      <c r="Y120" s="9" t="s">
        <v>23</v>
      </c>
      <c r="Z120" s="9" t="str">
        <f>IFERROR(MID(VLOOKUP($B120,Seqs!$A:$B,2,0),AA120,1),"")</f>
        <v/>
      </c>
      <c r="AA120" s="9" t="s">
        <v>23</v>
      </c>
      <c r="AB120" s="9" t="str">
        <f>IFERROR(MID(VLOOKUP($B120,Seqs!$A:$B,2,0),AC120,1),"")</f>
        <v>T</v>
      </c>
      <c r="AC120" s="9">
        <v>146</v>
      </c>
      <c r="AD120" s="9" t="str">
        <f>IFERROR(MID(VLOOKUP($B120,Seqs!$A:$B,2,0),AE120,1),"")</f>
        <v>H</v>
      </c>
      <c r="AE120" s="9">
        <v>172</v>
      </c>
      <c r="AF120" s="9" t="str">
        <f>IFERROR(MID(VLOOKUP($B120,Seqs!$A:$B,2,0),AG120,1),"")</f>
        <v>C</v>
      </c>
      <c r="AG120" s="9">
        <v>191</v>
      </c>
      <c r="AH120" s="9" t="str">
        <f>IFERROR(MID(VLOOKUP($B120,Seqs!$A:$B,2,0),AI120,1),"")</f>
        <v>F</v>
      </c>
      <c r="AI120" s="9">
        <v>193</v>
      </c>
      <c r="AJ120" s="9" t="str">
        <f>IFERROR(MID(VLOOKUP($B120,Seqs!$A:$B,2,0),AK120,1),"")</f>
        <v>N</v>
      </c>
      <c r="AK120" s="9">
        <v>196</v>
      </c>
      <c r="AL120" s="9" t="str">
        <f>IFERROR(MID(VLOOKUP($B120,Seqs!$A:$B,2,0),AM120,1),"")</f>
        <v>K</v>
      </c>
      <c r="AM120" s="9">
        <v>232</v>
      </c>
      <c r="AN120" s="9" t="str">
        <f>IFERROR(MID(VLOOKUP($B120,Seqs!$A:$B,2,0),AO120,1),"")</f>
        <v>E</v>
      </c>
      <c r="AO120" s="9">
        <v>237</v>
      </c>
      <c r="AP120" s="9" t="str">
        <f>IFERROR(MID(VLOOKUP($B120,Seqs!$A:$B,2,0),AQ120,1),"")</f>
        <v>A</v>
      </c>
      <c r="AQ120" s="9">
        <v>271</v>
      </c>
      <c r="AR120" s="9" t="str">
        <f>IFERROR(MID(VLOOKUP($B120,Seqs!$A:$B,2,0),AS120,1),"")</f>
        <v>G</v>
      </c>
      <c r="AS120" s="9">
        <v>276</v>
      </c>
      <c r="AT120" s="9" t="str">
        <f>IFERROR(MID(VLOOKUP($B120,Seqs!$A:$B,2,0),AU120,1),"")</f>
        <v>D</v>
      </c>
      <c r="AU120" s="9">
        <v>300</v>
      </c>
      <c r="AV120" s="9" t="str">
        <f>IFERROR(MID(VLOOKUP($B120,Seqs!$A:$B,2,0),AW120,1),"")</f>
        <v>N</v>
      </c>
      <c r="AW120" s="9">
        <v>301</v>
      </c>
      <c r="AX120" s="9" t="str">
        <f>IFERROR(MID(VLOOKUP($B120,Seqs!$A:$B,2,0),AY120,1),"")</f>
        <v>W</v>
      </c>
      <c r="AY120" s="9">
        <v>313</v>
      </c>
      <c r="AZ120" s="110" t="str">
        <f>VLOOKUP(B120,Classification!A:D,2,0)</f>
        <v>A</v>
      </c>
      <c r="BA120" s="98" t="str">
        <f>VLOOKUP(B120,Classification!A:D,4,0)</f>
        <v>Adrenoceptors</v>
      </c>
      <c r="BB120" s="36" t="b">
        <f t="shared" ref="BB120" si="812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109">
        <f t="shared" ref="BC120" si="813">_xlfn.AGGREGATE(9,6,CH120:CS120)-_xlfn.AGGREGATE(9,6,BV120:CG120)+12</f>
        <v>248</v>
      </c>
      <c r="BD120" s="11" t="s">
        <v>23</v>
      </c>
      <c r="BE120" s="9" t="s">
        <v>1375</v>
      </c>
      <c r="BF120" s="120">
        <v>3.99</v>
      </c>
      <c r="BG120" s="51" t="s">
        <v>1</v>
      </c>
      <c r="BH120" s="51" t="s">
        <v>1</v>
      </c>
      <c r="BJ120" s="111" t="s">
        <v>1288</v>
      </c>
      <c r="BK120" s="112" t="s">
        <v>1288</v>
      </c>
      <c r="BL120" s="112" t="s">
        <v>1288</v>
      </c>
      <c r="BM120" s="112" t="s">
        <v>1288</v>
      </c>
      <c r="BN120" s="112" t="s">
        <v>1288</v>
      </c>
      <c r="BO120" s="112" t="s">
        <v>1288</v>
      </c>
      <c r="BP120" s="112" t="s">
        <v>1288</v>
      </c>
      <c r="BQ120" s="112" t="s">
        <v>1288</v>
      </c>
      <c r="BR120" s="112" t="s">
        <v>1288</v>
      </c>
      <c r="BS120" s="112" t="s">
        <v>1288</v>
      </c>
      <c r="BT120" s="112" t="s">
        <v>1288</v>
      </c>
      <c r="BU120" s="112" t="s">
        <v>1288</v>
      </c>
      <c r="BV120" s="111">
        <f t="shared" ref="BV120" si="814">E120</f>
        <v>29</v>
      </c>
      <c r="BW120" s="113">
        <f t="shared" ref="BW120" si="815">I120</f>
        <v>62</v>
      </c>
      <c r="BX120" s="114">
        <f t="shared" ref="BX120" si="816">M120</f>
        <v>66</v>
      </c>
      <c r="BY120" s="113">
        <f t="shared" ref="BY120" si="817">Q120</f>
        <v>98</v>
      </c>
      <c r="BZ120" s="114">
        <f t="shared" ref="BZ120" si="818">U120</f>
        <v>102</v>
      </c>
      <c r="CA120" s="113" t="str">
        <f t="shared" ref="CA120" si="819">Y120</f>
        <v>-</v>
      </c>
      <c r="CB120" s="114">
        <f t="shared" ref="CB120" si="820">AC120</f>
        <v>146</v>
      </c>
      <c r="CC120" s="113">
        <f t="shared" ref="CC120" si="821">AG120</f>
        <v>191</v>
      </c>
      <c r="CD120" s="114">
        <f t="shared" ref="CD120" si="822">AK120</f>
        <v>196</v>
      </c>
      <c r="CE120" s="113">
        <f t="shared" ref="CE120" si="823">AO120</f>
        <v>237</v>
      </c>
      <c r="CF120" s="114">
        <f t="shared" ref="CF120" si="824">AS120</f>
        <v>276</v>
      </c>
      <c r="CG120" s="113">
        <f t="shared" ref="CG120" si="825">AW120</f>
        <v>301</v>
      </c>
      <c r="CH120" s="111">
        <f t="shared" ref="CH120" si="826">G120</f>
        <v>61</v>
      </c>
      <c r="CI120" s="113">
        <f t="shared" ref="CI120" si="827">K120</f>
        <v>65</v>
      </c>
      <c r="CJ120" s="114">
        <f t="shared" ref="CJ120" si="828">O120</f>
        <v>96</v>
      </c>
      <c r="CK120" s="114">
        <f t="shared" ref="CK120" si="829">S120</f>
        <v>101</v>
      </c>
      <c r="CL120" s="114">
        <f t="shared" ref="CL120" si="830">W120</f>
        <v>136</v>
      </c>
      <c r="CM120" s="114" t="str">
        <f t="shared" ref="CM120" si="831">AA120</f>
        <v>-</v>
      </c>
      <c r="CN120" s="114">
        <f t="shared" ref="CN120" si="832">AE120</f>
        <v>172</v>
      </c>
      <c r="CO120" s="114">
        <f t="shared" ref="CO120" si="833">AI120</f>
        <v>193</v>
      </c>
      <c r="CP120" s="114">
        <f t="shared" ref="CP120" si="834">AM120</f>
        <v>232</v>
      </c>
      <c r="CQ120" s="114">
        <f t="shared" ref="CQ120" si="835">AQ120</f>
        <v>271</v>
      </c>
      <c r="CR120" s="114">
        <f t="shared" ref="CR120" si="836">AU120</f>
        <v>300</v>
      </c>
      <c r="CS120" s="114">
        <f t="shared" ref="CS120" si="837">AY120</f>
        <v>313</v>
      </c>
      <c r="CT120" s="109">
        <f t="shared" ref="CT120" si="838">M120-K120</f>
        <v>1</v>
      </c>
    </row>
    <row r="121" spans="1:1029" x14ac:dyDescent="0.2">
      <c r="A121" s="3" t="str">
        <f t="shared" ref="A121:A193" si="839">CONCATENATE(B121,"_",C121)</f>
        <v>adrb2_human_4LDE</v>
      </c>
      <c r="B121" s="3" t="s">
        <v>126</v>
      </c>
      <c r="C121" s="3" t="s">
        <v>77</v>
      </c>
      <c r="D121" s="3" t="str">
        <f>IFERROR(MID(VLOOKUP($B121,Seqs!$A:$B,2,0),E121,1),"")</f>
        <v/>
      </c>
      <c r="E121" s="3">
        <v>1029</v>
      </c>
      <c r="F121" s="3" t="str">
        <f>IFERROR(MID(VLOOKUP($B121,Seqs!$A:$B,2,0),G121,1),"")</f>
        <v/>
      </c>
      <c r="G121" s="3">
        <v>1061</v>
      </c>
      <c r="H121" s="3" t="str">
        <f>IFERROR(MID(VLOOKUP($B121,Seqs!$A:$B,2,0),I121,1),"")</f>
        <v/>
      </c>
      <c r="I121" s="23">
        <v>1062</v>
      </c>
      <c r="J121" s="3" t="str">
        <f>IFERROR(MID(VLOOKUP($B121,Seqs!$A:$B,2,0),K121,1),"")</f>
        <v/>
      </c>
      <c r="K121" s="23">
        <v>1065</v>
      </c>
      <c r="L121" s="3" t="str">
        <f>IFERROR(MID(VLOOKUP($B121,Seqs!$A:$B,2,0),M121,1),"")</f>
        <v/>
      </c>
      <c r="M121" s="3">
        <v>1066</v>
      </c>
      <c r="N121" s="3" t="str">
        <f>IFERROR(MID(VLOOKUP($B121,Seqs!$A:$B,2,0),O121,1),"")</f>
        <v/>
      </c>
      <c r="O121" s="3">
        <v>1096</v>
      </c>
      <c r="P121" s="3" t="str">
        <f>IFERROR(MID(VLOOKUP($B121,Seqs!$A:$B,2,0),Q121,1),"")</f>
        <v/>
      </c>
      <c r="Q121" s="3">
        <v>1098</v>
      </c>
      <c r="R121" s="3" t="str">
        <f>IFERROR(MID(VLOOKUP($B121,Seqs!$A:$B,2,0),S121,1),"")</f>
        <v/>
      </c>
      <c r="S121" s="3">
        <v>1101</v>
      </c>
      <c r="T121" s="3" t="str">
        <f>IFERROR(MID(VLOOKUP($B121,Seqs!$A:$B,2,0),U121,1),"")</f>
        <v/>
      </c>
      <c r="U121" s="3">
        <v>1102</v>
      </c>
      <c r="V121" s="3" t="str">
        <f>IFERROR(MID(VLOOKUP($B121,Seqs!$A:$B,2,0),W121,1),"")</f>
        <v/>
      </c>
      <c r="W121" s="3">
        <v>1137</v>
      </c>
      <c r="X121" s="3" t="str">
        <f>IFERROR(MID(VLOOKUP($B121,Seqs!$A:$B,2,0),Y121,1),"")</f>
        <v/>
      </c>
      <c r="Y121" s="3">
        <v>1138</v>
      </c>
      <c r="Z121" s="3" t="str">
        <f>IFERROR(MID(VLOOKUP($B121,Seqs!$A:$B,2,0),AA121,1),"")</f>
        <v/>
      </c>
      <c r="AA121" s="3">
        <v>1145</v>
      </c>
      <c r="AB121" s="3" t="str">
        <f>IFERROR(MID(VLOOKUP($B121,Seqs!$A:$B,2,0),AC121,1),"")</f>
        <v/>
      </c>
      <c r="AC121" s="9">
        <v>1146</v>
      </c>
      <c r="AD121" s="3" t="str">
        <f>IFERROR(MID(VLOOKUP($B121,Seqs!$A:$B,2,0),AE121,1),"")</f>
        <v/>
      </c>
      <c r="AE121" s="3">
        <v>1172</v>
      </c>
      <c r="AF121" s="3" t="str">
        <f>IFERROR(MID(VLOOKUP($B121,Seqs!$A:$B,2,0),AG121,1),"")</f>
        <v/>
      </c>
      <c r="AG121" s="3">
        <v>1191</v>
      </c>
      <c r="AH121" s="3" t="str">
        <f>IFERROR(MID(VLOOKUP($B121,Seqs!$A:$B,2,0),AI121,1),"")</f>
        <v/>
      </c>
      <c r="AI121" s="3">
        <v>1193</v>
      </c>
      <c r="AJ121" s="3" t="str">
        <f>IFERROR(MID(VLOOKUP($B121,Seqs!$A:$B,2,0),AK121,1),"")</f>
        <v/>
      </c>
      <c r="AK121" s="3">
        <v>1196</v>
      </c>
      <c r="AL121" s="3" t="str">
        <f>IFERROR(MID(VLOOKUP($B121,Seqs!$A:$B,2,0),AM121,1),"")</f>
        <v/>
      </c>
      <c r="AM121" s="3">
        <v>1225</v>
      </c>
      <c r="AN121" s="3" t="str">
        <f>IFERROR(MID(VLOOKUP($B121,Seqs!$A:$B,2,0),AO121,1),"")</f>
        <v/>
      </c>
      <c r="AO121" s="3">
        <v>1266</v>
      </c>
      <c r="AP121" s="3" t="str">
        <f>IFERROR(MID(VLOOKUP($B121,Seqs!$A:$B,2,0),AQ121,1),"")</f>
        <v/>
      </c>
      <c r="AQ121" s="3">
        <v>1299</v>
      </c>
      <c r="AR121" s="3" t="str">
        <f>IFERROR(MID(VLOOKUP($B121,Seqs!$A:$B,2,0),AS121,1),"")</f>
        <v/>
      </c>
      <c r="AS121" s="3">
        <v>1304</v>
      </c>
      <c r="AT121" s="3" t="str">
        <f>IFERROR(MID(VLOOKUP($B121,Seqs!$A:$B,2,0),AU121,1),"")</f>
        <v/>
      </c>
      <c r="AU121" s="3">
        <v>1328</v>
      </c>
      <c r="AV121" s="3" t="str">
        <f>IFERROR(MID(VLOOKUP($B121,Seqs!$A:$B,2,0),AW121,1),"")</f>
        <v/>
      </c>
      <c r="AW121" s="3">
        <v>1329</v>
      </c>
      <c r="AX121" s="3" t="str">
        <f>IFERROR(MID(VLOOKUP($B121,Seqs!$A:$B,2,0),AY121,1),"")</f>
        <v/>
      </c>
      <c r="AY121" s="3">
        <v>1341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ref="BB121:BB193" si="840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 t="shared" si="617"/>
        <v>248</v>
      </c>
      <c r="BD121" s="4" t="s">
        <v>23</v>
      </c>
      <c r="BE121" s="3" t="s">
        <v>1292</v>
      </c>
      <c r="BF121" s="119">
        <v>2.79</v>
      </c>
      <c r="BG121" s="49" t="s">
        <v>1378</v>
      </c>
      <c r="BH121" s="49" t="s">
        <v>1378</v>
      </c>
      <c r="BI121" s="1"/>
      <c r="BJ121" s="70" t="s">
        <v>1288</v>
      </c>
      <c r="BK121" s="57" t="s">
        <v>1288</v>
      </c>
      <c r="BL121" s="57" t="s">
        <v>1288</v>
      </c>
      <c r="BM121" s="57" t="s">
        <v>1288</v>
      </c>
      <c r="BN121" s="57" t="s">
        <v>1288</v>
      </c>
      <c r="BO121" s="57" t="s">
        <v>1288</v>
      </c>
      <c r="BP121" s="57" t="s">
        <v>1288</v>
      </c>
      <c r="BQ121" s="57" t="s">
        <v>1288</v>
      </c>
      <c r="BR121" s="57" t="s">
        <v>1288</v>
      </c>
      <c r="BS121" s="57" t="s">
        <v>1288</v>
      </c>
      <c r="BT121" s="57" t="s">
        <v>1288</v>
      </c>
      <c r="BU121" s="57" t="s">
        <v>1288</v>
      </c>
      <c r="BV121" s="70">
        <f t="shared" si="618"/>
        <v>1029</v>
      </c>
      <c r="BW121" s="71">
        <f t="shared" si="619"/>
        <v>1062</v>
      </c>
      <c r="BX121" s="72">
        <f t="shared" si="620"/>
        <v>1066</v>
      </c>
      <c r="BY121" s="71">
        <f t="shared" si="621"/>
        <v>1098</v>
      </c>
      <c r="BZ121" s="72">
        <f t="shared" si="622"/>
        <v>1102</v>
      </c>
      <c r="CA121" s="71">
        <f t="shared" si="623"/>
        <v>1138</v>
      </c>
      <c r="CB121" s="72">
        <f t="shared" si="624"/>
        <v>1146</v>
      </c>
      <c r="CC121" s="71">
        <f t="shared" si="625"/>
        <v>1191</v>
      </c>
      <c r="CD121" s="72">
        <f t="shared" si="626"/>
        <v>1196</v>
      </c>
      <c r="CE121" s="71">
        <f t="shared" si="627"/>
        <v>1266</v>
      </c>
      <c r="CF121" s="72">
        <f t="shared" si="628"/>
        <v>1304</v>
      </c>
      <c r="CG121" s="71">
        <f t="shared" si="629"/>
        <v>1329</v>
      </c>
      <c r="CH121" s="70">
        <f t="shared" si="630"/>
        <v>1061</v>
      </c>
      <c r="CI121" s="71">
        <f t="shared" si="631"/>
        <v>1065</v>
      </c>
      <c r="CJ121" s="72">
        <f t="shared" si="632"/>
        <v>1096</v>
      </c>
      <c r="CK121" s="72">
        <f t="shared" si="633"/>
        <v>1101</v>
      </c>
      <c r="CL121" s="72">
        <f t="shared" si="634"/>
        <v>1137</v>
      </c>
      <c r="CM121" s="72">
        <f t="shared" si="635"/>
        <v>1145</v>
      </c>
      <c r="CN121" s="72">
        <f t="shared" si="636"/>
        <v>1172</v>
      </c>
      <c r="CO121" s="72">
        <f t="shared" si="637"/>
        <v>1193</v>
      </c>
      <c r="CP121" s="72">
        <f t="shared" si="638"/>
        <v>1225</v>
      </c>
      <c r="CQ121" s="72">
        <f t="shared" si="639"/>
        <v>1299</v>
      </c>
      <c r="CR121" s="72">
        <f t="shared" si="640"/>
        <v>1328</v>
      </c>
      <c r="CS121" s="72">
        <f t="shared" si="641"/>
        <v>1341</v>
      </c>
      <c r="CT121" s="23">
        <f t="shared" si="642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839"/>
        <v>adrb2_human_4LDL</v>
      </c>
      <c r="B122" s="3" t="s">
        <v>126</v>
      </c>
      <c r="C122" s="3" t="s">
        <v>1045</v>
      </c>
      <c r="D122" s="3" t="str">
        <f>IFERROR(MID(VLOOKUP($B122,Seqs!$A:$B,2,0),E122,1),"")</f>
        <v/>
      </c>
      <c r="E122" s="3">
        <v>1029</v>
      </c>
      <c r="F122" s="3" t="str">
        <f>IFERROR(MID(VLOOKUP($B122,Seqs!$A:$B,2,0),G122,1),"")</f>
        <v/>
      </c>
      <c r="G122" s="3">
        <v>1061</v>
      </c>
      <c r="H122" s="3" t="str">
        <f>IFERROR(MID(VLOOKUP($B122,Seqs!$A:$B,2,0),I122,1),"")</f>
        <v/>
      </c>
      <c r="I122" s="23">
        <v>1062</v>
      </c>
      <c r="J122" s="3" t="str">
        <f>IFERROR(MID(VLOOKUP($B122,Seqs!$A:$B,2,0),K122,1),"")</f>
        <v/>
      </c>
      <c r="K122" s="23">
        <v>1065</v>
      </c>
      <c r="L122" s="3" t="str">
        <f>IFERROR(MID(VLOOKUP($B122,Seqs!$A:$B,2,0),M122,1),"")</f>
        <v/>
      </c>
      <c r="M122" s="3">
        <v>1066</v>
      </c>
      <c r="N122" s="3" t="str">
        <f>IFERROR(MID(VLOOKUP($B122,Seqs!$A:$B,2,0),O122,1),"")</f>
        <v/>
      </c>
      <c r="O122" s="3">
        <v>1096</v>
      </c>
      <c r="P122" s="3" t="str">
        <f>IFERROR(MID(VLOOKUP($B122,Seqs!$A:$B,2,0),Q122,1),"")</f>
        <v/>
      </c>
      <c r="Q122" s="3">
        <v>1098</v>
      </c>
      <c r="R122" s="3" t="str">
        <f>IFERROR(MID(VLOOKUP($B122,Seqs!$A:$B,2,0),S122,1),"")</f>
        <v/>
      </c>
      <c r="S122" s="3">
        <v>1101</v>
      </c>
      <c r="T122" s="3" t="str">
        <f>IFERROR(MID(VLOOKUP($B122,Seqs!$A:$B,2,0),U122,1),"")</f>
        <v/>
      </c>
      <c r="U122" s="3">
        <v>1102</v>
      </c>
      <c r="V122" s="3" t="str">
        <f>IFERROR(MID(VLOOKUP($B122,Seqs!$A:$B,2,0),W122,1),"")</f>
        <v/>
      </c>
      <c r="W122" s="3">
        <v>1137</v>
      </c>
      <c r="X122" s="3" t="str">
        <f>IFERROR(MID(VLOOKUP($B122,Seqs!$A:$B,2,0),Y122,1),"")</f>
        <v/>
      </c>
      <c r="Y122" s="3">
        <v>1138</v>
      </c>
      <c r="Z122" s="3" t="str">
        <f>IFERROR(MID(VLOOKUP($B122,Seqs!$A:$B,2,0),AA122,1),"")</f>
        <v/>
      </c>
      <c r="AA122" s="3">
        <v>1145</v>
      </c>
      <c r="AB122" s="3" t="str">
        <f>IFERROR(MID(VLOOKUP($B122,Seqs!$A:$B,2,0),AC122,1),"")</f>
        <v/>
      </c>
      <c r="AC122" s="9">
        <v>1146</v>
      </c>
      <c r="AD122" s="3" t="str">
        <f>IFERROR(MID(VLOOKUP($B122,Seqs!$A:$B,2,0),AE122,1),"")</f>
        <v/>
      </c>
      <c r="AE122" s="3">
        <v>1172</v>
      </c>
      <c r="AF122" s="3" t="str">
        <f>IFERROR(MID(VLOOKUP($B122,Seqs!$A:$B,2,0),AG122,1),"")</f>
        <v/>
      </c>
      <c r="AG122" s="3">
        <v>1191</v>
      </c>
      <c r="AH122" s="3" t="str">
        <f>IFERROR(MID(VLOOKUP($B122,Seqs!$A:$B,2,0),AI122,1),"")</f>
        <v/>
      </c>
      <c r="AI122" s="3">
        <v>1193</v>
      </c>
      <c r="AJ122" s="3" t="str">
        <f>IFERROR(MID(VLOOKUP($B122,Seqs!$A:$B,2,0),AK122,1),"")</f>
        <v/>
      </c>
      <c r="AK122" s="3">
        <v>1196</v>
      </c>
      <c r="AL122" s="3" t="str">
        <f>IFERROR(MID(VLOOKUP($B122,Seqs!$A:$B,2,0),AM122,1),"")</f>
        <v/>
      </c>
      <c r="AM122" s="3">
        <v>1225</v>
      </c>
      <c r="AN122" s="3" t="str">
        <f>IFERROR(MID(VLOOKUP($B122,Seqs!$A:$B,2,0),AO122,1),"")</f>
        <v/>
      </c>
      <c r="AO122" s="3">
        <v>1266</v>
      </c>
      <c r="AP122" s="3" t="str">
        <f>IFERROR(MID(VLOOKUP($B122,Seqs!$A:$B,2,0),AQ122,1),"")</f>
        <v/>
      </c>
      <c r="AQ122" s="3">
        <v>1299</v>
      </c>
      <c r="AR122" s="3" t="str">
        <f>IFERROR(MID(VLOOKUP($B122,Seqs!$A:$B,2,0),AS122,1),"")</f>
        <v/>
      </c>
      <c r="AS122" s="3">
        <v>1304</v>
      </c>
      <c r="AT122" s="3" t="str">
        <f>IFERROR(MID(VLOOKUP($B122,Seqs!$A:$B,2,0),AU122,1),"")</f>
        <v/>
      </c>
      <c r="AU122" s="3">
        <v>1328</v>
      </c>
      <c r="AV122" s="3" t="str">
        <f>IFERROR(MID(VLOOKUP($B122,Seqs!$A:$B,2,0),AW122,1),"")</f>
        <v/>
      </c>
      <c r="AW122" s="3">
        <v>1329</v>
      </c>
      <c r="AX122" s="3" t="str">
        <f>IFERROR(MID(VLOOKUP($B122,Seqs!$A:$B,2,0),AY122,1),"")</f>
        <v/>
      </c>
      <c r="AY122" s="3">
        <v>1341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840"/>
        <v>1</v>
      </c>
      <c r="BC122" s="23">
        <f t="shared" si="617"/>
        <v>248</v>
      </c>
      <c r="BD122" s="4" t="s">
        <v>23</v>
      </c>
      <c r="BE122" s="3" t="s">
        <v>1292</v>
      </c>
      <c r="BF122" s="119">
        <v>3.1</v>
      </c>
      <c r="BG122" s="49" t="s">
        <v>1378</v>
      </c>
      <c r="BH122" s="49" t="s">
        <v>1378</v>
      </c>
      <c r="BI122" s="1"/>
      <c r="BJ122" s="70" t="s">
        <v>1288</v>
      </c>
      <c r="BK122" s="57" t="s">
        <v>1288</v>
      </c>
      <c r="BL122" s="57" t="s">
        <v>1288</v>
      </c>
      <c r="BM122" s="57" t="s">
        <v>1288</v>
      </c>
      <c r="BN122" s="57" t="s">
        <v>1288</v>
      </c>
      <c r="BO122" s="57" t="s">
        <v>1288</v>
      </c>
      <c r="BP122" s="57" t="s">
        <v>1288</v>
      </c>
      <c r="BQ122" s="57" t="s">
        <v>1288</v>
      </c>
      <c r="BR122" s="57" t="s">
        <v>1288</v>
      </c>
      <c r="BS122" s="57" t="s">
        <v>1288</v>
      </c>
      <c r="BT122" s="57" t="s">
        <v>1288</v>
      </c>
      <c r="BU122" s="57" t="s">
        <v>1288</v>
      </c>
      <c r="BV122" s="70">
        <f t="shared" si="618"/>
        <v>1029</v>
      </c>
      <c r="BW122" s="71">
        <f t="shared" si="619"/>
        <v>1062</v>
      </c>
      <c r="BX122" s="72">
        <f t="shared" si="620"/>
        <v>1066</v>
      </c>
      <c r="BY122" s="71">
        <f t="shared" si="621"/>
        <v>1098</v>
      </c>
      <c r="BZ122" s="72">
        <f t="shared" si="622"/>
        <v>1102</v>
      </c>
      <c r="CA122" s="71">
        <f t="shared" si="623"/>
        <v>1138</v>
      </c>
      <c r="CB122" s="72">
        <f t="shared" si="624"/>
        <v>1146</v>
      </c>
      <c r="CC122" s="71">
        <f t="shared" si="625"/>
        <v>1191</v>
      </c>
      <c r="CD122" s="72">
        <f t="shared" si="626"/>
        <v>1196</v>
      </c>
      <c r="CE122" s="71">
        <f t="shared" si="627"/>
        <v>1266</v>
      </c>
      <c r="CF122" s="72">
        <f t="shared" si="628"/>
        <v>1304</v>
      </c>
      <c r="CG122" s="71">
        <f t="shared" si="629"/>
        <v>1329</v>
      </c>
      <c r="CH122" s="70">
        <f t="shared" si="630"/>
        <v>1061</v>
      </c>
      <c r="CI122" s="71">
        <f t="shared" si="631"/>
        <v>1065</v>
      </c>
      <c r="CJ122" s="72">
        <f t="shared" si="632"/>
        <v>1096</v>
      </c>
      <c r="CK122" s="72">
        <f t="shared" si="633"/>
        <v>1101</v>
      </c>
      <c r="CL122" s="72">
        <f t="shared" si="634"/>
        <v>1137</v>
      </c>
      <c r="CM122" s="72">
        <f t="shared" si="635"/>
        <v>1145</v>
      </c>
      <c r="CN122" s="72">
        <f t="shared" si="636"/>
        <v>1172</v>
      </c>
      <c r="CO122" s="72">
        <f t="shared" si="637"/>
        <v>1193</v>
      </c>
      <c r="CP122" s="72">
        <f t="shared" si="638"/>
        <v>1225</v>
      </c>
      <c r="CQ122" s="72">
        <f t="shared" si="639"/>
        <v>1299</v>
      </c>
      <c r="CR122" s="72">
        <f t="shared" si="640"/>
        <v>1328</v>
      </c>
      <c r="CS122" s="72">
        <f t="shared" si="641"/>
        <v>1341</v>
      </c>
      <c r="CT122" s="23">
        <f t="shared" si="642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ht="17" customHeight="1" x14ac:dyDescent="0.2">
      <c r="A123" s="3" t="str">
        <f t="shared" si="839"/>
        <v>adrb2_human_4LDO</v>
      </c>
      <c r="B123" s="3" t="s">
        <v>126</v>
      </c>
      <c r="C123" s="3" t="s">
        <v>1046</v>
      </c>
      <c r="D123" s="3" t="str">
        <f>IFERROR(MID(VLOOKUP($B123,Seqs!$A:$B,2,0),E123,1),"")</f>
        <v/>
      </c>
      <c r="E123" s="3">
        <v>1029</v>
      </c>
      <c r="F123" s="3" t="str">
        <f>IFERROR(MID(VLOOKUP($B123,Seqs!$A:$B,2,0),G123,1),"")</f>
        <v/>
      </c>
      <c r="G123" s="3">
        <v>1061</v>
      </c>
      <c r="H123" s="3" t="str">
        <f>IFERROR(MID(VLOOKUP($B123,Seqs!$A:$B,2,0),I123,1),"")</f>
        <v/>
      </c>
      <c r="I123" s="23">
        <v>1062</v>
      </c>
      <c r="J123" s="3" t="str">
        <f>IFERROR(MID(VLOOKUP($B123,Seqs!$A:$B,2,0),K123,1),"")</f>
        <v/>
      </c>
      <c r="K123" s="23">
        <v>1065</v>
      </c>
      <c r="L123" s="3" t="str">
        <f>IFERROR(MID(VLOOKUP($B123,Seqs!$A:$B,2,0),M123,1),"")</f>
        <v/>
      </c>
      <c r="M123" s="3">
        <v>1066</v>
      </c>
      <c r="N123" s="3" t="str">
        <f>IFERROR(MID(VLOOKUP($B123,Seqs!$A:$B,2,0),O123,1),"")</f>
        <v/>
      </c>
      <c r="O123" s="3">
        <v>1096</v>
      </c>
      <c r="P123" s="3" t="str">
        <f>IFERROR(MID(VLOOKUP($B123,Seqs!$A:$B,2,0),Q123,1),"")</f>
        <v/>
      </c>
      <c r="Q123" s="3">
        <v>1098</v>
      </c>
      <c r="R123" s="3" t="str">
        <f>IFERROR(MID(VLOOKUP($B123,Seqs!$A:$B,2,0),S123,1),"")</f>
        <v/>
      </c>
      <c r="S123" s="3">
        <v>1101</v>
      </c>
      <c r="T123" s="3" t="str">
        <f>IFERROR(MID(VLOOKUP($B123,Seqs!$A:$B,2,0),U123,1),"")</f>
        <v/>
      </c>
      <c r="U123" s="3">
        <v>1102</v>
      </c>
      <c r="V123" s="3" t="str">
        <f>IFERROR(MID(VLOOKUP($B123,Seqs!$A:$B,2,0),W123,1),"")</f>
        <v/>
      </c>
      <c r="W123" s="3">
        <v>1137</v>
      </c>
      <c r="X123" s="3" t="str">
        <f>IFERROR(MID(VLOOKUP($B123,Seqs!$A:$B,2,0),Y123,1),"")</f>
        <v/>
      </c>
      <c r="Y123" s="3">
        <v>1138</v>
      </c>
      <c r="Z123" s="3" t="str">
        <f>IFERROR(MID(VLOOKUP($B123,Seqs!$A:$B,2,0),AA123,1),"")</f>
        <v/>
      </c>
      <c r="AA123" s="3">
        <v>1145</v>
      </c>
      <c r="AB123" s="3" t="str">
        <f>IFERROR(MID(VLOOKUP($B123,Seqs!$A:$B,2,0),AC123,1),"")</f>
        <v/>
      </c>
      <c r="AC123" s="9">
        <v>1146</v>
      </c>
      <c r="AD123" s="3" t="str">
        <f>IFERROR(MID(VLOOKUP($B123,Seqs!$A:$B,2,0),AE123,1),"")</f>
        <v/>
      </c>
      <c r="AE123" s="3">
        <v>1172</v>
      </c>
      <c r="AF123" s="3" t="str">
        <f>IFERROR(MID(VLOOKUP($B123,Seqs!$A:$B,2,0),AG123,1),"")</f>
        <v/>
      </c>
      <c r="AG123" s="3">
        <v>1191</v>
      </c>
      <c r="AH123" s="3" t="str">
        <f>IFERROR(MID(VLOOKUP($B123,Seqs!$A:$B,2,0),AI123,1),"")</f>
        <v/>
      </c>
      <c r="AI123" s="3">
        <v>1193</v>
      </c>
      <c r="AJ123" s="3" t="str">
        <f>IFERROR(MID(VLOOKUP($B123,Seqs!$A:$B,2,0),AK123,1),"")</f>
        <v/>
      </c>
      <c r="AK123" s="3">
        <v>1196</v>
      </c>
      <c r="AL123" s="3" t="str">
        <f>IFERROR(MID(VLOOKUP($B123,Seqs!$A:$B,2,0),AM123,1),"")</f>
        <v/>
      </c>
      <c r="AM123" s="3">
        <v>1225</v>
      </c>
      <c r="AN123" s="3" t="str">
        <f>IFERROR(MID(VLOOKUP($B123,Seqs!$A:$B,2,0),AO123,1),"")</f>
        <v/>
      </c>
      <c r="AO123" s="3">
        <v>1266</v>
      </c>
      <c r="AP123" s="3" t="str">
        <f>IFERROR(MID(VLOOKUP($B123,Seqs!$A:$B,2,0),AQ123,1),"")</f>
        <v/>
      </c>
      <c r="AQ123" s="3">
        <v>1299</v>
      </c>
      <c r="AR123" s="3" t="str">
        <f>IFERROR(MID(VLOOKUP($B123,Seqs!$A:$B,2,0),AS123,1),"")</f>
        <v/>
      </c>
      <c r="AS123" s="3">
        <v>1304</v>
      </c>
      <c r="AT123" s="3" t="str">
        <f>IFERROR(MID(VLOOKUP($B123,Seqs!$A:$B,2,0),AU123,1),"")</f>
        <v/>
      </c>
      <c r="AU123" s="3">
        <v>1328</v>
      </c>
      <c r="AV123" s="3" t="str">
        <f>IFERROR(MID(VLOOKUP($B123,Seqs!$A:$B,2,0),AW123,1),"")</f>
        <v/>
      </c>
      <c r="AW123" s="3">
        <v>1329</v>
      </c>
      <c r="AX123" s="3" t="str">
        <f>IFERROR(MID(VLOOKUP($B123,Seqs!$A:$B,2,0),AY123,1),"")</f>
        <v/>
      </c>
      <c r="AY123" s="3">
        <v>1341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840"/>
        <v>1</v>
      </c>
      <c r="BC123" s="23">
        <f t="shared" si="617"/>
        <v>248</v>
      </c>
      <c r="BD123" s="4" t="s">
        <v>23</v>
      </c>
      <c r="BE123" s="3" t="s">
        <v>1292</v>
      </c>
      <c r="BF123" s="119">
        <v>3.2</v>
      </c>
      <c r="BG123" s="49" t="s">
        <v>1378</v>
      </c>
      <c r="BH123" s="49" t="s">
        <v>1378</v>
      </c>
      <c r="BI123" s="1"/>
      <c r="BJ123" s="70" t="s">
        <v>1288</v>
      </c>
      <c r="BK123" s="57" t="s">
        <v>1288</v>
      </c>
      <c r="BL123" s="57" t="s">
        <v>1288</v>
      </c>
      <c r="BM123" s="57" t="s">
        <v>1288</v>
      </c>
      <c r="BN123" s="57" t="s">
        <v>1288</v>
      </c>
      <c r="BO123" s="57" t="s">
        <v>1288</v>
      </c>
      <c r="BP123" s="57" t="s">
        <v>1288</v>
      </c>
      <c r="BQ123" s="57" t="s">
        <v>1288</v>
      </c>
      <c r="BR123" s="57" t="s">
        <v>1288</v>
      </c>
      <c r="BS123" s="57" t="s">
        <v>1288</v>
      </c>
      <c r="BT123" s="57" t="s">
        <v>1288</v>
      </c>
      <c r="BU123" s="57" t="s">
        <v>1288</v>
      </c>
      <c r="BV123" s="70">
        <f t="shared" si="618"/>
        <v>1029</v>
      </c>
      <c r="BW123" s="71">
        <f t="shared" si="619"/>
        <v>1062</v>
      </c>
      <c r="BX123" s="72">
        <f t="shared" si="620"/>
        <v>1066</v>
      </c>
      <c r="BY123" s="71">
        <f t="shared" si="621"/>
        <v>1098</v>
      </c>
      <c r="BZ123" s="72">
        <f t="shared" si="622"/>
        <v>1102</v>
      </c>
      <c r="CA123" s="71">
        <f t="shared" si="623"/>
        <v>1138</v>
      </c>
      <c r="CB123" s="72">
        <f t="shared" si="624"/>
        <v>1146</v>
      </c>
      <c r="CC123" s="71">
        <f t="shared" si="625"/>
        <v>1191</v>
      </c>
      <c r="CD123" s="72">
        <f t="shared" si="626"/>
        <v>1196</v>
      </c>
      <c r="CE123" s="71">
        <f t="shared" si="627"/>
        <v>1266</v>
      </c>
      <c r="CF123" s="72">
        <f t="shared" si="628"/>
        <v>1304</v>
      </c>
      <c r="CG123" s="71">
        <f t="shared" si="629"/>
        <v>1329</v>
      </c>
      <c r="CH123" s="70">
        <f t="shared" si="630"/>
        <v>1061</v>
      </c>
      <c r="CI123" s="71">
        <f t="shared" si="631"/>
        <v>1065</v>
      </c>
      <c r="CJ123" s="72">
        <f t="shared" si="632"/>
        <v>1096</v>
      </c>
      <c r="CK123" s="72">
        <f t="shared" si="633"/>
        <v>1101</v>
      </c>
      <c r="CL123" s="72">
        <f t="shared" si="634"/>
        <v>1137</v>
      </c>
      <c r="CM123" s="72">
        <f t="shared" si="635"/>
        <v>1145</v>
      </c>
      <c r="CN123" s="72">
        <f t="shared" si="636"/>
        <v>1172</v>
      </c>
      <c r="CO123" s="72">
        <f t="shared" si="637"/>
        <v>1193</v>
      </c>
      <c r="CP123" s="72">
        <f t="shared" si="638"/>
        <v>1225</v>
      </c>
      <c r="CQ123" s="72">
        <f t="shared" si="639"/>
        <v>1299</v>
      </c>
      <c r="CR123" s="72">
        <f t="shared" si="640"/>
        <v>1328</v>
      </c>
      <c r="CS123" s="72">
        <f t="shared" si="641"/>
        <v>1341</v>
      </c>
      <c r="CT123" s="23">
        <f t="shared" si="642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839"/>
        <v>adrb2_human_4QKX</v>
      </c>
      <c r="B124" s="3" t="s">
        <v>126</v>
      </c>
      <c r="C124" s="3" t="s">
        <v>78</v>
      </c>
      <c r="D124" s="3" t="str">
        <f>IFERROR(MID(VLOOKUP($B124,Seqs!$A:$B,2,0),E124,1),"")</f>
        <v/>
      </c>
      <c r="E124" s="3">
        <v>1029</v>
      </c>
      <c r="F124" s="3" t="str">
        <f>IFERROR(MID(VLOOKUP($B124,Seqs!$A:$B,2,0),G124,1),"")</f>
        <v/>
      </c>
      <c r="G124" s="3">
        <v>1061</v>
      </c>
      <c r="H124" s="3" t="str">
        <f>IFERROR(MID(VLOOKUP($B124,Seqs!$A:$B,2,0),I124,1),"")</f>
        <v/>
      </c>
      <c r="I124" s="23">
        <v>1062</v>
      </c>
      <c r="J124" s="3" t="str">
        <f>IFERROR(MID(VLOOKUP($B124,Seqs!$A:$B,2,0),K124,1),"")</f>
        <v/>
      </c>
      <c r="K124" s="23">
        <v>1065</v>
      </c>
      <c r="L124" s="3" t="str">
        <f>IFERROR(MID(VLOOKUP($B124,Seqs!$A:$B,2,0),M124,1),"")</f>
        <v/>
      </c>
      <c r="M124" s="3">
        <v>1066</v>
      </c>
      <c r="N124" s="3" t="str">
        <f>IFERROR(MID(VLOOKUP($B124,Seqs!$A:$B,2,0),O124,1),"")</f>
        <v/>
      </c>
      <c r="O124" s="3">
        <v>1096</v>
      </c>
      <c r="P124" s="3" t="str">
        <f>IFERROR(MID(VLOOKUP($B124,Seqs!$A:$B,2,0),Q124,1),"")</f>
        <v/>
      </c>
      <c r="Q124" s="3">
        <v>1098</v>
      </c>
      <c r="R124" s="3" t="str">
        <f>IFERROR(MID(VLOOKUP($B124,Seqs!$A:$B,2,0),S124,1),"")</f>
        <v/>
      </c>
      <c r="S124" s="3">
        <v>1101</v>
      </c>
      <c r="T124" s="3" t="str">
        <f>IFERROR(MID(VLOOKUP($B124,Seqs!$A:$B,2,0),U124,1),"")</f>
        <v/>
      </c>
      <c r="U124" s="3">
        <v>1102</v>
      </c>
      <c r="V124" s="3" t="str">
        <f>IFERROR(MID(VLOOKUP($B124,Seqs!$A:$B,2,0),W124,1),"")</f>
        <v/>
      </c>
      <c r="W124" s="3">
        <v>1137</v>
      </c>
      <c r="X124" s="3" t="str">
        <f>IFERROR(MID(VLOOKUP($B124,Seqs!$A:$B,2,0),Y124,1),"")</f>
        <v/>
      </c>
      <c r="Y124" s="3">
        <v>1138</v>
      </c>
      <c r="Z124" s="3" t="str">
        <f>IFERROR(MID(VLOOKUP($B124,Seqs!$A:$B,2,0),AA124,1),"")</f>
        <v/>
      </c>
      <c r="AA124" s="3">
        <v>1145</v>
      </c>
      <c r="AB124" s="3" t="str">
        <f>IFERROR(MID(VLOOKUP($B124,Seqs!$A:$B,2,0),AC124,1),"")</f>
        <v/>
      </c>
      <c r="AC124" s="9">
        <v>1146</v>
      </c>
      <c r="AD124" s="3" t="str">
        <f>IFERROR(MID(VLOOKUP($B124,Seqs!$A:$B,2,0),AE124,1),"")</f>
        <v/>
      </c>
      <c r="AE124" s="3">
        <v>1172</v>
      </c>
      <c r="AF124" s="3" t="str">
        <f>IFERROR(MID(VLOOKUP($B124,Seqs!$A:$B,2,0),AG124,1),"")</f>
        <v/>
      </c>
      <c r="AG124" s="3">
        <v>1191</v>
      </c>
      <c r="AH124" s="3" t="str">
        <f>IFERROR(MID(VLOOKUP($B124,Seqs!$A:$B,2,0),AI124,1),"")</f>
        <v/>
      </c>
      <c r="AI124" s="3">
        <v>1193</v>
      </c>
      <c r="AJ124" s="3" t="str">
        <f>IFERROR(MID(VLOOKUP($B124,Seqs!$A:$B,2,0),AK124,1),"")</f>
        <v/>
      </c>
      <c r="AK124" s="3">
        <v>1196</v>
      </c>
      <c r="AL124" s="3" t="str">
        <f>IFERROR(MID(VLOOKUP($B124,Seqs!$A:$B,2,0),AM124,1),"")</f>
        <v/>
      </c>
      <c r="AM124" s="3">
        <v>1225</v>
      </c>
      <c r="AN124" s="3" t="str">
        <f>IFERROR(MID(VLOOKUP($B124,Seqs!$A:$B,2,0),AO124,1),"")</f>
        <v/>
      </c>
      <c r="AO124" s="3">
        <v>1266</v>
      </c>
      <c r="AP124" s="3" t="str">
        <f>IFERROR(MID(VLOOKUP($B124,Seqs!$A:$B,2,0),AQ124,1),"")</f>
        <v/>
      </c>
      <c r="AQ124" s="3">
        <v>1299</v>
      </c>
      <c r="AR124" s="3" t="str">
        <f>IFERROR(MID(VLOOKUP($B124,Seqs!$A:$B,2,0),AS124,1),"")</f>
        <v/>
      </c>
      <c r="AS124" s="3">
        <v>1304</v>
      </c>
      <c r="AT124" s="3" t="str">
        <f>IFERROR(MID(VLOOKUP($B124,Seqs!$A:$B,2,0),AU124,1),"")</f>
        <v/>
      </c>
      <c r="AU124" s="3">
        <v>1328</v>
      </c>
      <c r="AV124" s="3" t="str">
        <f>IFERROR(MID(VLOOKUP($B124,Seqs!$A:$B,2,0),AW124,1),"")</f>
        <v/>
      </c>
      <c r="AW124" s="3">
        <v>1329</v>
      </c>
      <c r="AX124" s="3" t="str">
        <f>IFERROR(MID(VLOOKUP($B124,Seqs!$A:$B,2,0),AY124,1),"")</f>
        <v/>
      </c>
      <c r="AY124" s="3">
        <v>1341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840"/>
        <v>1</v>
      </c>
      <c r="BC124" s="23">
        <f t="shared" si="617"/>
        <v>248</v>
      </c>
      <c r="BD124" s="4" t="s">
        <v>23</v>
      </c>
      <c r="BE124" s="3" t="s">
        <v>1292</v>
      </c>
      <c r="BF124" s="119">
        <v>3.3</v>
      </c>
      <c r="BG124" s="49" t="s">
        <v>1378</v>
      </c>
      <c r="BH124" s="49" t="s">
        <v>1378</v>
      </c>
      <c r="BI124" s="1"/>
      <c r="BJ124" s="70" t="s">
        <v>1288</v>
      </c>
      <c r="BK124" s="57" t="s">
        <v>1288</v>
      </c>
      <c r="BL124" s="57" t="s">
        <v>1288</v>
      </c>
      <c r="BM124" s="57" t="s">
        <v>1288</v>
      </c>
      <c r="BN124" s="57" t="s">
        <v>1288</v>
      </c>
      <c r="BO124" s="57" t="s">
        <v>1288</v>
      </c>
      <c r="BP124" s="57" t="s">
        <v>1288</v>
      </c>
      <c r="BQ124" s="57" t="s">
        <v>1288</v>
      </c>
      <c r="BR124" s="57" t="s">
        <v>1288</v>
      </c>
      <c r="BS124" s="57" t="s">
        <v>1288</v>
      </c>
      <c r="BT124" s="57" t="s">
        <v>1288</v>
      </c>
      <c r="BU124" s="57" t="s">
        <v>1288</v>
      </c>
      <c r="BV124" s="70">
        <f t="shared" si="618"/>
        <v>1029</v>
      </c>
      <c r="BW124" s="71">
        <f t="shared" si="619"/>
        <v>1062</v>
      </c>
      <c r="BX124" s="72">
        <f t="shared" si="620"/>
        <v>1066</v>
      </c>
      <c r="BY124" s="71">
        <f t="shared" si="621"/>
        <v>1098</v>
      </c>
      <c r="BZ124" s="72">
        <f t="shared" si="622"/>
        <v>1102</v>
      </c>
      <c r="CA124" s="71">
        <f t="shared" si="623"/>
        <v>1138</v>
      </c>
      <c r="CB124" s="72">
        <f t="shared" si="624"/>
        <v>1146</v>
      </c>
      <c r="CC124" s="71">
        <f t="shared" si="625"/>
        <v>1191</v>
      </c>
      <c r="CD124" s="72">
        <f t="shared" si="626"/>
        <v>1196</v>
      </c>
      <c r="CE124" s="71">
        <f t="shared" si="627"/>
        <v>1266</v>
      </c>
      <c r="CF124" s="72">
        <f t="shared" si="628"/>
        <v>1304</v>
      </c>
      <c r="CG124" s="71">
        <f t="shared" si="629"/>
        <v>1329</v>
      </c>
      <c r="CH124" s="70">
        <f t="shared" si="630"/>
        <v>1061</v>
      </c>
      <c r="CI124" s="71">
        <f t="shared" si="631"/>
        <v>1065</v>
      </c>
      <c r="CJ124" s="72">
        <f t="shared" si="632"/>
        <v>1096</v>
      </c>
      <c r="CK124" s="72">
        <f t="shared" si="633"/>
        <v>1101</v>
      </c>
      <c r="CL124" s="72">
        <f t="shared" si="634"/>
        <v>1137</v>
      </c>
      <c r="CM124" s="72">
        <f t="shared" si="635"/>
        <v>1145</v>
      </c>
      <c r="CN124" s="72">
        <f t="shared" si="636"/>
        <v>1172</v>
      </c>
      <c r="CO124" s="72">
        <f t="shared" si="637"/>
        <v>1193</v>
      </c>
      <c r="CP124" s="72">
        <f t="shared" si="638"/>
        <v>1225</v>
      </c>
      <c r="CQ124" s="72">
        <f t="shared" si="639"/>
        <v>1299</v>
      </c>
      <c r="CR124" s="72">
        <f t="shared" si="640"/>
        <v>1328</v>
      </c>
      <c r="CS124" s="72">
        <f t="shared" si="641"/>
        <v>1341</v>
      </c>
      <c r="CT124" s="23">
        <f t="shared" si="642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839"/>
        <v>adrb2_human_5D6L</v>
      </c>
      <c r="B125" s="3" t="s">
        <v>126</v>
      </c>
      <c r="C125" s="3" t="s">
        <v>1344</v>
      </c>
      <c r="D125" s="3" t="str">
        <f>IFERROR(MID(VLOOKUP($B125,Seqs!$A:$B,2,0),E125,1),"")</f>
        <v>D</v>
      </c>
      <c r="E125" s="3">
        <v>29</v>
      </c>
      <c r="F125" s="3" t="str">
        <f>IFERROR(MID(VLOOKUP($B125,Seqs!$A:$B,2,0),G125,1),"")</f>
        <v>F</v>
      </c>
      <c r="G125" s="3">
        <v>61</v>
      </c>
      <c r="H125" s="3" t="str">
        <f>IFERROR(MID(VLOOKUP($B125,Seqs!$A:$B,2,0),I125,1),"")</f>
        <v>E</v>
      </c>
      <c r="I125" s="23">
        <v>62</v>
      </c>
      <c r="J125" s="3" t="str">
        <f>IFERROR(MID(VLOOKUP($B125,Seqs!$A:$B,2,0),K125,1),"")</f>
        <v>Q</v>
      </c>
      <c r="K125" s="23">
        <v>65</v>
      </c>
      <c r="L125" s="3" t="str">
        <f>IFERROR(MID(VLOOKUP($B125,Seqs!$A:$B,2,0),M125,1),"")</f>
        <v>T</v>
      </c>
      <c r="M125" s="3">
        <v>66</v>
      </c>
      <c r="N125" s="3" t="str">
        <f>IFERROR(MID(VLOOKUP($B125,Seqs!$A:$B,2,0),O125,1),"")</f>
        <v>M</v>
      </c>
      <c r="O125" s="3">
        <v>96</v>
      </c>
      <c r="P125" s="3" t="str">
        <f>IFERROR(MID(VLOOKUP($B125,Seqs!$A:$B,2,0),Q125,1),"")</f>
        <v>M</v>
      </c>
      <c r="Q125" s="3">
        <v>98</v>
      </c>
      <c r="R125" s="3" t="str">
        <f>IFERROR(MID(VLOOKUP($B125,Seqs!$A:$B,2,0),S125,1),"")</f>
        <v>F</v>
      </c>
      <c r="S125" s="3">
        <v>101</v>
      </c>
      <c r="T125" s="3" t="str">
        <f>IFERROR(MID(VLOOKUP($B125,Seqs!$A:$B,2,0),U125,1),"")</f>
        <v>G</v>
      </c>
      <c r="U125" s="3">
        <v>102</v>
      </c>
      <c r="V125" s="3" t="str">
        <f>IFERROR(MID(VLOOKUP($B125,Seqs!$A:$B,2,0),W125,1),"")</f>
        <v>S</v>
      </c>
      <c r="W125" s="3">
        <v>137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146</v>
      </c>
      <c r="AD125" s="3" t="str">
        <f>IFERROR(MID(VLOOKUP($B125,Seqs!$A:$B,2,0),AE125,1),"")</f>
        <v>H</v>
      </c>
      <c r="AE125" s="3">
        <v>172</v>
      </c>
      <c r="AF125" s="3" t="str">
        <f>IFERROR(MID(VLOOKUP($B125,Seqs!$A:$B,2,0),AG125,1),"")</f>
        <v>C</v>
      </c>
      <c r="AG125" s="3">
        <v>191</v>
      </c>
      <c r="AH125" s="3" t="str">
        <f>IFERROR(MID(VLOOKUP($B125,Seqs!$A:$B,2,0),AI125,1),"")</f>
        <v>F</v>
      </c>
      <c r="AI125" s="3">
        <v>193</v>
      </c>
      <c r="AJ125" s="3" t="str">
        <f>IFERROR(MID(VLOOKUP($B125,Seqs!$A:$B,2,0),AK125,1),"")</f>
        <v>N</v>
      </c>
      <c r="AK125" s="3">
        <v>196</v>
      </c>
      <c r="AL125" s="3" t="str">
        <f>IFERROR(MID(VLOOKUP($B125,Seqs!$A:$B,2,0),AM125,1),"")</f>
        <v>Q</v>
      </c>
      <c r="AM125" s="3">
        <v>229</v>
      </c>
      <c r="AN125" s="3" t="str">
        <f>IFERROR(MID(VLOOKUP($B125,Seqs!$A:$B,2,0),AO125,1),"")</f>
        <v>K</v>
      </c>
      <c r="AO125" s="3">
        <v>267</v>
      </c>
      <c r="AP125" s="3" t="str">
        <f>IFERROR(MID(VLOOKUP($B125,Seqs!$A:$B,2,0),AQ125,1),"")</f>
        <v>Q</v>
      </c>
      <c r="AQ125" s="3">
        <v>299</v>
      </c>
      <c r="AR125" s="3" t="str">
        <f>IFERROR(MID(VLOOKUP($B125,Seqs!$A:$B,2,0),AS125,1),"")</f>
        <v>R</v>
      </c>
      <c r="AS125" s="3">
        <v>304</v>
      </c>
      <c r="AT125" s="3" t="str">
        <f>IFERROR(MID(VLOOKUP($B125,Seqs!$A:$B,2,0),AU125,1),"")</f>
        <v>R</v>
      </c>
      <c r="AU125" s="3">
        <v>328</v>
      </c>
      <c r="AV125" s="3" t="str">
        <f>IFERROR(MID(VLOOKUP($B125,Seqs!$A:$B,2,0),AW125,1),"")</f>
        <v>S</v>
      </c>
      <c r="AW125" s="3">
        <v>329</v>
      </c>
      <c r="AX125" s="3" t="str">
        <f>IFERROR(MID(VLOOKUP($B125,Seqs!$A:$B,2,0),AY125,1),"")</f>
        <v>C</v>
      </c>
      <c r="AY125" s="3">
        <v>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840"/>
        <v>1</v>
      </c>
      <c r="BC125" s="23">
        <f t="shared" si="617"/>
        <v>244</v>
      </c>
      <c r="BD125" s="4" t="s">
        <v>23</v>
      </c>
      <c r="BE125" s="3" t="s">
        <v>1375</v>
      </c>
      <c r="BF125" s="119">
        <v>3.2</v>
      </c>
      <c r="BG125" s="49" t="s">
        <v>1</v>
      </c>
      <c r="BH125" s="49" t="s">
        <v>1378</v>
      </c>
      <c r="BI125" s="1"/>
      <c r="BJ125" s="70" t="s">
        <v>1288</v>
      </c>
      <c r="BK125" s="57" t="s">
        <v>1288</v>
      </c>
      <c r="BL125" s="57" t="s">
        <v>1288</v>
      </c>
      <c r="BM125" s="57" t="s">
        <v>1288</v>
      </c>
      <c r="BN125" s="57" t="s">
        <v>1288</v>
      </c>
      <c r="BO125" s="57" t="s">
        <v>1288</v>
      </c>
      <c r="BP125" s="57" t="s">
        <v>1288</v>
      </c>
      <c r="BQ125" s="57" t="s">
        <v>1288</v>
      </c>
      <c r="BR125" s="57" t="s">
        <v>1288</v>
      </c>
      <c r="BS125" s="57" t="s">
        <v>1288</v>
      </c>
      <c r="BT125" s="57" t="s">
        <v>1288</v>
      </c>
      <c r="BU125" s="57" t="s">
        <v>1288</v>
      </c>
      <c r="BV125" s="70">
        <f t="shared" si="618"/>
        <v>29</v>
      </c>
      <c r="BW125" s="71">
        <f t="shared" si="619"/>
        <v>62</v>
      </c>
      <c r="BX125" s="72">
        <f t="shared" si="620"/>
        <v>66</v>
      </c>
      <c r="BY125" s="71">
        <f t="shared" si="621"/>
        <v>98</v>
      </c>
      <c r="BZ125" s="72">
        <f t="shared" si="622"/>
        <v>102</v>
      </c>
      <c r="CA125" s="71" t="str">
        <f t="shared" si="623"/>
        <v>-</v>
      </c>
      <c r="CB125" s="72">
        <f t="shared" si="624"/>
        <v>146</v>
      </c>
      <c r="CC125" s="71">
        <f t="shared" si="625"/>
        <v>191</v>
      </c>
      <c r="CD125" s="72">
        <f t="shared" si="626"/>
        <v>196</v>
      </c>
      <c r="CE125" s="71">
        <f t="shared" si="627"/>
        <v>267</v>
      </c>
      <c r="CF125" s="72">
        <f t="shared" si="628"/>
        <v>304</v>
      </c>
      <c r="CG125" s="71">
        <f t="shared" si="629"/>
        <v>329</v>
      </c>
      <c r="CH125" s="70">
        <f t="shared" si="630"/>
        <v>61</v>
      </c>
      <c r="CI125" s="71">
        <f t="shared" si="631"/>
        <v>65</v>
      </c>
      <c r="CJ125" s="72">
        <f t="shared" si="632"/>
        <v>96</v>
      </c>
      <c r="CK125" s="72">
        <f t="shared" si="633"/>
        <v>101</v>
      </c>
      <c r="CL125" s="72">
        <f t="shared" si="634"/>
        <v>137</v>
      </c>
      <c r="CM125" s="72" t="str">
        <f t="shared" si="635"/>
        <v>-</v>
      </c>
      <c r="CN125" s="72">
        <f t="shared" si="636"/>
        <v>172</v>
      </c>
      <c r="CO125" s="72">
        <f t="shared" si="637"/>
        <v>193</v>
      </c>
      <c r="CP125" s="72">
        <f t="shared" si="638"/>
        <v>229</v>
      </c>
      <c r="CQ125" s="72">
        <f t="shared" si="639"/>
        <v>299</v>
      </c>
      <c r="CR125" s="72">
        <f t="shared" si="640"/>
        <v>328</v>
      </c>
      <c r="CS125" s="72">
        <f t="shared" si="641"/>
        <v>341</v>
      </c>
      <c r="CT125" s="23">
        <f t="shared" si="642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839"/>
        <v>adrb2_human_5JQH</v>
      </c>
      <c r="B126" s="3" t="s">
        <v>126</v>
      </c>
      <c r="C126" s="3" t="s">
        <v>1345</v>
      </c>
      <c r="D126" s="3" t="str">
        <f>IFERROR(MID(VLOOKUP($B126,Seqs!$A:$B,2,0),E126,1),"")</f>
        <v/>
      </c>
      <c r="E126" s="3">
        <v>1023</v>
      </c>
      <c r="F126" s="3" t="str">
        <f>IFERROR(MID(VLOOKUP($B126,Seqs!$A:$B,2,0),G126,1),"")</f>
        <v/>
      </c>
      <c r="G126" s="3">
        <v>1061</v>
      </c>
      <c r="H126" s="3" t="str">
        <f>IFERROR(MID(VLOOKUP($B126,Seqs!$A:$B,2,0),I126,1),"")</f>
        <v/>
      </c>
      <c r="I126" s="23">
        <v>1062</v>
      </c>
      <c r="J126" s="3" t="str">
        <f>IFERROR(MID(VLOOKUP($B126,Seqs!$A:$B,2,0),K126,1),"")</f>
        <v/>
      </c>
      <c r="K126" s="23">
        <v>1065</v>
      </c>
      <c r="L126" s="3" t="str">
        <f>IFERROR(MID(VLOOKUP($B126,Seqs!$A:$B,2,0),M126,1),"")</f>
        <v/>
      </c>
      <c r="M126" s="3">
        <v>1066</v>
      </c>
      <c r="N126" s="3" t="str">
        <f>IFERROR(MID(VLOOKUP($B126,Seqs!$A:$B,2,0),O126,1),"")</f>
        <v/>
      </c>
      <c r="O126" s="3">
        <v>1096</v>
      </c>
      <c r="P126" s="3" t="str">
        <f>IFERROR(MID(VLOOKUP($B126,Seqs!$A:$B,2,0),Q126,1),"")</f>
        <v/>
      </c>
      <c r="Q126" s="3">
        <v>1098</v>
      </c>
      <c r="R126" s="3" t="str">
        <f>IFERROR(MID(VLOOKUP($B126,Seqs!$A:$B,2,0),S126,1),"")</f>
        <v/>
      </c>
      <c r="S126" s="3">
        <v>1101</v>
      </c>
      <c r="T126" s="3" t="str">
        <f>IFERROR(MID(VLOOKUP($B126,Seqs!$A:$B,2,0),U126,1),"")</f>
        <v/>
      </c>
      <c r="U126" s="3">
        <v>1102</v>
      </c>
      <c r="V126" s="3" t="str">
        <f>IFERROR(MID(VLOOKUP($B126,Seqs!$A:$B,2,0),W126,1),"")</f>
        <v/>
      </c>
      <c r="W126" s="3">
        <v>1137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/>
      </c>
      <c r="AC126" s="9">
        <v>1146</v>
      </c>
      <c r="AD126" s="3" t="str">
        <f>IFERROR(MID(VLOOKUP($B126,Seqs!$A:$B,2,0),AE126,1),"")</f>
        <v/>
      </c>
      <c r="AE126" s="3">
        <v>1172</v>
      </c>
      <c r="AF126" s="3" t="str">
        <f>IFERROR(MID(VLOOKUP($B126,Seqs!$A:$B,2,0),AG126,1),"")</f>
        <v/>
      </c>
      <c r="AG126" s="3">
        <v>1191</v>
      </c>
      <c r="AH126" s="3" t="str">
        <f>IFERROR(MID(VLOOKUP($B126,Seqs!$A:$B,2,0),AI126,1),"")</f>
        <v/>
      </c>
      <c r="AI126" s="3">
        <v>1193</v>
      </c>
      <c r="AJ126" s="3" t="str">
        <f>IFERROR(MID(VLOOKUP($B126,Seqs!$A:$B,2,0),AK126,1),"")</f>
        <v/>
      </c>
      <c r="AK126" s="3">
        <v>1196</v>
      </c>
      <c r="AL126" s="3" t="str">
        <f>IFERROR(MID(VLOOKUP($B126,Seqs!$A:$B,2,0),AM126,1),"")</f>
        <v/>
      </c>
      <c r="AM126" s="3">
        <v>1230</v>
      </c>
      <c r="AN126" s="3" t="str">
        <f>IFERROR(MID(VLOOKUP($B126,Seqs!$A:$B,2,0),AO126,1),"")</f>
        <v/>
      </c>
      <c r="AO126" s="3">
        <v>1271</v>
      </c>
      <c r="AP126" s="3" t="str">
        <f>IFERROR(MID(VLOOKUP($B126,Seqs!$A:$B,2,0),AQ126,1),"")</f>
        <v/>
      </c>
      <c r="AQ126" s="3">
        <v>1299</v>
      </c>
      <c r="AR126" s="3" t="str">
        <f>IFERROR(MID(VLOOKUP($B126,Seqs!$A:$B,2,0),AS126,1),"")</f>
        <v/>
      </c>
      <c r="AS126" s="3">
        <v>1304</v>
      </c>
      <c r="AT126" s="3" t="str">
        <f>IFERROR(MID(VLOOKUP($B126,Seqs!$A:$B,2,0),AU126,1),"")</f>
        <v/>
      </c>
      <c r="AU126" s="3">
        <v>1328</v>
      </c>
      <c r="AV126" s="3" t="str">
        <f>IFERROR(MID(VLOOKUP($B126,Seqs!$A:$B,2,0),AW126,1),"")</f>
        <v/>
      </c>
      <c r="AW126" s="3">
        <v>1329</v>
      </c>
      <c r="AX126" s="3" t="str">
        <f>IFERROR(MID(VLOOKUP($B126,Seqs!$A:$B,2,0),AY126,1),"")</f>
        <v/>
      </c>
      <c r="AY126" s="3">
        <v>1341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840"/>
        <v>1</v>
      </c>
      <c r="BC126" s="23">
        <f t="shared" si="617"/>
        <v>247</v>
      </c>
      <c r="BD126" s="74" t="s">
        <v>1377</v>
      </c>
      <c r="BE126" s="3" t="s">
        <v>1375</v>
      </c>
      <c r="BF126" s="119">
        <v>3.2</v>
      </c>
      <c r="BG126" s="49" t="s">
        <v>1282</v>
      </c>
      <c r="BH126" s="49" t="s">
        <v>1378</v>
      </c>
      <c r="BI126" s="1"/>
      <c r="BJ126" s="70" t="s">
        <v>1288</v>
      </c>
      <c r="BK126" s="57" t="s">
        <v>1288</v>
      </c>
      <c r="BL126" s="57" t="s">
        <v>1288</v>
      </c>
      <c r="BM126" s="57" t="s">
        <v>1288</v>
      </c>
      <c r="BN126" s="57" t="s">
        <v>1288</v>
      </c>
      <c r="BO126" s="57" t="s">
        <v>1288</v>
      </c>
      <c r="BP126" s="57" t="s">
        <v>1288</v>
      </c>
      <c r="BQ126" s="57" t="s">
        <v>1288</v>
      </c>
      <c r="BR126" s="57" t="s">
        <v>1288</v>
      </c>
      <c r="BS126" s="57" t="s">
        <v>1288</v>
      </c>
      <c r="BT126" s="57" t="s">
        <v>1288</v>
      </c>
      <c r="BU126" s="57" t="s">
        <v>1288</v>
      </c>
      <c r="BV126" s="70">
        <f t="shared" si="618"/>
        <v>1023</v>
      </c>
      <c r="BW126" s="71">
        <f t="shared" si="619"/>
        <v>1062</v>
      </c>
      <c r="BX126" s="72">
        <f t="shared" si="620"/>
        <v>1066</v>
      </c>
      <c r="BY126" s="71">
        <f t="shared" si="621"/>
        <v>1098</v>
      </c>
      <c r="BZ126" s="72">
        <f t="shared" si="622"/>
        <v>1102</v>
      </c>
      <c r="CA126" s="71" t="str">
        <f t="shared" si="623"/>
        <v>-</v>
      </c>
      <c r="CB126" s="72">
        <f t="shared" si="624"/>
        <v>1146</v>
      </c>
      <c r="CC126" s="71">
        <f t="shared" si="625"/>
        <v>1191</v>
      </c>
      <c r="CD126" s="72">
        <f t="shared" si="626"/>
        <v>1196</v>
      </c>
      <c r="CE126" s="71">
        <f t="shared" si="627"/>
        <v>1271</v>
      </c>
      <c r="CF126" s="72">
        <f t="shared" si="628"/>
        <v>1304</v>
      </c>
      <c r="CG126" s="71">
        <f t="shared" si="629"/>
        <v>1329</v>
      </c>
      <c r="CH126" s="70">
        <f t="shared" si="630"/>
        <v>1061</v>
      </c>
      <c r="CI126" s="71">
        <f t="shared" si="631"/>
        <v>1065</v>
      </c>
      <c r="CJ126" s="72">
        <f t="shared" si="632"/>
        <v>1096</v>
      </c>
      <c r="CK126" s="72">
        <f t="shared" si="633"/>
        <v>1101</v>
      </c>
      <c r="CL126" s="72">
        <f t="shared" si="634"/>
        <v>1137</v>
      </c>
      <c r="CM126" s="72" t="str">
        <f t="shared" si="635"/>
        <v>-</v>
      </c>
      <c r="CN126" s="72">
        <f t="shared" si="636"/>
        <v>1172</v>
      </c>
      <c r="CO126" s="72">
        <f t="shared" si="637"/>
        <v>1193</v>
      </c>
      <c r="CP126" s="72">
        <f t="shared" si="638"/>
        <v>1230</v>
      </c>
      <c r="CQ126" s="72">
        <f t="shared" si="639"/>
        <v>1299</v>
      </c>
      <c r="CR126" s="72">
        <f t="shared" si="640"/>
        <v>1328</v>
      </c>
      <c r="CS126" s="72">
        <f t="shared" si="641"/>
        <v>1341</v>
      </c>
      <c r="CT126" s="23">
        <f t="shared" si="642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>CONCATENATE(B127,"_",C127)</f>
        <v>adrb2_human_5X7D</v>
      </c>
      <c r="B127" s="3" t="s">
        <v>126</v>
      </c>
      <c r="C127" s="3" t="s">
        <v>1438</v>
      </c>
      <c r="D127" s="3" t="str">
        <f>IFERROR(MID(VLOOKUP($B127,Seqs!$A:$B,2,0),E127,1),"")</f>
        <v>V</v>
      </c>
      <c r="E127" s="3">
        <v>33</v>
      </c>
      <c r="F127" s="3" t="str">
        <f>IFERROR(MID(VLOOKUP($B127,Seqs!$A:$B,2,0),G127,1),"")</f>
        <v>F</v>
      </c>
      <c r="G127" s="3">
        <v>61</v>
      </c>
      <c r="H127" s="3" t="str">
        <f>IFERROR(MID(VLOOKUP($B127,Seqs!$A:$B,2,0),I127,1),"")</f>
        <v>E</v>
      </c>
      <c r="I127" s="23">
        <v>62</v>
      </c>
      <c r="J127" s="3" t="str">
        <f>IFERROR(MID(VLOOKUP($B127,Seqs!$A:$B,2,0),K127,1),"")</f>
        <v>Q</v>
      </c>
      <c r="K127" s="23">
        <v>65</v>
      </c>
      <c r="L127" s="3" t="str">
        <f>IFERROR(MID(VLOOKUP($B127,Seqs!$A:$B,2,0),M127,1),"")</f>
        <v>T</v>
      </c>
      <c r="M127" s="3">
        <v>66</v>
      </c>
      <c r="N127" s="3" t="str">
        <f>IFERROR(MID(VLOOKUP($B127,Seqs!$A:$B,2,0),O127,1),"")</f>
        <v>M</v>
      </c>
      <c r="O127" s="3">
        <v>96</v>
      </c>
      <c r="P127" s="3" t="str">
        <f>IFERROR(MID(VLOOKUP($B127,Seqs!$A:$B,2,0),Q127,1),"")</f>
        <v>M</v>
      </c>
      <c r="Q127" s="3">
        <v>98</v>
      </c>
      <c r="R127" s="3" t="str">
        <f>IFERROR(MID(VLOOKUP($B127,Seqs!$A:$B,2,0),S127,1),"")</f>
        <v>F</v>
      </c>
      <c r="S127" s="3">
        <v>101</v>
      </c>
      <c r="T127" s="3" t="str">
        <f>IFERROR(MID(VLOOKUP($B127,Seqs!$A:$B,2,0),U127,1),"")</f>
        <v>G</v>
      </c>
      <c r="U127" s="3">
        <v>102</v>
      </c>
      <c r="V127" s="3" t="str">
        <f>IFERROR(MID(VLOOKUP($B127,Seqs!$A:$B,2,0),W127,1),"")</f>
        <v>T</v>
      </c>
      <c r="W127" s="3">
        <v>136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3">
        <v>146</v>
      </c>
      <c r="AD127" s="3" t="str">
        <f>IFERROR(MID(VLOOKUP($B127,Seqs!$A:$B,2,0),AE127,1),"")</f>
        <v>H</v>
      </c>
      <c r="AE127" s="3">
        <v>172</v>
      </c>
      <c r="AF127" s="3" t="str">
        <f>IFERROR(MID(VLOOKUP($B127,Seqs!$A:$B,2,0),AG127,1),"")</f>
        <v>C</v>
      </c>
      <c r="AG127" s="3">
        <v>191</v>
      </c>
      <c r="AH127" s="3" t="str">
        <f>IFERROR(MID(VLOOKUP($B127,Seqs!$A:$B,2,0),AI127,1),"")</f>
        <v>F</v>
      </c>
      <c r="AI127" s="3">
        <v>193</v>
      </c>
      <c r="AJ127" s="3" t="str">
        <f>IFERROR(MID(VLOOKUP($B127,Seqs!$A:$B,2,0),AK127,1),"")</f>
        <v>N</v>
      </c>
      <c r="AK127" s="3">
        <v>196</v>
      </c>
      <c r="AL127" s="3" t="str">
        <f>IFERROR(MID(VLOOKUP($B127,Seqs!$A:$B,2,0),AM127,1),"")</f>
        <v>L</v>
      </c>
      <c r="AM127" s="3">
        <v>230</v>
      </c>
      <c r="AN127" s="3" t="str">
        <f>IFERROR(MID(VLOOKUP($B127,Seqs!$A:$B,2,0),AO127,1),"")</f>
        <v>A</v>
      </c>
      <c r="AO127" s="3">
        <v>271</v>
      </c>
      <c r="AP127" s="3" t="str">
        <f>IFERROR(MID(VLOOKUP($B127,Seqs!$A:$B,2,0),AQ127,1),"")</f>
        <v>Q</v>
      </c>
      <c r="AQ127" s="3">
        <v>299</v>
      </c>
      <c r="AR127" s="3" t="str">
        <f>IFERROR(MID(VLOOKUP($B127,Seqs!$A:$B,2,0),AS127,1),"")</f>
        <v>R</v>
      </c>
      <c r="AS127" s="3">
        <v>304</v>
      </c>
      <c r="AT127" s="3" t="str">
        <f>IFERROR(MID(VLOOKUP($B127,Seqs!$A:$B,2,0),AU127,1),"")</f>
        <v>R</v>
      </c>
      <c r="AU127" s="3">
        <v>328</v>
      </c>
      <c r="AV127" s="3" t="str">
        <f>IFERROR(MID(VLOOKUP($B127,Seqs!$A:$B,2,0),AW127,1),"")</f>
        <v>S</v>
      </c>
      <c r="AW127" s="3">
        <v>329</v>
      </c>
      <c r="AX127" s="3" t="str">
        <f>IFERROR(MID(VLOOKUP($B127,Seqs!$A:$B,2,0),AY127,1),"")</f>
        <v>C</v>
      </c>
      <c r="AY127" s="3">
        <v>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>_xlfn.AGGREGATE(9,6,CH127:CS127)-_xlfn.AGGREGATE(9,6,BV127:CG127)+12</f>
        <v>236</v>
      </c>
      <c r="BD127" s="74" t="s">
        <v>23</v>
      </c>
      <c r="BE127" s="3" t="s">
        <v>1375</v>
      </c>
      <c r="BF127" s="119">
        <v>4.2</v>
      </c>
      <c r="BG127" s="49" t="s">
        <v>1282</v>
      </c>
      <c r="BH127" s="49" t="s">
        <v>1378</v>
      </c>
      <c r="BI127" s="1"/>
      <c r="BJ127" s="70" t="s">
        <v>1288</v>
      </c>
      <c r="BK127" s="57" t="s">
        <v>1288</v>
      </c>
      <c r="BL127" s="57" t="s">
        <v>1288</v>
      </c>
      <c r="BM127" s="57" t="s">
        <v>1288</v>
      </c>
      <c r="BN127" s="57" t="s">
        <v>1288</v>
      </c>
      <c r="BO127" s="57" t="s">
        <v>1288</v>
      </c>
      <c r="BP127" s="57" t="s">
        <v>1288</v>
      </c>
      <c r="BQ127" s="57" t="s">
        <v>1288</v>
      </c>
      <c r="BR127" s="57" t="s">
        <v>1288</v>
      </c>
      <c r="BS127" s="57" t="s">
        <v>1288</v>
      </c>
      <c r="BT127" s="57" t="s">
        <v>1288</v>
      </c>
      <c r="BU127" s="57" t="s">
        <v>1288</v>
      </c>
      <c r="BV127" s="70">
        <f>E127</f>
        <v>33</v>
      </c>
      <c r="BW127" s="71">
        <f>I127</f>
        <v>62</v>
      </c>
      <c r="BX127" s="72">
        <f>M127</f>
        <v>66</v>
      </c>
      <c r="BY127" s="71">
        <f>Q127</f>
        <v>98</v>
      </c>
      <c r="BZ127" s="72">
        <f>U127</f>
        <v>102</v>
      </c>
      <c r="CA127" s="71" t="str">
        <f>Y127</f>
        <v>-</v>
      </c>
      <c r="CB127" s="72">
        <f>AC127</f>
        <v>146</v>
      </c>
      <c r="CC127" s="71">
        <f>AG127</f>
        <v>191</v>
      </c>
      <c r="CD127" s="72">
        <f>AK127</f>
        <v>196</v>
      </c>
      <c r="CE127" s="71">
        <f>AO127</f>
        <v>271</v>
      </c>
      <c r="CF127" s="72">
        <f>AS127</f>
        <v>304</v>
      </c>
      <c r="CG127" s="71">
        <f>AW127</f>
        <v>329</v>
      </c>
      <c r="CH127" s="70">
        <f>G127</f>
        <v>61</v>
      </c>
      <c r="CI127" s="71">
        <f>K127</f>
        <v>65</v>
      </c>
      <c r="CJ127" s="72">
        <f>O127</f>
        <v>96</v>
      </c>
      <c r="CK127" s="72">
        <f>S127</f>
        <v>101</v>
      </c>
      <c r="CL127" s="72">
        <f>W127</f>
        <v>136</v>
      </c>
      <c r="CM127" s="72" t="str">
        <f>AA127</f>
        <v>-</v>
      </c>
      <c r="CN127" s="72">
        <f>AE127</f>
        <v>172</v>
      </c>
      <c r="CO127" s="72">
        <f>AI127</f>
        <v>193</v>
      </c>
      <c r="CP127" s="72">
        <f>AM127</f>
        <v>230</v>
      </c>
      <c r="CQ127" s="72">
        <f>AQ127</f>
        <v>299</v>
      </c>
      <c r="CR127" s="72">
        <f>AU127</f>
        <v>328</v>
      </c>
      <c r="CS127" s="72">
        <f>AY127</f>
        <v>341</v>
      </c>
      <c r="CT127" s="23">
        <f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9" t="str">
        <f>CONCATENATE(B128,"_",C128)</f>
        <v>adrb2_human_6E67</v>
      </c>
      <c r="B128" s="9" t="s">
        <v>126</v>
      </c>
      <c r="C128" s="131" t="s">
        <v>1580</v>
      </c>
      <c r="D128" s="9" t="str">
        <f>IFERROR(MID(VLOOKUP($B128,Seqs!$A:$B,2,0),E128,1),"")</f>
        <v>D</v>
      </c>
      <c r="E128" s="9">
        <v>29</v>
      </c>
      <c r="F128" s="9" t="str">
        <f>IFERROR(MID(VLOOKUP($B128,Seqs!$A:$B,2,0),G128,1),"")</f>
        <v>K</v>
      </c>
      <c r="G128" s="9">
        <v>60</v>
      </c>
      <c r="H128" s="9" t="str">
        <f>IFERROR(MID(VLOOKUP($B128,Seqs!$A:$B,2,0),I128,1),"")</f>
        <v>E</v>
      </c>
      <c r="I128" s="109">
        <v>62</v>
      </c>
      <c r="J128" s="9" t="str">
        <f>IFERROR(MID(VLOOKUP($B128,Seqs!$A:$B,2,0),K128,1),"")</f>
        <v>Q</v>
      </c>
      <c r="K128" s="109">
        <v>65</v>
      </c>
      <c r="L128" s="9" t="str">
        <f>IFERROR(MID(VLOOKUP($B128,Seqs!$A:$B,2,0),M128,1),"")</f>
        <v>T</v>
      </c>
      <c r="M128" s="9">
        <v>66</v>
      </c>
      <c r="N128" s="9" t="str">
        <f>IFERROR(MID(VLOOKUP($B128,Seqs!$A:$B,2,0),O128,1),"")</f>
        <v>K</v>
      </c>
      <c r="O128" s="9">
        <v>97</v>
      </c>
      <c r="P128" s="9" t="str">
        <f>IFERROR(MID(VLOOKUP($B128,Seqs!$A:$B,2,0),Q128,1),"")</f>
        <v>M</v>
      </c>
      <c r="Q128" s="9">
        <v>98</v>
      </c>
      <c r="R128" s="9" t="str">
        <f>IFERROR(MID(VLOOKUP($B128,Seqs!$A:$B,2,0),S128,1),"")</f>
        <v>F</v>
      </c>
      <c r="S128" s="9">
        <v>101</v>
      </c>
      <c r="T128" s="9" t="str">
        <f>IFERROR(MID(VLOOKUP($B128,Seqs!$A:$B,2,0),U128,1),"")</f>
        <v>G</v>
      </c>
      <c r="U128" s="9">
        <v>102</v>
      </c>
      <c r="V128" s="9" t="str">
        <f>IFERROR(MID(VLOOKUP($B128,Seqs!$A:$B,2,0),W128,1),"")</f>
        <v>S</v>
      </c>
      <c r="W128" s="9">
        <v>137</v>
      </c>
      <c r="X128" s="9" t="str">
        <f>IFERROR(MID(VLOOKUP($B128,Seqs!$A:$B,2,0),Y128,1),"")</f>
        <v>P</v>
      </c>
      <c r="Y128" s="9">
        <v>138</v>
      </c>
      <c r="Z128" s="9" t="str">
        <f>IFERROR(MID(VLOOKUP($B128,Seqs!$A:$B,2,0),AA128,1),"")</f>
        <v>L</v>
      </c>
      <c r="AA128" s="9">
        <v>145</v>
      </c>
      <c r="AB128" s="9" t="str">
        <f>IFERROR(MID(VLOOKUP($B128,Seqs!$A:$B,2,0),AC128,1),"")</f>
        <v>T</v>
      </c>
      <c r="AC128" s="9">
        <v>146</v>
      </c>
      <c r="AD128" s="9" t="str">
        <f>IFERROR(MID(VLOOKUP($B128,Seqs!$A:$B,2,0),AE128,1),"")</f>
        <v>H</v>
      </c>
      <c r="AE128" s="9">
        <v>172</v>
      </c>
      <c r="AF128" s="9" t="str">
        <f>IFERROR(MID(VLOOKUP($B128,Seqs!$A:$B,2,0),AG128,1),"")</f>
        <v>C</v>
      </c>
      <c r="AG128" s="9">
        <v>191</v>
      </c>
      <c r="AH128" s="9" t="str">
        <f>IFERROR(MID(VLOOKUP($B128,Seqs!$A:$B,2,0),AI128,1),"")</f>
        <v>F</v>
      </c>
      <c r="AI128" s="9">
        <v>193</v>
      </c>
      <c r="AJ128" s="9" t="str">
        <f>IFERROR(MID(VLOOKUP($B128,Seqs!$A:$B,2,0),AK128,1),"")</f>
        <v>N</v>
      </c>
      <c r="AK128" s="9">
        <v>196</v>
      </c>
      <c r="AL128" s="9" t="str">
        <f>IFERROR(MID(VLOOKUP($B128,Seqs!$A:$B,2,0),AM128,1),"")</f>
        <v>A</v>
      </c>
      <c r="AM128" s="9">
        <v>226</v>
      </c>
      <c r="AN128" s="9" t="str">
        <f>IFERROR(MID(VLOOKUP($B128,Seqs!$A:$B,2,0),AO128,1),"")</f>
        <v>E</v>
      </c>
      <c r="AO128" s="9">
        <v>268</v>
      </c>
      <c r="AP128" s="9" t="str">
        <f>IFERROR(MID(VLOOKUP($B128,Seqs!$A:$B,2,0),AQ128,1),"")</f>
        <v>Q</v>
      </c>
      <c r="AQ128" s="9">
        <v>299</v>
      </c>
      <c r="AR128" s="9" t="str">
        <f>IFERROR(MID(VLOOKUP($B128,Seqs!$A:$B,2,0),AS128,1),"")</f>
        <v>R</v>
      </c>
      <c r="AS128" s="9">
        <v>304</v>
      </c>
      <c r="AT128" s="9" t="str">
        <f>IFERROR(MID(VLOOKUP($B128,Seqs!$A:$B,2,0),AU128,1),"")</f>
        <v>P</v>
      </c>
      <c r="AU128" s="9">
        <v>323</v>
      </c>
      <c r="AV128" s="9" t="str">
        <f>IFERROR(MID(VLOOKUP($B128,Seqs!$A:$B,2,0),AW128,1),"")</f>
        <v>S</v>
      </c>
      <c r="AW128" s="9">
        <v>329</v>
      </c>
      <c r="AX128" s="9" t="str">
        <f>IFERROR(MID(VLOOKUP($B128,Seqs!$A:$B,2,0),AY128,1),"")</f>
        <v>L</v>
      </c>
      <c r="AY128" s="9">
        <v>340</v>
      </c>
      <c r="AZ128" s="110" t="str">
        <f>VLOOKUP(B128,Classification!A:D,2,0)</f>
        <v>A</v>
      </c>
      <c r="BA128" s="98" t="str">
        <f>VLOOKUP(B128,Classification!A:D,4,0)</f>
        <v>Adrenoceptors</v>
      </c>
      <c r="BB128" s="36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>_xlfn.AGGREGATE(9,6,CH128:CS128)-_xlfn.AGGREGATE(9,6,BV128:CG128)+12</f>
        <v>241</v>
      </c>
      <c r="BD128" s="124" t="s">
        <v>23</v>
      </c>
      <c r="BE128" s="9" t="s">
        <v>1292</v>
      </c>
      <c r="BF128" s="120">
        <v>3.7</v>
      </c>
      <c r="BG128" s="51" t="s">
        <v>1282</v>
      </c>
      <c r="BH128" s="51" t="s">
        <v>1282</v>
      </c>
      <c r="BI128" s="12"/>
      <c r="BJ128" s="111" t="s">
        <v>1288</v>
      </c>
      <c r="BK128" s="112" t="s">
        <v>1288</v>
      </c>
      <c r="BL128" s="112" t="s">
        <v>1288</v>
      </c>
      <c r="BM128" s="112" t="s">
        <v>1288</v>
      </c>
      <c r="BN128" s="112" t="s">
        <v>1288</v>
      </c>
      <c r="BO128" s="112" t="s">
        <v>1288</v>
      </c>
      <c r="BP128" s="112" t="s">
        <v>1288</v>
      </c>
      <c r="BQ128" s="112" t="s">
        <v>1288</v>
      </c>
      <c r="BR128" s="112" t="s">
        <v>1288</v>
      </c>
      <c r="BS128" s="112" t="s">
        <v>1288</v>
      </c>
      <c r="BT128" s="112" t="s">
        <v>1288</v>
      </c>
      <c r="BU128" s="112" t="s">
        <v>1288</v>
      </c>
      <c r="BV128" s="111">
        <f>E128</f>
        <v>29</v>
      </c>
      <c r="BW128" s="113">
        <f>I128</f>
        <v>62</v>
      </c>
      <c r="BX128" s="114">
        <f>M128</f>
        <v>66</v>
      </c>
      <c r="BY128" s="113">
        <f>Q128</f>
        <v>98</v>
      </c>
      <c r="BZ128" s="114">
        <f>U128</f>
        <v>102</v>
      </c>
      <c r="CA128" s="113">
        <f>Y128</f>
        <v>138</v>
      </c>
      <c r="CB128" s="114">
        <f>AC128</f>
        <v>146</v>
      </c>
      <c r="CC128" s="113">
        <f>AG128</f>
        <v>191</v>
      </c>
      <c r="CD128" s="114">
        <f>AK128</f>
        <v>196</v>
      </c>
      <c r="CE128" s="113">
        <f>AO128</f>
        <v>268</v>
      </c>
      <c r="CF128" s="114">
        <f>AS128</f>
        <v>304</v>
      </c>
      <c r="CG128" s="113">
        <f>AW128</f>
        <v>329</v>
      </c>
      <c r="CH128" s="111">
        <f>G128</f>
        <v>60</v>
      </c>
      <c r="CI128" s="113">
        <f>K128</f>
        <v>65</v>
      </c>
      <c r="CJ128" s="114">
        <f>O128</f>
        <v>97</v>
      </c>
      <c r="CK128" s="114">
        <f>S128</f>
        <v>101</v>
      </c>
      <c r="CL128" s="114">
        <f>W128</f>
        <v>137</v>
      </c>
      <c r="CM128" s="114">
        <f>AA128</f>
        <v>145</v>
      </c>
      <c r="CN128" s="114">
        <f>AE128</f>
        <v>172</v>
      </c>
      <c r="CO128" s="114">
        <f>AI128</f>
        <v>193</v>
      </c>
      <c r="CP128" s="114">
        <f>AM128</f>
        <v>226</v>
      </c>
      <c r="CQ128" s="114">
        <f>AQ128</f>
        <v>299</v>
      </c>
      <c r="CR128" s="114">
        <f>AU128</f>
        <v>323</v>
      </c>
      <c r="CS128" s="114">
        <f>AY128</f>
        <v>340</v>
      </c>
      <c r="CT128" s="109">
        <f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12" customFormat="1" x14ac:dyDescent="0.2">
      <c r="A129" s="9" t="str">
        <f>CONCATENATE(B129,"_",C129)</f>
        <v>adrb2_human_6MXT</v>
      </c>
      <c r="B129" s="9" t="s">
        <v>126</v>
      </c>
      <c r="C129" s="9" t="s">
        <v>1527</v>
      </c>
      <c r="D129" s="9" t="str">
        <f>IFERROR(MID(VLOOKUP($B129,Seqs!$A:$B,2,0),E129,1),"")</f>
        <v/>
      </c>
      <c r="E129" s="9">
        <v>1029</v>
      </c>
      <c r="F129" s="9" t="str">
        <f>IFERROR(MID(VLOOKUP($B129,Seqs!$A:$B,2,0),G129,1),"")</f>
        <v/>
      </c>
      <c r="G129" s="9">
        <v>1061</v>
      </c>
      <c r="H129" s="9" t="str">
        <f>IFERROR(MID(VLOOKUP($B129,Seqs!$A:$B,2,0),I129,1),"")</f>
        <v/>
      </c>
      <c r="I129" s="109">
        <v>1062</v>
      </c>
      <c r="J129" s="9" t="str">
        <f>IFERROR(MID(VLOOKUP($B129,Seqs!$A:$B,2,0),K129,1),"")</f>
        <v/>
      </c>
      <c r="K129" s="109">
        <v>1065</v>
      </c>
      <c r="L129" s="9" t="str">
        <f>IFERROR(MID(VLOOKUP($B129,Seqs!$A:$B,2,0),M129,1),"")</f>
        <v/>
      </c>
      <c r="M129" s="9">
        <v>1066</v>
      </c>
      <c r="N129" s="9" t="str">
        <f>IFERROR(MID(VLOOKUP($B129,Seqs!$A:$B,2,0),O129,1),"")</f>
        <v/>
      </c>
      <c r="O129" s="9">
        <v>1096</v>
      </c>
      <c r="P129" s="9" t="str">
        <f>IFERROR(MID(VLOOKUP($B129,Seqs!$A:$B,2,0),Q129,1),"")</f>
        <v/>
      </c>
      <c r="Q129" s="9">
        <v>1098</v>
      </c>
      <c r="R129" s="9" t="str">
        <f>IFERROR(MID(VLOOKUP($B129,Seqs!$A:$B,2,0),S129,1),"")</f>
        <v/>
      </c>
      <c r="S129" s="9">
        <v>1101</v>
      </c>
      <c r="T129" s="9" t="str">
        <f>IFERROR(MID(VLOOKUP($B129,Seqs!$A:$B,2,0),U129,1),"")</f>
        <v/>
      </c>
      <c r="U129" s="9">
        <v>1102</v>
      </c>
      <c r="V129" s="9" t="str">
        <f>IFERROR(MID(VLOOKUP($B129,Seqs!$A:$B,2,0),W129,1),"")</f>
        <v/>
      </c>
      <c r="W129" s="9">
        <v>1137</v>
      </c>
      <c r="X129" s="9" t="str">
        <f>IFERROR(MID(VLOOKUP($B129,Seqs!$A:$B,2,0),Y129,1),"")</f>
        <v/>
      </c>
      <c r="Y129" s="9">
        <v>1138</v>
      </c>
      <c r="Z129" s="9" t="str">
        <f>IFERROR(MID(VLOOKUP($B129,Seqs!$A:$B,2,0),AA129,1),"")</f>
        <v/>
      </c>
      <c r="AA129" s="9">
        <v>1145</v>
      </c>
      <c r="AB129" s="9" t="str">
        <f>IFERROR(MID(VLOOKUP($B129,Seqs!$A:$B,2,0),AC129,1),"")</f>
        <v/>
      </c>
      <c r="AC129" s="9">
        <v>1146</v>
      </c>
      <c r="AD129" s="9" t="str">
        <f>IFERROR(MID(VLOOKUP($B129,Seqs!$A:$B,2,0),AE129,1),"")</f>
        <v/>
      </c>
      <c r="AE129" s="9">
        <v>1172</v>
      </c>
      <c r="AF129" s="9" t="str">
        <f>IFERROR(MID(VLOOKUP($B129,Seqs!$A:$B,2,0),AG129,1),"")</f>
        <v/>
      </c>
      <c r="AG129" s="9">
        <v>1191</v>
      </c>
      <c r="AH129" s="9" t="str">
        <f>IFERROR(MID(VLOOKUP($B129,Seqs!$A:$B,2,0),AI129,1),"")</f>
        <v/>
      </c>
      <c r="AI129" s="9">
        <v>1193</v>
      </c>
      <c r="AJ129" s="9" t="str">
        <f>IFERROR(MID(VLOOKUP($B129,Seqs!$A:$B,2,0),AK129,1),"")</f>
        <v/>
      </c>
      <c r="AK129" s="9">
        <v>1196</v>
      </c>
      <c r="AL129" s="9" t="str">
        <f>IFERROR(MID(VLOOKUP($B129,Seqs!$A:$B,2,0),AM129,1),"")</f>
        <v/>
      </c>
      <c r="AM129" s="9">
        <v>1232</v>
      </c>
      <c r="AN129" s="9" t="str">
        <f>IFERROR(MID(VLOOKUP($B129,Seqs!$A:$B,2,0),AO129,1),"")</f>
        <v/>
      </c>
      <c r="AO129" s="9">
        <v>1265</v>
      </c>
      <c r="AP129" s="9" t="str">
        <f>IFERROR(MID(VLOOKUP($B129,Seqs!$A:$B,2,0),AQ129,1),"")</f>
        <v/>
      </c>
      <c r="AQ129" s="9">
        <v>1299</v>
      </c>
      <c r="AR129" s="9" t="str">
        <f>IFERROR(MID(VLOOKUP($B129,Seqs!$A:$B,2,0),AS129,1),"")</f>
        <v/>
      </c>
      <c r="AS129" s="9">
        <v>1304</v>
      </c>
      <c r="AT129" s="9" t="str">
        <f>IFERROR(MID(VLOOKUP($B129,Seqs!$A:$B,2,0),AU129,1),"")</f>
        <v/>
      </c>
      <c r="AU129" s="9">
        <v>1323</v>
      </c>
      <c r="AV129" s="9" t="str">
        <f>IFERROR(MID(VLOOKUP($B129,Seqs!$A:$B,2,0),AW129,1),"")</f>
        <v/>
      </c>
      <c r="AW129" s="9">
        <v>1329</v>
      </c>
      <c r="AX129" s="9" t="str">
        <f>IFERROR(MID(VLOOKUP($B129,Seqs!$A:$B,2,0),AY129,1),"")</f>
        <v/>
      </c>
      <c r="AY129" s="9">
        <v>1342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>_xlfn.AGGREGATE(9,6,CH129:CS129)-_xlfn.AGGREGATE(9,6,BV129:CG129)+12</f>
        <v>252</v>
      </c>
      <c r="BD129" s="124" t="s">
        <v>23</v>
      </c>
      <c r="BE129" s="9" t="s">
        <v>1292</v>
      </c>
      <c r="BF129" s="120">
        <v>2.96</v>
      </c>
      <c r="BG129" s="51" t="s">
        <v>1</v>
      </c>
      <c r="BH129" s="51" t="s">
        <v>1</v>
      </c>
      <c r="BJ129" s="111" t="s">
        <v>1288</v>
      </c>
      <c r="BK129" s="112" t="s">
        <v>1288</v>
      </c>
      <c r="BL129" s="112" t="s">
        <v>1288</v>
      </c>
      <c r="BM129" s="112" t="s">
        <v>1288</v>
      </c>
      <c r="BN129" s="112" t="s">
        <v>1288</v>
      </c>
      <c r="BO129" s="112" t="s">
        <v>1288</v>
      </c>
      <c r="BP129" s="112" t="s">
        <v>1288</v>
      </c>
      <c r="BQ129" s="112" t="s">
        <v>1288</v>
      </c>
      <c r="BR129" s="112" t="s">
        <v>1288</v>
      </c>
      <c r="BS129" s="112" t="s">
        <v>1288</v>
      </c>
      <c r="BT129" s="112" t="s">
        <v>1288</v>
      </c>
      <c r="BU129" s="112" t="s">
        <v>1288</v>
      </c>
      <c r="BV129" s="111">
        <f>E129</f>
        <v>1029</v>
      </c>
      <c r="BW129" s="113">
        <f>I129</f>
        <v>1062</v>
      </c>
      <c r="BX129" s="114">
        <f>M129</f>
        <v>1066</v>
      </c>
      <c r="BY129" s="113">
        <f>Q129</f>
        <v>1098</v>
      </c>
      <c r="BZ129" s="114">
        <f>U129</f>
        <v>1102</v>
      </c>
      <c r="CA129" s="113">
        <f>Y129</f>
        <v>1138</v>
      </c>
      <c r="CB129" s="114">
        <f>AC129</f>
        <v>1146</v>
      </c>
      <c r="CC129" s="113">
        <f>AG129</f>
        <v>1191</v>
      </c>
      <c r="CD129" s="114">
        <f>AK129</f>
        <v>1196</v>
      </c>
      <c r="CE129" s="113">
        <f>AO129</f>
        <v>1265</v>
      </c>
      <c r="CF129" s="114">
        <f>AS129</f>
        <v>1304</v>
      </c>
      <c r="CG129" s="113">
        <f>AW129</f>
        <v>1329</v>
      </c>
      <c r="CH129" s="111">
        <f>G129</f>
        <v>1061</v>
      </c>
      <c r="CI129" s="113">
        <f>K129</f>
        <v>1065</v>
      </c>
      <c r="CJ129" s="114">
        <f>O129</f>
        <v>1096</v>
      </c>
      <c r="CK129" s="114">
        <f>S129</f>
        <v>1101</v>
      </c>
      <c r="CL129" s="114">
        <f>W129</f>
        <v>1137</v>
      </c>
      <c r="CM129" s="114">
        <f>AA129</f>
        <v>1145</v>
      </c>
      <c r="CN129" s="114">
        <f>AE129</f>
        <v>1172</v>
      </c>
      <c r="CO129" s="114">
        <f>AI129</f>
        <v>1193</v>
      </c>
      <c r="CP129" s="114">
        <f>AM129</f>
        <v>1232</v>
      </c>
      <c r="CQ129" s="114">
        <f>AQ129</f>
        <v>1299</v>
      </c>
      <c r="CR129" s="114">
        <f>AU129</f>
        <v>1323</v>
      </c>
      <c r="CS129" s="114">
        <f>AY129</f>
        <v>1342</v>
      </c>
      <c r="CT129" s="109">
        <f>M129-K129</f>
        <v>1</v>
      </c>
    </row>
    <row r="130" spans="1:1029" s="12" customFormat="1" x14ac:dyDescent="0.2">
      <c r="A130" s="9" t="str">
        <f>CONCATENATE(B130,"_",C130)</f>
        <v>adrb2_human_6N48</v>
      </c>
      <c r="B130" s="9" t="s">
        <v>126</v>
      </c>
      <c r="C130" s="9" t="s">
        <v>1582</v>
      </c>
      <c r="D130" s="9" t="str">
        <f>IFERROR(MID(VLOOKUP($B130,Seqs!$A:$B,2,0),E130,1),"")</f>
        <v/>
      </c>
      <c r="E130" s="9">
        <v>1026</v>
      </c>
      <c r="F130" s="9" t="str">
        <f>IFERROR(MID(VLOOKUP($B130,Seqs!$A:$B,2,0),G130,1),"")</f>
        <v/>
      </c>
      <c r="G130" s="9">
        <v>1061</v>
      </c>
      <c r="H130" s="9" t="str">
        <f>IFERROR(MID(VLOOKUP($B130,Seqs!$A:$B,2,0),I130,1),"")</f>
        <v/>
      </c>
      <c r="I130" s="109">
        <v>1062</v>
      </c>
      <c r="J130" s="9" t="str">
        <f>IFERROR(MID(VLOOKUP($B130,Seqs!$A:$B,2,0),K130,1),"")</f>
        <v/>
      </c>
      <c r="K130" s="109">
        <v>1065</v>
      </c>
      <c r="L130" s="9" t="str">
        <f>IFERROR(MID(VLOOKUP($B130,Seqs!$A:$B,2,0),M130,1),"")</f>
        <v/>
      </c>
      <c r="M130" s="9">
        <v>1066</v>
      </c>
      <c r="N130" s="9" t="str">
        <f>IFERROR(MID(VLOOKUP($B130,Seqs!$A:$B,2,0),O130,1),"")</f>
        <v/>
      </c>
      <c r="O130" s="9">
        <v>1097</v>
      </c>
      <c r="P130" s="9" t="str">
        <f>IFERROR(MID(VLOOKUP($B130,Seqs!$A:$B,2,0),Q130,1),"")</f>
        <v/>
      </c>
      <c r="Q130" s="9">
        <v>1098</v>
      </c>
      <c r="R130" s="9" t="str">
        <f>IFERROR(MID(VLOOKUP($B130,Seqs!$A:$B,2,0),S130,1),"")</f>
        <v/>
      </c>
      <c r="S130" s="9">
        <v>1101</v>
      </c>
      <c r="T130" s="9" t="str">
        <f>IFERROR(MID(VLOOKUP($B130,Seqs!$A:$B,2,0),U130,1),"")</f>
        <v/>
      </c>
      <c r="U130" s="9">
        <v>1102</v>
      </c>
      <c r="V130" s="9" t="str">
        <f>IFERROR(MID(VLOOKUP($B130,Seqs!$A:$B,2,0),W130,1),"")</f>
        <v/>
      </c>
      <c r="W130" s="9">
        <v>1137</v>
      </c>
      <c r="X130" s="9" t="str">
        <f>IFERROR(MID(VLOOKUP($B130,Seqs!$A:$B,2,0),Y130,1),"")</f>
        <v/>
      </c>
      <c r="Y130" s="9">
        <v>1138</v>
      </c>
      <c r="Z130" s="9" t="str">
        <f>IFERROR(MID(VLOOKUP($B130,Seqs!$A:$B,2,0),AA130,1),"")</f>
        <v/>
      </c>
      <c r="AA130" s="9">
        <v>1145</v>
      </c>
      <c r="AB130" s="9" t="str">
        <f>IFERROR(MID(VLOOKUP($B130,Seqs!$A:$B,2,0),AC130,1),"")</f>
        <v/>
      </c>
      <c r="AC130" s="9">
        <v>1146</v>
      </c>
      <c r="AD130" s="9" t="str">
        <f>IFERROR(MID(VLOOKUP($B130,Seqs!$A:$B,2,0),AE130,1),"")</f>
        <v/>
      </c>
      <c r="AE130" s="9">
        <v>1172</v>
      </c>
      <c r="AF130" s="9" t="str">
        <f>IFERROR(MID(VLOOKUP($B130,Seqs!$A:$B,2,0),AG130,1),"")</f>
        <v/>
      </c>
      <c r="AG130" s="9">
        <v>1191</v>
      </c>
      <c r="AH130" s="9" t="str">
        <f>IFERROR(MID(VLOOKUP($B130,Seqs!$A:$B,2,0),AI130,1),"")</f>
        <v/>
      </c>
      <c r="AI130" s="9">
        <v>1193</v>
      </c>
      <c r="AJ130" s="9" t="str">
        <f>IFERROR(MID(VLOOKUP($B130,Seqs!$A:$B,2,0),AK130,1),"")</f>
        <v/>
      </c>
      <c r="AK130" s="9">
        <v>1196</v>
      </c>
      <c r="AL130" s="9" t="str">
        <f>IFERROR(MID(VLOOKUP($B130,Seqs!$A:$B,2,0),AM130,1),"")</f>
        <v/>
      </c>
      <c r="AM130" s="9">
        <v>1226</v>
      </c>
      <c r="AN130" s="9" t="str">
        <f>IFERROR(MID(VLOOKUP($B130,Seqs!$A:$B,2,0),AO130,1),"")</f>
        <v/>
      </c>
      <c r="AO130" s="9">
        <v>1265</v>
      </c>
      <c r="AP130" s="9" t="str">
        <f>IFERROR(MID(VLOOKUP($B130,Seqs!$A:$B,2,0),AQ130,1),"")</f>
        <v/>
      </c>
      <c r="AQ130" s="9">
        <v>1299</v>
      </c>
      <c r="AR130" s="9" t="str">
        <f>IFERROR(MID(VLOOKUP($B130,Seqs!$A:$B,2,0),AS130,1),"")</f>
        <v/>
      </c>
      <c r="AS130" s="9">
        <v>1304</v>
      </c>
      <c r="AT130" s="9" t="str">
        <f>IFERROR(MID(VLOOKUP($B130,Seqs!$A:$B,2,0),AU130,1),"")</f>
        <v/>
      </c>
      <c r="AU130" s="9">
        <v>1322</v>
      </c>
      <c r="AV130" s="9" t="str">
        <f>IFERROR(MID(VLOOKUP($B130,Seqs!$A:$B,2,0),AW130,1),"")</f>
        <v/>
      </c>
      <c r="AW130" s="9">
        <v>1329</v>
      </c>
      <c r="AX130" s="9" t="str">
        <f>IFERROR(MID(VLOOKUP($B130,Seqs!$A:$B,2,0),AY130,1),"")</f>
        <v/>
      </c>
      <c r="AY130" s="9">
        <v>1340</v>
      </c>
      <c r="AZ130" s="110" t="str">
        <f>VLOOKUP(B130,Classification!A:D,2,0)</f>
        <v>A</v>
      </c>
      <c r="BA130" s="98" t="str">
        <f>VLOOKUP(B130,Classification!A:D,4,0)</f>
        <v>Adrenoceptors</v>
      </c>
      <c r="BB130" s="36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09">
        <f>_xlfn.AGGREGATE(9,6,CH130:CS130)-_xlfn.AGGREGATE(9,6,BV130:CG130)+12</f>
        <v>247</v>
      </c>
      <c r="BD130" s="124" t="s">
        <v>23</v>
      </c>
      <c r="BE130" s="9" t="s">
        <v>1292</v>
      </c>
      <c r="BF130" s="120">
        <v>3.2</v>
      </c>
      <c r="BG130" s="51" t="s">
        <v>1</v>
      </c>
      <c r="BH130" s="51" t="s">
        <v>1</v>
      </c>
      <c r="BJ130" s="111" t="s">
        <v>1288</v>
      </c>
      <c r="BK130" s="112" t="s">
        <v>1288</v>
      </c>
      <c r="BL130" s="112" t="s">
        <v>1288</v>
      </c>
      <c r="BM130" s="112" t="s">
        <v>1288</v>
      </c>
      <c r="BN130" s="112" t="s">
        <v>1288</v>
      </c>
      <c r="BO130" s="112" t="s">
        <v>1288</v>
      </c>
      <c r="BP130" s="112" t="s">
        <v>1288</v>
      </c>
      <c r="BQ130" s="112" t="s">
        <v>1288</v>
      </c>
      <c r="BR130" s="112" t="s">
        <v>1288</v>
      </c>
      <c r="BS130" s="112" t="s">
        <v>1288</v>
      </c>
      <c r="BT130" s="112" t="s">
        <v>1288</v>
      </c>
      <c r="BU130" s="112" t="s">
        <v>1288</v>
      </c>
      <c r="BV130" s="111">
        <f>E130</f>
        <v>1026</v>
      </c>
      <c r="BW130" s="113">
        <f>I130</f>
        <v>1062</v>
      </c>
      <c r="BX130" s="114">
        <f>M130</f>
        <v>1066</v>
      </c>
      <c r="BY130" s="113">
        <f>Q130</f>
        <v>1098</v>
      </c>
      <c r="BZ130" s="114">
        <f>U130</f>
        <v>1102</v>
      </c>
      <c r="CA130" s="113">
        <f>Y130</f>
        <v>1138</v>
      </c>
      <c r="CB130" s="114">
        <f>AC130</f>
        <v>1146</v>
      </c>
      <c r="CC130" s="113">
        <f>AG130</f>
        <v>1191</v>
      </c>
      <c r="CD130" s="114">
        <f>AK130</f>
        <v>1196</v>
      </c>
      <c r="CE130" s="113">
        <f>AO130</f>
        <v>1265</v>
      </c>
      <c r="CF130" s="114">
        <f>AS130</f>
        <v>1304</v>
      </c>
      <c r="CG130" s="113">
        <f>AW130</f>
        <v>1329</v>
      </c>
      <c r="CH130" s="111">
        <f>G130</f>
        <v>1061</v>
      </c>
      <c r="CI130" s="113">
        <f>K130</f>
        <v>1065</v>
      </c>
      <c r="CJ130" s="114">
        <f>O130</f>
        <v>1097</v>
      </c>
      <c r="CK130" s="114">
        <f>S130</f>
        <v>1101</v>
      </c>
      <c r="CL130" s="114">
        <f>W130</f>
        <v>1137</v>
      </c>
      <c r="CM130" s="114">
        <f>AA130</f>
        <v>1145</v>
      </c>
      <c r="CN130" s="114">
        <f>AE130</f>
        <v>1172</v>
      </c>
      <c r="CO130" s="114">
        <f>AI130</f>
        <v>1193</v>
      </c>
      <c r="CP130" s="114">
        <f>AM130</f>
        <v>1226</v>
      </c>
      <c r="CQ130" s="114">
        <f>AQ130</f>
        <v>1299</v>
      </c>
      <c r="CR130" s="114">
        <f>AU130</f>
        <v>1322</v>
      </c>
      <c r="CS130" s="114">
        <f>AY130</f>
        <v>1340</v>
      </c>
      <c r="CT130" s="109">
        <f>M130-K130</f>
        <v>1</v>
      </c>
    </row>
    <row r="131" spans="1:1029" x14ac:dyDescent="0.2">
      <c r="A131" s="3" t="str">
        <f t="shared" si="839"/>
        <v>agtr1_human__wt</v>
      </c>
      <c r="B131" s="3" t="s">
        <v>158</v>
      </c>
      <c r="C131" s="3" t="s">
        <v>100</v>
      </c>
      <c r="D131" s="3" t="str">
        <f>IFERROR(MID(VLOOKUP($B131,Seqs!$A:$B,2,0),E131,1),"")</f>
        <v>H</v>
      </c>
      <c r="E131" s="105">
        <v>24</v>
      </c>
      <c r="F131" s="3" t="str">
        <f>IFERROR(MID(VLOOKUP($B131,Seqs!$A:$B,2,0),G131,1),"")</f>
        <v>Y</v>
      </c>
      <c r="G131" s="3">
        <v>56</v>
      </c>
      <c r="H131" s="3" t="str">
        <f>IFERROR(MID(VLOOKUP($B131,Seqs!$A:$B,2,0),I131,1),"")</f>
        <v>M</v>
      </c>
      <c r="I131" s="23">
        <v>57</v>
      </c>
      <c r="J131" s="3" t="str">
        <f>IFERROR(MID(VLOOKUP($B131,Seqs!$A:$B,2,0),K131,1),"")</f>
        <v>K</v>
      </c>
      <c r="K131" s="23">
        <v>60</v>
      </c>
      <c r="L131" s="3" t="str">
        <f>IFERROR(MID(VLOOKUP($B131,Seqs!$A:$B,2,0),M131,1),"")</f>
        <v>T</v>
      </c>
      <c r="M131" s="3">
        <v>61</v>
      </c>
      <c r="N131" s="3" t="str">
        <f>IFERROR(MID(VLOOKUP($B131,Seqs!$A:$B,2,0),O131,1),"")</f>
        <v>M</v>
      </c>
      <c r="O131" s="3">
        <v>90</v>
      </c>
      <c r="P131" s="3" t="str">
        <f>IFERROR(MID(VLOOKUP($B131,Seqs!$A:$B,2,0),Q131,1),"")</f>
        <v>R</v>
      </c>
      <c r="Q131" s="3">
        <v>93</v>
      </c>
      <c r="R131" s="3" t="str">
        <f>IFERROR(MID(VLOOKUP($B131,Seqs!$A:$B,2,0),S131,1),"")</f>
        <v>F</v>
      </c>
      <c r="S131" s="3">
        <v>96</v>
      </c>
      <c r="T131" s="3" t="str">
        <f>IFERROR(MID(VLOOKUP($B131,Seqs!$A:$B,2,0),U131,1),"")</f>
        <v>G</v>
      </c>
      <c r="U131" s="3">
        <v>97</v>
      </c>
      <c r="V131" s="3" t="str">
        <f>IFERROR(MID(VLOOKUP($B131,Seqs!$A:$B,2,0),W131,1),"")</f>
        <v>H</v>
      </c>
      <c r="W131" s="3">
        <v>132</v>
      </c>
      <c r="X131" s="3" t="str">
        <f>IFERROR(MID(VLOOKUP($B131,Seqs!$A:$B,2,0),Y131,1),"")</f>
        <v>P</v>
      </c>
      <c r="Y131" s="3">
        <v>133</v>
      </c>
      <c r="Z131" s="3" t="str">
        <f>IFERROR(MID(VLOOKUP($B131,Seqs!$A:$B,2,0),AA131,1),"")</f>
        <v>R</v>
      </c>
      <c r="AA131" s="3">
        <v>140</v>
      </c>
      <c r="AB131" s="3" t="str">
        <f>IFERROR(MID(VLOOKUP($B131,Seqs!$A:$B,2,0),AC131,1),"")</f>
        <v>T</v>
      </c>
      <c r="AC131" s="9">
        <v>141</v>
      </c>
      <c r="AD131" s="3" t="str">
        <f>IFERROR(MID(VLOOKUP($B131,Seqs!$A:$B,2,0),AE131,1),"")</f>
        <v>R</v>
      </c>
      <c r="AE131" s="3">
        <v>167</v>
      </c>
      <c r="AF131" s="3" t="str">
        <f>IFERROR(MID(VLOOKUP($B131,Seqs!$A:$B,2,0),AG131,1),"")</f>
        <v>C</v>
      </c>
      <c r="AG131" s="3">
        <v>180</v>
      </c>
      <c r="AH131" s="3" t="str">
        <f>IFERROR(MID(VLOOKUP($B131,Seqs!$A:$B,2,0),AI131,1),"")</f>
        <v>F</v>
      </c>
      <c r="AI131" s="3">
        <v>182</v>
      </c>
      <c r="AJ131" s="3" t="str">
        <f>IFERROR(MID(VLOOKUP($B131,Seqs!$A:$B,2,0),AK131,1),"")</f>
        <v>L</v>
      </c>
      <c r="AK131" s="3">
        <v>191</v>
      </c>
      <c r="AL131" s="3" t="str">
        <f>IFERROR(MID(VLOOKUP($B131,Seqs!$A:$B,2,0),AM131,1),"")</f>
        <v>A</v>
      </c>
      <c r="AM131" s="3">
        <v>225</v>
      </c>
      <c r="AN131" s="3" t="str">
        <f>IFERROR(MID(VLOOKUP($B131,Seqs!$A:$B,2,0),AO131,1),"")</f>
        <v>P</v>
      </c>
      <c r="AO131" s="3">
        <v>233</v>
      </c>
      <c r="AP131" s="3" t="str">
        <f>IFERROR(MID(VLOOKUP($B131,Seqs!$A:$B,2,0),AQ131,1),"")</f>
        <v>G</v>
      </c>
      <c r="AQ131" s="3">
        <v>269</v>
      </c>
      <c r="AR131" s="3" t="str">
        <f>IFERROR(MID(VLOOKUP($B131,Seqs!$A:$B,2,0),AS131,1),"")</f>
        <v>D</v>
      </c>
      <c r="AS131" s="3">
        <v>273</v>
      </c>
      <c r="AT131" s="3" t="str">
        <f>IFERROR(MID(VLOOKUP($B131,Seqs!$A:$B,2,0),AU131,1),"")</f>
        <v>L</v>
      </c>
      <c r="AU131" s="3">
        <v>305</v>
      </c>
      <c r="AV131" s="3" t="str">
        <f>IFERROR(MID(VLOOKUP($B131,Seqs!$A:$B,2,0),AW131,1),"")</f>
        <v>G</v>
      </c>
      <c r="AW131" s="3">
        <v>306</v>
      </c>
      <c r="AX131" s="3" t="str">
        <f>IFERROR(MID(VLOOKUP($B131,Seqs!$A:$B,2,0),AY131,1),"")</f>
        <v>I</v>
      </c>
      <c r="AY131" s="3">
        <v>320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si="840"/>
        <v>1</v>
      </c>
      <c r="BC131" s="23">
        <f t="shared" si="617"/>
        <v>265</v>
      </c>
      <c r="BD131" s="56" t="s">
        <v>23</v>
      </c>
      <c r="BE131" s="3" t="s">
        <v>23</v>
      </c>
      <c r="BF131" s="119" t="s">
        <v>23</v>
      </c>
      <c r="BG131" s="49" t="s">
        <v>1373</v>
      </c>
      <c r="BH131" s="49" t="s">
        <v>1378</v>
      </c>
      <c r="BI131" s="1"/>
      <c r="BJ131" s="70" t="s">
        <v>1288</v>
      </c>
      <c r="BK131" s="57" t="s">
        <v>1288</v>
      </c>
      <c r="BL131" s="57" t="s">
        <v>1288</v>
      </c>
      <c r="BM131" s="57" t="s">
        <v>1288</v>
      </c>
      <c r="BN131" s="57" t="s">
        <v>1288</v>
      </c>
      <c r="BO131" s="57" t="s">
        <v>1288</v>
      </c>
      <c r="BP131" s="57" t="s">
        <v>1288</v>
      </c>
      <c r="BQ131" s="57" t="s">
        <v>1288</v>
      </c>
      <c r="BR131" s="57" t="s">
        <v>1288</v>
      </c>
      <c r="BS131" s="57" t="s">
        <v>1288</v>
      </c>
      <c r="BT131" s="57" t="s">
        <v>1288</v>
      </c>
      <c r="BU131" s="57" t="s">
        <v>1288</v>
      </c>
      <c r="BV131" s="70">
        <f t="shared" si="618"/>
        <v>24</v>
      </c>
      <c r="BW131" s="71">
        <f t="shared" si="619"/>
        <v>57</v>
      </c>
      <c r="BX131" s="72">
        <f t="shared" si="620"/>
        <v>61</v>
      </c>
      <c r="BY131" s="71">
        <f t="shared" si="621"/>
        <v>93</v>
      </c>
      <c r="BZ131" s="72">
        <f t="shared" si="622"/>
        <v>97</v>
      </c>
      <c r="CA131" s="71">
        <f t="shared" si="623"/>
        <v>133</v>
      </c>
      <c r="CB131" s="72">
        <f t="shared" si="624"/>
        <v>141</v>
      </c>
      <c r="CC131" s="71">
        <f t="shared" si="625"/>
        <v>180</v>
      </c>
      <c r="CD131" s="72">
        <f t="shared" si="626"/>
        <v>191</v>
      </c>
      <c r="CE131" s="71">
        <f t="shared" si="627"/>
        <v>233</v>
      </c>
      <c r="CF131" s="72">
        <f t="shared" si="628"/>
        <v>273</v>
      </c>
      <c r="CG131" s="71">
        <f t="shared" si="629"/>
        <v>306</v>
      </c>
      <c r="CH131" s="70">
        <f t="shared" si="630"/>
        <v>56</v>
      </c>
      <c r="CI131" s="71">
        <f t="shared" si="631"/>
        <v>60</v>
      </c>
      <c r="CJ131" s="72">
        <f t="shared" si="632"/>
        <v>90</v>
      </c>
      <c r="CK131" s="72">
        <f t="shared" si="633"/>
        <v>96</v>
      </c>
      <c r="CL131" s="72">
        <f t="shared" si="634"/>
        <v>132</v>
      </c>
      <c r="CM131" s="72">
        <f t="shared" si="635"/>
        <v>140</v>
      </c>
      <c r="CN131" s="72">
        <f t="shared" si="636"/>
        <v>167</v>
      </c>
      <c r="CO131" s="72">
        <f t="shared" si="637"/>
        <v>182</v>
      </c>
      <c r="CP131" s="72">
        <f t="shared" si="638"/>
        <v>225</v>
      </c>
      <c r="CQ131" s="72">
        <f t="shared" si="639"/>
        <v>269</v>
      </c>
      <c r="CR131" s="72">
        <f t="shared" si="640"/>
        <v>305</v>
      </c>
      <c r="CS131" s="72">
        <f t="shared" si="641"/>
        <v>320</v>
      </c>
      <c r="CT131" s="23">
        <f t="shared" si="642"/>
        <v>1</v>
      </c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</row>
    <row r="132" spans="1:1029" x14ac:dyDescent="0.2">
      <c r="A132" s="3" t="str">
        <f t="shared" si="839"/>
        <v>agtr1_human_4YAY</v>
      </c>
      <c r="B132" s="3" t="s">
        <v>158</v>
      </c>
      <c r="C132" s="3" t="s">
        <v>69</v>
      </c>
      <c r="D132" s="3" t="str">
        <f>IFERROR(MID(VLOOKUP($B132,Seqs!$A:$B,2,0),E132,1),"")</f>
        <v>Y</v>
      </c>
      <c r="E132" s="3">
        <v>26</v>
      </c>
      <c r="F132" s="3" t="str">
        <f>IFERROR(MID(VLOOKUP($B132,Seqs!$A:$B,2,0),G132,1),"")</f>
        <v>Y</v>
      </c>
      <c r="G132" s="3">
        <v>56</v>
      </c>
      <c r="H132" s="3" t="str">
        <f>IFERROR(MID(VLOOKUP($B132,Seqs!$A:$B,2,0),I132,1),"")</f>
        <v>M</v>
      </c>
      <c r="I132" s="23">
        <v>57</v>
      </c>
      <c r="J132" s="3" t="str">
        <f>IFERROR(MID(VLOOKUP($B132,Seqs!$A:$B,2,0),K132,1),"")</f>
        <v>K</v>
      </c>
      <c r="K132" s="23">
        <v>60</v>
      </c>
      <c r="L132" s="3" t="str">
        <f>IFERROR(MID(VLOOKUP($B132,Seqs!$A:$B,2,0),M132,1),"")</f>
        <v>T</v>
      </c>
      <c r="M132" s="3">
        <v>61</v>
      </c>
      <c r="N132" s="3" t="str">
        <f>IFERROR(MID(VLOOKUP($B132,Seqs!$A:$B,2,0),O132,1),"")</f>
        <v>M</v>
      </c>
      <c r="O132" s="3">
        <v>90</v>
      </c>
      <c r="P132" s="3" t="str">
        <f>IFERROR(MID(VLOOKUP($B132,Seqs!$A:$B,2,0),Q132,1),"")</f>
        <v>R</v>
      </c>
      <c r="Q132" s="3">
        <v>93</v>
      </c>
      <c r="R132" s="3" t="str">
        <f>IFERROR(MID(VLOOKUP($B132,Seqs!$A:$B,2,0),S132,1),"")</f>
        <v>F</v>
      </c>
      <c r="S132" s="3">
        <v>96</v>
      </c>
      <c r="T132" s="3" t="str">
        <f>IFERROR(MID(VLOOKUP($B132,Seqs!$A:$B,2,0),U132,1),"")</f>
        <v>G</v>
      </c>
      <c r="U132" s="3">
        <v>97</v>
      </c>
      <c r="V132" s="3" t="str">
        <f>IFERROR(MID(VLOOKUP($B132,Seqs!$A:$B,2,0),W132,1),"")</f>
        <v>H</v>
      </c>
      <c r="W132" s="3">
        <v>132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R</v>
      </c>
      <c r="AC132" s="9">
        <v>137</v>
      </c>
      <c r="AD132" s="3" t="str">
        <f>IFERROR(MID(VLOOKUP($B132,Seqs!$A:$B,2,0),AE132,1),"")</f>
        <v>R</v>
      </c>
      <c r="AE132" s="3">
        <v>167</v>
      </c>
      <c r="AF132" s="3" t="str">
        <f>IFERROR(MID(VLOOKUP($B132,Seqs!$A:$B,2,0),AG132,1),"")</f>
        <v>C</v>
      </c>
      <c r="AG132" s="3">
        <v>180</v>
      </c>
      <c r="AH132" s="3" t="str">
        <f>IFERROR(MID(VLOOKUP($B132,Seqs!$A:$B,2,0),AI132,1),"")</f>
        <v>F</v>
      </c>
      <c r="AI132" s="3">
        <v>182</v>
      </c>
      <c r="AJ132" s="3" t="str">
        <f>IFERROR(MID(VLOOKUP($B132,Seqs!$A:$B,2,0),AK132,1),"")</f>
        <v>L</v>
      </c>
      <c r="AK132" s="3">
        <v>191</v>
      </c>
      <c r="AL132" s="3" t="str">
        <f>IFERROR(MID(VLOOKUP($B132,Seqs!$A:$B,2,0),AM132,1),"")</f>
        <v>L</v>
      </c>
      <c r="AM132" s="3">
        <v>222</v>
      </c>
      <c r="AN132" s="3" t="str">
        <f>IFERROR(MID(VLOOKUP($B132,Seqs!$A:$B,2,0),AO132,1),"")</f>
        <v>N</v>
      </c>
      <c r="AO132" s="3">
        <v>235</v>
      </c>
      <c r="AP132" s="3" t="str">
        <f>IFERROR(MID(VLOOKUP($B132,Seqs!$A:$B,2,0),AQ132,1),"")</f>
        <v>G</v>
      </c>
      <c r="AQ132" s="3">
        <v>269</v>
      </c>
      <c r="AR132" s="3" t="str">
        <f>IFERROR(MID(VLOOKUP($B132,Seqs!$A:$B,2,0),AS132,1),"")</f>
        <v>D</v>
      </c>
      <c r="AS132" s="3">
        <v>273</v>
      </c>
      <c r="AT132" s="3" t="str">
        <f>IFERROR(MID(VLOOKUP($B132,Seqs!$A:$B,2,0),AU132,1),"")</f>
        <v>N</v>
      </c>
      <c r="AU132" s="3">
        <v>298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840"/>
        <v>1</v>
      </c>
      <c r="BC132" s="23">
        <f t="shared" si="617"/>
        <v>234</v>
      </c>
      <c r="BD132" s="4" t="s">
        <v>23</v>
      </c>
      <c r="BE132" s="3" t="s">
        <v>1375</v>
      </c>
      <c r="BF132" s="119">
        <v>2.9</v>
      </c>
      <c r="BG132" s="49" t="s">
        <v>1378</v>
      </c>
      <c r="BH132" s="49" t="s">
        <v>1378</v>
      </c>
      <c r="BI132" s="1"/>
      <c r="BJ132" s="70" t="s">
        <v>1288</v>
      </c>
      <c r="BK132" s="57" t="s">
        <v>1288</v>
      </c>
      <c r="BL132" s="57" t="s">
        <v>1288</v>
      </c>
      <c r="BM132" s="57" t="s">
        <v>1288</v>
      </c>
      <c r="BN132" s="57" t="s">
        <v>1288</v>
      </c>
      <c r="BO132" s="57" t="s">
        <v>1288</v>
      </c>
      <c r="BP132" s="57" t="s">
        <v>1288</v>
      </c>
      <c r="BQ132" s="57" t="s">
        <v>1288</v>
      </c>
      <c r="BR132" s="57" t="s">
        <v>1288</v>
      </c>
      <c r="BS132" s="57" t="s">
        <v>1288</v>
      </c>
      <c r="BT132" s="57" t="s">
        <v>1288</v>
      </c>
      <c r="BU132" s="57" t="s">
        <v>1288</v>
      </c>
      <c r="BV132" s="70">
        <f t="shared" si="618"/>
        <v>26</v>
      </c>
      <c r="BW132" s="71">
        <f t="shared" si="619"/>
        <v>57</v>
      </c>
      <c r="BX132" s="72">
        <f t="shared" si="620"/>
        <v>61</v>
      </c>
      <c r="BY132" s="71">
        <f t="shared" si="621"/>
        <v>93</v>
      </c>
      <c r="BZ132" s="72">
        <f t="shared" si="622"/>
        <v>97</v>
      </c>
      <c r="CA132" s="71" t="str">
        <f t="shared" si="623"/>
        <v>-</v>
      </c>
      <c r="CB132" s="72">
        <f t="shared" si="624"/>
        <v>137</v>
      </c>
      <c r="CC132" s="71">
        <f t="shared" si="625"/>
        <v>180</v>
      </c>
      <c r="CD132" s="72">
        <f t="shared" si="626"/>
        <v>191</v>
      </c>
      <c r="CE132" s="71">
        <f t="shared" si="627"/>
        <v>235</v>
      </c>
      <c r="CF132" s="72">
        <f t="shared" si="628"/>
        <v>273</v>
      </c>
      <c r="CG132" s="71" t="str">
        <f t="shared" si="629"/>
        <v>-</v>
      </c>
      <c r="CH132" s="70">
        <f t="shared" si="630"/>
        <v>56</v>
      </c>
      <c r="CI132" s="71">
        <f t="shared" si="631"/>
        <v>60</v>
      </c>
      <c r="CJ132" s="72">
        <f t="shared" si="632"/>
        <v>90</v>
      </c>
      <c r="CK132" s="72">
        <f t="shared" si="633"/>
        <v>96</v>
      </c>
      <c r="CL132" s="72">
        <f t="shared" si="634"/>
        <v>132</v>
      </c>
      <c r="CM132" s="72" t="str">
        <f t="shared" si="635"/>
        <v>-</v>
      </c>
      <c r="CN132" s="72">
        <f t="shared" si="636"/>
        <v>167</v>
      </c>
      <c r="CO132" s="72">
        <f t="shared" si="637"/>
        <v>182</v>
      </c>
      <c r="CP132" s="72">
        <f t="shared" si="638"/>
        <v>222</v>
      </c>
      <c r="CQ132" s="72">
        <f t="shared" si="639"/>
        <v>269</v>
      </c>
      <c r="CR132" s="72">
        <f t="shared" si="640"/>
        <v>298</v>
      </c>
      <c r="CS132" s="72" t="str">
        <f t="shared" si="641"/>
        <v>-</v>
      </c>
      <c r="CT132" s="23">
        <f t="shared" si="642"/>
        <v>1</v>
      </c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</row>
    <row r="133" spans="1:1029" x14ac:dyDescent="0.2">
      <c r="A133" s="3" t="str">
        <f t="shared" si="839"/>
        <v>agtr1_human_4YAY_dist</v>
      </c>
      <c r="B133" s="3" t="s">
        <v>158</v>
      </c>
      <c r="C133" s="3" t="s">
        <v>1160</v>
      </c>
      <c r="D133" s="3" t="str">
        <f>IFERROR(MID(VLOOKUP($B133,Seqs!$A:$B,2,0),E133,1),"")</f>
        <v>Y</v>
      </c>
      <c r="E133" s="3">
        <v>26</v>
      </c>
      <c r="F133" s="3" t="str">
        <f>IFERROR(MID(VLOOKUP($B133,Seqs!$A:$B,2,0),G133,1),"")</f>
        <v>Y</v>
      </c>
      <c r="G133" s="3">
        <v>56</v>
      </c>
      <c r="H133" s="3" t="str">
        <f>IFERROR(MID(VLOOKUP($B133,Seqs!$A:$B,2,0),I133,1),"")</f>
        <v>M</v>
      </c>
      <c r="I133" s="23">
        <v>57</v>
      </c>
      <c r="J133" s="3" t="str">
        <f>IFERROR(MID(VLOOKUP($B133,Seqs!$A:$B,2,0),K133,1),"")</f>
        <v>K</v>
      </c>
      <c r="K133" s="23">
        <v>60</v>
      </c>
      <c r="L133" s="3" t="str">
        <f>IFERROR(MID(VLOOKUP($B133,Seqs!$A:$B,2,0),M133,1),"")</f>
        <v>T</v>
      </c>
      <c r="M133" s="3">
        <v>61</v>
      </c>
      <c r="N133" s="3" t="str">
        <f>IFERROR(MID(VLOOKUP($B133,Seqs!$A:$B,2,0),O133,1),"")</f>
        <v>M</v>
      </c>
      <c r="O133" s="3">
        <v>90</v>
      </c>
      <c r="P133" s="3" t="str">
        <f>IFERROR(MID(VLOOKUP($B133,Seqs!$A:$B,2,0),Q133,1),"")</f>
        <v>R</v>
      </c>
      <c r="Q133" s="3">
        <v>93</v>
      </c>
      <c r="R133" s="3" t="str">
        <f>IFERROR(MID(VLOOKUP($B133,Seqs!$A:$B,2,0),S133,1),"")</f>
        <v>F</v>
      </c>
      <c r="S133" s="3">
        <v>96</v>
      </c>
      <c r="T133" s="3" t="str">
        <f>IFERROR(MID(VLOOKUP($B133,Seqs!$A:$B,2,0),U133,1),"")</f>
        <v>G</v>
      </c>
      <c r="U133" s="3">
        <v>97</v>
      </c>
      <c r="V133" s="3" t="str">
        <f>IFERROR(MID(VLOOKUP($B133,Seqs!$A:$B,2,0),W133,1),"")</f>
        <v>H</v>
      </c>
      <c r="W133" s="3">
        <v>132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9">
        <v>137</v>
      </c>
      <c r="AD133" s="3" t="str">
        <f>IFERROR(MID(VLOOKUP($B133,Seqs!$A:$B,2,0),AE133,1),"")</f>
        <v>R</v>
      </c>
      <c r="AE133" s="3">
        <v>167</v>
      </c>
      <c r="AF133" s="3" t="str">
        <f>IFERROR(MID(VLOOKUP($B133,Seqs!$A:$B,2,0),AG133,1),"")</f>
        <v>C</v>
      </c>
      <c r="AG133" s="3">
        <v>180</v>
      </c>
      <c r="AH133" s="3" t="str">
        <f>IFERROR(MID(VLOOKUP($B133,Seqs!$A:$B,2,0),AI133,1),"")</f>
        <v>F</v>
      </c>
      <c r="AI133" s="3">
        <v>182</v>
      </c>
      <c r="AJ133" s="3" t="str">
        <f>IFERROR(MID(VLOOKUP($B133,Seqs!$A:$B,2,0),AK133,1),"")</f>
        <v>L</v>
      </c>
      <c r="AK133" s="3">
        <v>191</v>
      </c>
      <c r="AL133" s="3" t="str">
        <f>IFERROR(MID(VLOOKUP($B133,Seqs!$A:$B,2,0),AM133,1),"")</f>
        <v>L</v>
      </c>
      <c r="AM133" s="3">
        <v>222</v>
      </c>
      <c r="AN133" s="3" t="str">
        <f>IFERROR(MID(VLOOKUP($B133,Seqs!$A:$B,2,0),AO133,1),"")</f>
        <v>N</v>
      </c>
      <c r="AO133" s="3">
        <v>235</v>
      </c>
      <c r="AP133" s="3" t="str">
        <f>IFERROR(MID(VLOOKUP($B133,Seqs!$A:$B,2,0),AQ133,1),"")</f>
        <v>G</v>
      </c>
      <c r="AQ133" s="3">
        <v>269</v>
      </c>
      <c r="AR133" s="3" t="str">
        <f>IFERROR(MID(VLOOKUP($B133,Seqs!$A:$B,2,0),AS133,1),"")</f>
        <v>D</v>
      </c>
      <c r="AS133" s="3">
        <v>273</v>
      </c>
      <c r="AT133" s="3" t="str">
        <f>IFERROR(MID(VLOOKUP($B133,Seqs!$A:$B,2,0),AU133,1),"")</f>
        <v>F</v>
      </c>
      <c r="AU133" s="3">
        <v>304</v>
      </c>
      <c r="AV133" s="3" t="str">
        <f>IFERROR(MID(VLOOKUP($B133,Seqs!$A:$B,2,0),AW133,1),"")</f>
        <v>G</v>
      </c>
      <c r="AW133" s="3">
        <v>306</v>
      </c>
      <c r="AX133" s="3" t="str">
        <f>IFERROR(MID(VLOOKUP($B133,Seqs!$A:$B,2,0),AY133,1),"")</f>
        <v>L</v>
      </c>
      <c r="AY133" s="3">
        <v>317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si="840"/>
        <v>1</v>
      </c>
      <c r="BC133" s="23">
        <f t="shared" si="617"/>
        <v>251</v>
      </c>
      <c r="BD133" s="5"/>
      <c r="BE133" s="3" t="s">
        <v>1375</v>
      </c>
      <c r="BF133" s="119">
        <v>2.9</v>
      </c>
      <c r="BG133" s="49" t="s">
        <v>1378</v>
      </c>
      <c r="BH133" s="49" t="s">
        <v>1378</v>
      </c>
      <c r="BI133" s="1"/>
      <c r="BJ133" s="70" t="s">
        <v>1288</v>
      </c>
      <c r="BK133" s="57" t="s">
        <v>1288</v>
      </c>
      <c r="BL133" s="57" t="s">
        <v>1288</v>
      </c>
      <c r="BM133" s="57" t="s">
        <v>1288</v>
      </c>
      <c r="BN133" s="57" t="s">
        <v>1288</v>
      </c>
      <c r="BO133" s="57" t="s">
        <v>1288</v>
      </c>
      <c r="BP133" s="57" t="s">
        <v>1288</v>
      </c>
      <c r="BQ133" s="57" t="s">
        <v>1288</v>
      </c>
      <c r="BR133" s="57" t="s">
        <v>1288</v>
      </c>
      <c r="BS133" s="57" t="s">
        <v>1288</v>
      </c>
      <c r="BT133" s="57" t="s">
        <v>1288</v>
      </c>
      <c r="BU133" s="57" t="s">
        <v>1288</v>
      </c>
      <c r="BV133" s="70">
        <f t="shared" si="618"/>
        <v>26</v>
      </c>
      <c r="BW133" s="71">
        <f t="shared" si="619"/>
        <v>57</v>
      </c>
      <c r="BX133" s="72">
        <f t="shared" si="620"/>
        <v>61</v>
      </c>
      <c r="BY133" s="71">
        <f t="shared" si="621"/>
        <v>93</v>
      </c>
      <c r="BZ133" s="72">
        <f t="shared" si="622"/>
        <v>97</v>
      </c>
      <c r="CA133" s="71" t="str">
        <f t="shared" si="623"/>
        <v>-</v>
      </c>
      <c r="CB133" s="72">
        <f t="shared" si="624"/>
        <v>137</v>
      </c>
      <c r="CC133" s="71">
        <f t="shared" si="625"/>
        <v>180</v>
      </c>
      <c r="CD133" s="72">
        <f t="shared" si="626"/>
        <v>191</v>
      </c>
      <c r="CE133" s="71">
        <f t="shared" si="627"/>
        <v>235</v>
      </c>
      <c r="CF133" s="72">
        <f t="shared" si="628"/>
        <v>273</v>
      </c>
      <c r="CG133" s="71">
        <f t="shared" si="629"/>
        <v>306</v>
      </c>
      <c r="CH133" s="70">
        <f t="shared" si="630"/>
        <v>56</v>
      </c>
      <c r="CI133" s="71">
        <f t="shared" si="631"/>
        <v>60</v>
      </c>
      <c r="CJ133" s="72">
        <f t="shared" si="632"/>
        <v>90</v>
      </c>
      <c r="CK133" s="72">
        <f t="shared" si="633"/>
        <v>96</v>
      </c>
      <c r="CL133" s="72">
        <f t="shared" si="634"/>
        <v>132</v>
      </c>
      <c r="CM133" s="72" t="str">
        <f t="shared" si="635"/>
        <v>-</v>
      </c>
      <c r="CN133" s="72">
        <f t="shared" si="636"/>
        <v>167</v>
      </c>
      <c r="CO133" s="72">
        <f t="shared" si="637"/>
        <v>182</v>
      </c>
      <c r="CP133" s="72">
        <f t="shared" si="638"/>
        <v>222</v>
      </c>
      <c r="CQ133" s="72">
        <f t="shared" si="639"/>
        <v>269</v>
      </c>
      <c r="CR133" s="72">
        <f t="shared" si="640"/>
        <v>304</v>
      </c>
      <c r="CS133" s="72">
        <f t="shared" si="641"/>
        <v>317</v>
      </c>
      <c r="CT133" s="23">
        <f t="shared" si="642"/>
        <v>1</v>
      </c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</row>
    <row r="134" spans="1:1029" x14ac:dyDescent="0.2">
      <c r="A134" s="3" t="str">
        <f t="shared" si="839"/>
        <v>agtr1_human_4ZUD</v>
      </c>
      <c r="B134" s="3" t="s">
        <v>158</v>
      </c>
      <c r="C134" s="3" t="s">
        <v>1337</v>
      </c>
      <c r="D134" s="3" t="str">
        <f>IFERROR(MID(VLOOKUP($B134,Seqs!$A:$B,2,0),E134,1),"")</f>
        <v>H</v>
      </c>
      <c r="E134" s="3">
        <v>24</v>
      </c>
      <c r="F134" s="3" t="str">
        <f>IFERROR(MID(VLOOKUP($B134,Seqs!$A:$B,2,0),G134,1),"")</f>
        <v>Y</v>
      </c>
      <c r="G134" s="3">
        <v>56</v>
      </c>
      <c r="H134" s="3" t="str">
        <f>IFERROR(MID(VLOOKUP($B134,Seqs!$A:$B,2,0),I134,1),"")</f>
        <v>M</v>
      </c>
      <c r="I134" s="23">
        <v>57</v>
      </c>
      <c r="J134" s="3" t="str">
        <f>IFERROR(MID(VLOOKUP($B134,Seqs!$A:$B,2,0),K134,1),"")</f>
        <v>K</v>
      </c>
      <c r="K134" s="23">
        <v>60</v>
      </c>
      <c r="L134" s="3" t="str">
        <f>IFERROR(MID(VLOOKUP($B134,Seqs!$A:$B,2,0),M134,1),"")</f>
        <v>T</v>
      </c>
      <c r="M134" s="3">
        <v>61</v>
      </c>
      <c r="N134" s="3" t="str">
        <f>IFERROR(MID(VLOOKUP($B134,Seqs!$A:$B,2,0),O134,1),"")</f>
        <v>M</v>
      </c>
      <c r="O134" s="3">
        <v>90</v>
      </c>
      <c r="P134" s="3" t="str">
        <f>IFERROR(MID(VLOOKUP($B134,Seqs!$A:$B,2,0),Q134,1),"")</f>
        <v>R</v>
      </c>
      <c r="Q134" s="3">
        <v>93</v>
      </c>
      <c r="R134" s="3" t="str">
        <f>IFERROR(MID(VLOOKUP($B134,Seqs!$A:$B,2,0),S134,1),"")</f>
        <v>F</v>
      </c>
      <c r="S134" s="3">
        <v>96</v>
      </c>
      <c r="T134" s="3" t="str">
        <f>IFERROR(MID(VLOOKUP($B134,Seqs!$A:$B,2,0),U134,1),"")</f>
        <v>G</v>
      </c>
      <c r="U134" s="3">
        <v>97</v>
      </c>
      <c r="V134" s="3" t="str">
        <f>IFERROR(MID(VLOOKUP($B134,Seqs!$A:$B,2,0),W134,1),"")</f>
        <v>H</v>
      </c>
      <c r="W134" s="3">
        <v>132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M</v>
      </c>
      <c r="AC134" s="9">
        <v>142</v>
      </c>
      <c r="AD134" s="3" t="str">
        <f>IFERROR(MID(VLOOKUP($B134,Seqs!$A:$B,2,0),AE134,1),"")</f>
        <v>R</v>
      </c>
      <c r="AE134" s="3">
        <v>167</v>
      </c>
      <c r="AF134" s="3" t="str">
        <f>IFERROR(MID(VLOOKUP($B134,Seqs!$A:$B,2,0),AG134,1),"")</f>
        <v>C</v>
      </c>
      <c r="AG134" s="3">
        <v>180</v>
      </c>
      <c r="AH134" s="3" t="str">
        <f>IFERROR(MID(VLOOKUP($B134,Seqs!$A:$B,2,0),AI134,1),"")</f>
        <v>F</v>
      </c>
      <c r="AI134" s="3">
        <v>182</v>
      </c>
      <c r="AJ134" s="3" t="str">
        <f>IFERROR(MID(VLOOKUP($B134,Seqs!$A:$B,2,0),AK134,1),"")</f>
        <v>L</v>
      </c>
      <c r="AK134" s="3">
        <v>191</v>
      </c>
      <c r="AL134" s="3" t="str">
        <f>IFERROR(MID(VLOOKUP($B134,Seqs!$A:$B,2,0),AM134,1),"")</f>
        <v>L</v>
      </c>
      <c r="AM134" s="3">
        <v>222</v>
      </c>
      <c r="AN134" s="3" t="str">
        <f>IFERROR(MID(VLOOKUP($B134,Seqs!$A:$B,2,0),AO134,1),"")</f>
        <v>D</v>
      </c>
      <c r="AO134" s="3">
        <v>236</v>
      </c>
      <c r="AP134" s="3" t="str">
        <f>IFERROR(MID(VLOOKUP($B134,Seqs!$A:$B,2,0),AQ134,1),"")</f>
        <v>G</v>
      </c>
      <c r="AQ134" s="3">
        <v>269</v>
      </c>
      <c r="AR134" s="3" t="str">
        <f>IFERROR(MID(VLOOKUP($B134,Seqs!$A:$B,2,0),AS134,1),"")</f>
        <v>D</v>
      </c>
      <c r="AS134" s="3">
        <v>273</v>
      </c>
      <c r="AT134" s="3" t="str">
        <f>IFERROR(MID(VLOOKUP($B134,Seqs!$A:$B,2,0),AU134,1),"")</f>
        <v>F</v>
      </c>
      <c r="AU134" s="3">
        <v>304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7" t="str">
        <f>VLOOKUP(B134,Classification!A:D,2,0)</f>
        <v>A</v>
      </c>
      <c r="BA134" s="94" t="str">
        <f>VLOOKUP(B134,Classification!A:D,4,0)</f>
        <v>Angiotensin</v>
      </c>
      <c r="BB134" s="27" t="b">
        <f t="shared" si="840"/>
        <v>1</v>
      </c>
      <c r="BC134" s="23">
        <f t="shared" si="617"/>
        <v>236</v>
      </c>
      <c r="BD134" s="2" t="s">
        <v>1377</v>
      </c>
      <c r="BE134" s="3" t="s">
        <v>1375</v>
      </c>
      <c r="BF134" s="119">
        <v>2.8</v>
      </c>
      <c r="BG134" s="49" t="s">
        <v>1378</v>
      </c>
      <c r="BH134" s="49" t="s">
        <v>1378</v>
      </c>
      <c r="BI134" s="1"/>
      <c r="BJ134" s="70" t="s">
        <v>1288</v>
      </c>
      <c r="BK134" s="57" t="s">
        <v>1288</v>
      </c>
      <c r="BL134" s="57" t="s">
        <v>1288</v>
      </c>
      <c r="BM134" s="57" t="s">
        <v>1288</v>
      </c>
      <c r="BN134" s="57" t="s">
        <v>1288</v>
      </c>
      <c r="BO134" s="57" t="s">
        <v>1288</v>
      </c>
      <c r="BP134" s="57" t="s">
        <v>1288</v>
      </c>
      <c r="BQ134" s="57" t="s">
        <v>1288</v>
      </c>
      <c r="BR134" s="57" t="s">
        <v>1288</v>
      </c>
      <c r="BS134" s="57" t="s">
        <v>1288</v>
      </c>
      <c r="BT134" s="57" t="s">
        <v>1288</v>
      </c>
      <c r="BU134" s="57" t="s">
        <v>1288</v>
      </c>
      <c r="BV134" s="70">
        <f t="shared" si="618"/>
        <v>24</v>
      </c>
      <c r="BW134" s="71">
        <f t="shared" si="619"/>
        <v>57</v>
      </c>
      <c r="BX134" s="72">
        <f t="shared" si="620"/>
        <v>61</v>
      </c>
      <c r="BY134" s="71">
        <f t="shared" si="621"/>
        <v>93</v>
      </c>
      <c r="BZ134" s="72">
        <f t="shared" si="622"/>
        <v>97</v>
      </c>
      <c r="CA134" s="71" t="str">
        <f t="shared" si="623"/>
        <v>-</v>
      </c>
      <c r="CB134" s="72">
        <f t="shared" si="624"/>
        <v>142</v>
      </c>
      <c r="CC134" s="71">
        <f t="shared" si="625"/>
        <v>180</v>
      </c>
      <c r="CD134" s="72">
        <f t="shared" si="626"/>
        <v>191</v>
      </c>
      <c r="CE134" s="71">
        <f t="shared" si="627"/>
        <v>236</v>
      </c>
      <c r="CF134" s="72">
        <f t="shared" si="628"/>
        <v>273</v>
      </c>
      <c r="CG134" s="71" t="str">
        <f t="shared" si="629"/>
        <v>-</v>
      </c>
      <c r="CH134" s="70">
        <f t="shared" si="630"/>
        <v>56</v>
      </c>
      <c r="CI134" s="71">
        <f t="shared" si="631"/>
        <v>60</v>
      </c>
      <c r="CJ134" s="72">
        <f t="shared" si="632"/>
        <v>90</v>
      </c>
      <c r="CK134" s="72">
        <f t="shared" si="633"/>
        <v>96</v>
      </c>
      <c r="CL134" s="72">
        <f t="shared" si="634"/>
        <v>132</v>
      </c>
      <c r="CM134" s="72" t="str">
        <f t="shared" si="635"/>
        <v>-</v>
      </c>
      <c r="CN134" s="72">
        <f t="shared" si="636"/>
        <v>167</v>
      </c>
      <c r="CO134" s="72">
        <f t="shared" si="637"/>
        <v>182</v>
      </c>
      <c r="CP134" s="72">
        <f t="shared" si="638"/>
        <v>222</v>
      </c>
      <c r="CQ134" s="72">
        <f t="shared" si="639"/>
        <v>269</v>
      </c>
      <c r="CR134" s="72">
        <f t="shared" si="640"/>
        <v>304</v>
      </c>
      <c r="CS134" s="72" t="str">
        <f t="shared" si="641"/>
        <v>-</v>
      </c>
      <c r="CT134" s="23">
        <f t="shared" si="642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s="12" customFormat="1" x14ac:dyDescent="0.2">
      <c r="A135" s="9" t="str">
        <f t="shared" ref="A135" si="841">CONCATENATE(B135,"_",C135)</f>
        <v>agtr1_human_6DO1</v>
      </c>
      <c r="B135" s="9" t="s">
        <v>158</v>
      </c>
      <c r="C135" s="9" t="s">
        <v>1556</v>
      </c>
      <c r="D135" s="9" t="str">
        <f>IFERROR(MID(VLOOKUP($B135,Seqs!$A:$B,2,0),E135,1),"")</f>
        <v>H</v>
      </c>
      <c r="E135" s="9">
        <v>24</v>
      </c>
      <c r="F135" s="9" t="str">
        <f>IFERROR(MID(VLOOKUP($B135,Seqs!$A:$B,2,0),G135,1),"")</f>
        <v>Y</v>
      </c>
      <c r="G135" s="9">
        <v>56</v>
      </c>
      <c r="H135" s="9" t="str">
        <f>IFERROR(MID(VLOOKUP($B135,Seqs!$A:$B,2,0),I135,1),"")</f>
        <v/>
      </c>
      <c r="I135" s="109" t="s">
        <v>23</v>
      </c>
      <c r="J135" s="9" t="str">
        <f>IFERROR(MID(VLOOKUP($B135,Seqs!$A:$B,2,0),K135,1),"")</f>
        <v/>
      </c>
      <c r="K135" s="109" t="s">
        <v>23</v>
      </c>
      <c r="L135" s="9" t="str">
        <f>IFERROR(MID(VLOOKUP($B135,Seqs!$A:$B,2,0),M135,1),"")</f>
        <v>T</v>
      </c>
      <c r="M135" s="9">
        <v>61</v>
      </c>
      <c r="N135" s="9" t="str">
        <f>IFERROR(MID(VLOOKUP($B135,Seqs!$A:$B,2,0),O135,1),"")</f>
        <v>M</v>
      </c>
      <c r="O135" s="9">
        <v>90</v>
      </c>
      <c r="P135" s="9" t="str">
        <f>IFERROR(MID(VLOOKUP($B135,Seqs!$A:$B,2,0),Q135,1),"")</f>
        <v>R</v>
      </c>
      <c r="Q135" s="9">
        <v>93</v>
      </c>
      <c r="R135" s="9" t="str">
        <f>IFERROR(MID(VLOOKUP($B135,Seqs!$A:$B,2,0),S135,1),"")</f>
        <v>F</v>
      </c>
      <c r="S135" s="9">
        <v>96</v>
      </c>
      <c r="T135" s="9" t="str">
        <f>IFERROR(MID(VLOOKUP($B135,Seqs!$A:$B,2,0),U135,1),"")</f>
        <v>G</v>
      </c>
      <c r="U135" s="9">
        <v>97</v>
      </c>
      <c r="V135" s="9" t="str">
        <f>IFERROR(MID(VLOOKUP($B135,Seqs!$A:$B,2,0),W135,1),"")</f>
        <v>H</v>
      </c>
      <c r="W135" s="9">
        <v>132</v>
      </c>
      <c r="X135" s="9" t="str">
        <f>IFERROR(MID(VLOOKUP($B135,Seqs!$A:$B,2,0),Y135,1),"")</f>
        <v>P</v>
      </c>
      <c r="Y135" s="9">
        <v>133</v>
      </c>
      <c r="Z135" s="9" t="str">
        <f>IFERROR(MID(VLOOKUP($B135,Seqs!$A:$B,2,0),AA135,1),"")</f>
        <v>R</v>
      </c>
      <c r="AA135" s="9">
        <v>140</v>
      </c>
      <c r="AB135" s="9" t="str">
        <f>IFERROR(MID(VLOOKUP($B135,Seqs!$A:$B,2,0),AC135,1),"")</f>
        <v>T</v>
      </c>
      <c r="AC135" s="9">
        <v>141</v>
      </c>
      <c r="AD135" s="9" t="str">
        <f>IFERROR(MID(VLOOKUP($B135,Seqs!$A:$B,2,0),AE135,1),"")</f>
        <v>R</v>
      </c>
      <c r="AE135" s="9">
        <v>167</v>
      </c>
      <c r="AF135" s="9" t="str">
        <f>IFERROR(MID(VLOOKUP($B135,Seqs!$A:$B,2,0),AG135,1),"")</f>
        <v>C</v>
      </c>
      <c r="AG135" s="9">
        <v>180</v>
      </c>
      <c r="AH135" s="9" t="str">
        <f>IFERROR(MID(VLOOKUP($B135,Seqs!$A:$B,2,0),AI135,1),"")</f>
        <v>F</v>
      </c>
      <c r="AI135" s="9">
        <v>182</v>
      </c>
      <c r="AJ135" s="9" t="str">
        <f>IFERROR(MID(VLOOKUP($B135,Seqs!$A:$B,2,0),AK135,1),"")</f>
        <v>P</v>
      </c>
      <c r="AK135" s="9">
        <v>192</v>
      </c>
      <c r="AL135" s="9" t="str">
        <f>IFERROR(MID(VLOOKUP($B135,Seqs!$A:$B,2,0),AM135,1),"")</f>
        <v>N</v>
      </c>
      <c r="AM135" s="9">
        <v>231</v>
      </c>
      <c r="AN135" s="9" t="str">
        <f>IFERROR(MID(VLOOKUP($B135,Seqs!$A:$B,2,0),AO135,1),"")</f>
        <v>T</v>
      </c>
      <c r="AO135" s="9">
        <v>336</v>
      </c>
      <c r="AP135" s="9" t="str">
        <f>IFERROR(MID(VLOOKUP($B135,Seqs!$A:$B,2,0),AQ135,1),"")</f>
        <v/>
      </c>
      <c r="AQ135" s="9">
        <v>368</v>
      </c>
      <c r="AR135" s="9" t="str">
        <f>IFERROR(MID(VLOOKUP($B135,Seqs!$A:$B,2,0),AS135,1),"")</f>
        <v/>
      </c>
      <c r="AS135" s="9">
        <v>372</v>
      </c>
      <c r="AT135" s="9" t="str">
        <f>IFERROR(MID(VLOOKUP($B135,Seqs!$A:$B,2,0),AU135,1),"")</f>
        <v/>
      </c>
      <c r="AU135" s="9">
        <v>404</v>
      </c>
      <c r="AV135" s="9" t="str">
        <f>IFERROR(MID(VLOOKUP($B135,Seqs!$A:$B,2,0),AW135,1),"")</f>
        <v/>
      </c>
      <c r="AW135" s="9">
        <v>405</v>
      </c>
      <c r="AX135" s="9" t="str">
        <f>IFERROR(MID(VLOOKUP($B135,Seqs!$A:$B,2,0),AY135,1),"")</f>
        <v/>
      </c>
      <c r="AY135" s="9">
        <v>416</v>
      </c>
      <c r="AZ135" s="110" t="str">
        <f>VLOOKUP(B135,Classification!A:D,2,0)</f>
        <v>A</v>
      </c>
      <c r="BA135" s="98" t="str">
        <f>VLOOKUP(B135,Classification!A:D,4,0)</f>
        <v>Angiotensin</v>
      </c>
      <c r="BB135" s="36" t="b">
        <f t="shared" ref="BB135" si="842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109">
        <f t="shared" ref="BC135" si="843">_xlfn.AGGREGATE(9,6,CH135:CS135)-_xlfn.AGGREGATE(9,6,BV135:CG135)+12</f>
        <v>260</v>
      </c>
      <c r="BD135" s="40" t="s">
        <v>1376</v>
      </c>
      <c r="BE135" s="9" t="s">
        <v>1292</v>
      </c>
      <c r="BF135" s="120">
        <v>2.9</v>
      </c>
      <c r="BG135" s="51" t="s">
        <v>1</v>
      </c>
      <c r="BH135" s="51" t="s">
        <v>1</v>
      </c>
      <c r="BJ135" s="111" t="s">
        <v>1288</v>
      </c>
      <c r="BK135" s="112" t="s">
        <v>1288</v>
      </c>
      <c r="BL135" s="112" t="s">
        <v>1288</v>
      </c>
      <c r="BM135" s="112" t="s">
        <v>1288</v>
      </c>
      <c r="BN135" s="112" t="s">
        <v>1288</v>
      </c>
      <c r="BO135" s="112" t="s">
        <v>1288</v>
      </c>
      <c r="BP135" s="112" t="s">
        <v>1288</v>
      </c>
      <c r="BQ135" s="112" t="s">
        <v>1288</v>
      </c>
      <c r="BR135" s="112" t="s">
        <v>1288</v>
      </c>
      <c r="BS135" s="112" t="s">
        <v>1288</v>
      </c>
      <c r="BT135" s="112" t="s">
        <v>1288</v>
      </c>
      <c r="BU135" s="112" t="s">
        <v>1288</v>
      </c>
      <c r="BV135" s="111">
        <f t="shared" ref="BV135" si="844">E135</f>
        <v>24</v>
      </c>
      <c r="BW135" s="113" t="str">
        <f t="shared" ref="BW135" si="845">I135</f>
        <v>-</v>
      </c>
      <c r="BX135" s="114">
        <f t="shared" ref="BX135" si="846">M135</f>
        <v>61</v>
      </c>
      <c r="BY135" s="113">
        <f t="shared" ref="BY135" si="847">Q135</f>
        <v>93</v>
      </c>
      <c r="BZ135" s="114">
        <f t="shared" ref="BZ135" si="848">U135</f>
        <v>97</v>
      </c>
      <c r="CA135" s="113">
        <f t="shared" ref="CA135" si="849">Y135</f>
        <v>133</v>
      </c>
      <c r="CB135" s="114">
        <f t="shared" ref="CB135" si="850">AC135</f>
        <v>141</v>
      </c>
      <c r="CC135" s="113">
        <f t="shared" ref="CC135" si="851">AG135</f>
        <v>180</v>
      </c>
      <c r="CD135" s="114">
        <f t="shared" ref="CD135" si="852">AK135</f>
        <v>192</v>
      </c>
      <c r="CE135" s="113">
        <f t="shared" ref="CE135" si="853">AO135</f>
        <v>336</v>
      </c>
      <c r="CF135" s="114">
        <f t="shared" ref="CF135" si="854">AS135</f>
        <v>372</v>
      </c>
      <c r="CG135" s="113">
        <f t="shared" ref="CG135" si="855">AW135</f>
        <v>405</v>
      </c>
      <c r="CH135" s="111">
        <f t="shared" ref="CH135" si="856">G135</f>
        <v>56</v>
      </c>
      <c r="CI135" s="113" t="str">
        <f t="shared" ref="CI135" si="857">K135</f>
        <v>-</v>
      </c>
      <c r="CJ135" s="114">
        <f t="shared" ref="CJ135" si="858">O135</f>
        <v>90</v>
      </c>
      <c r="CK135" s="114">
        <f t="shared" ref="CK135" si="859">S135</f>
        <v>96</v>
      </c>
      <c r="CL135" s="114">
        <f t="shared" ref="CL135" si="860">W135</f>
        <v>132</v>
      </c>
      <c r="CM135" s="114">
        <f t="shared" ref="CM135" si="861">AA135</f>
        <v>140</v>
      </c>
      <c r="CN135" s="114">
        <f t="shared" ref="CN135" si="862">AE135</f>
        <v>167</v>
      </c>
      <c r="CO135" s="114">
        <f t="shared" ref="CO135" si="863">AI135</f>
        <v>182</v>
      </c>
      <c r="CP135" s="114">
        <f t="shared" ref="CP135" si="864">AM135</f>
        <v>231</v>
      </c>
      <c r="CQ135" s="114">
        <f t="shared" ref="CQ135" si="865">AQ135</f>
        <v>368</v>
      </c>
      <c r="CR135" s="114">
        <f t="shared" ref="CR135" si="866">AU135</f>
        <v>404</v>
      </c>
      <c r="CS135" s="114">
        <f t="shared" ref="CS135" si="867">AY135</f>
        <v>416</v>
      </c>
      <c r="CT135" s="109" t="e">
        <f t="shared" ref="CT135" si="868">M135-K135</f>
        <v>#VALUE!</v>
      </c>
    </row>
    <row r="136" spans="1:1029" x14ac:dyDescent="0.2">
      <c r="A136" s="3" t="str">
        <f t="shared" ref="A136:A146" si="869">CONCATENATE(B136,"_",C136)</f>
        <v>agtr2_human__wt</v>
      </c>
      <c r="B136" s="3" t="s">
        <v>159</v>
      </c>
      <c r="C136" s="3" t="s">
        <v>100</v>
      </c>
      <c r="D136" s="3" t="str">
        <f>IFERROR(MID(VLOOKUP($B136,Seqs!$A:$B,2,0),E136,1),"")</f>
        <v>D</v>
      </c>
      <c r="E136" s="3">
        <v>45</v>
      </c>
      <c r="F136" s="3" t="str">
        <f>IFERROR(MID(VLOOKUP($B136,Seqs!$A:$B,2,0),G136,1),"")</f>
        <v>Q</v>
      </c>
      <c r="G136" s="3">
        <v>72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V</v>
      </c>
      <c r="M136" s="3">
        <v>78</v>
      </c>
      <c r="N136" s="3" t="str">
        <f>IFERROR(MID(VLOOKUP($B136,Seqs!$A:$B,2,0),O136,1),"")</f>
        <v>Y</v>
      </c>
      <c r="O136" s="3">
        <v>106</v>
      </c>
      <c r="P136" s="3" t="str">
        <f>IFERROR(MID(VLOOKUP($B136,Seqs!$A:$B,2,0),Q136,1),"")</f>
        <v>R</v>
      </c>
      <c r="Q136" s="3">
        <v>107</v>
      </c>
      <c r="R136" s="3" t="str">
        <f>IFERROR(MID(VLOOKUP($B136,Seqs!$A:$B,2,0),S136,1),"")</f>
        <v>F</v>
      </c>
      <c r="S136" s="3">
        <v>112</v>
      </c>
      <c r="T136" s="3" t="str">
        <f>IFERROR(MID(VLOOKUP($B136,Seqs!$A:$B,2,0),U136,1),"")</f>
        <v>G</v>
      </c>
      <c r="U136" s="3">
        <v>113</v>
      </c>
      <c r="V136" s="3" t="str">
        <f>IFERROR(MID(VLOOKUP($B136,Seqs!$A:$B,2,0),W136,1),"")</f>
        <v>Y</v>
      </c>
      <c r="W136" s="3">
        <v>148</v>
      </c>
      <c r="X136" s="3" t="str">
        <f>IFERROR(MID(VLOOKUP($B136,Seqs!$A:$B,2,0),Y136,1),"")</f>
        <v>P</v>
      </c>
      <c r="Y136" s="3">
        <v>149</v>
      </c>
      <c r="Z136" s="3" t="str">
        <f>IFERROR(MID(VLOOKUP($B136,Seqs!$A:$B,2,0),AA136,1),"")</f>
        <v>R</v>
      </c>
      <c r="AA136" s="3">
        <v>155</v>
      </c>
      <c r="AB136" s="3" t="str">
        <f>IFERROR(MID(VLOOKUP($B136,Seqs!$A:$B,2,0),AC136,1),"")</f>
        <v>N</v>
      </c>
      <c r="AC136" s="3">
        <v>156</v>
      </c>
      <c r="AD136" s="3" t="str">
        <f>IFERROR(MID(VLOOKUP($B136,Seqs!$A:$B,2,0),AE136,1),"")</f>
        <v>R</v>
      </c>
      <c r="AE136" s="3">
        <v>182</v>
      </c>
      <c r="AF136" s="3" t="str">
        <f>IFERROR(MID(VLOOKUP($B136,Seqs!$A:$B,2,0),AG136,1),"")</f>
        <v>C</v>
      </c>
      <c r="AG136" s="3">
        <v>195</v>
      </c>
      <c r="AH136" s="3" t="str">
        <f>IFERROR(MID(VLOOKUP($B136,Seqs!$A:$B,2,0),AI136,1),"")</f>
        <v>M</v>
      </c>
      <c r="AI136" s="3">
        <v>197</v>
      </c>
      <c r="AJ136" s="3" t="str">
        <f>IFERROR(MID(VLOOKUP($B136,Seqs!$A:$B,2,0),AK136,1),"")</f>
        <v>K</v>
      </c>
      <c r="AK136" s="3">
        <v>203</v>
      </c>
      <c r="AL136" s="3" t="str">
        <f>IFERROR(MID(VLOOKUP($B136,Seqs!$A:$B,2,0),AM136,1),"")</f>
        <v>T</v>
      </c>
      <c r="AM136" s="3">
        <v>241</v>
      </c>
      <c r="AN136" s="3" t="str">
        <f>IFERROR(MID(VLOOKUP($B136,Seqs!$A:$B,2,0),AO136,1),"")</f>
        <v>G</v>
      </c>
      <c r="AO136" s="3">
        <v>245</v>
      </c>
      <c r="AP136" s="3" t="str">
        <f>IFERROR(MID(VLOOKUP($B136,Seqs!$A:$B,2,0),AQ136,1),"")</f>
        <v>G</v>
      </c>
      <c r="AQ136" s="3">
        <v>285</v>
      </c>
      <c r="AR136" s="3" t="str">
        <f>IFERROR(MID(VLOOKUP($B136,Seqs!$A:$B,2,0),AS136,1),"")</f>
        <v>S</v>
      </c>
      <c r="AS136" s="3">
        <v>289</v>
      </c>
      <c r="AT136" s="3" t="str">
        <f>IFERROR(MID(VLOOKUP($B136,Seqs!$A:$B,2,0),AU136,1),"")</f>
        <v>V</v>
      </c>
      <c r="AU136" s="3">
        <v>321</v>
      </c>
      <c r="AV136" s="3" t="str">
        <f>IFERROR(MID(VLOOKUP($B136,Seqs!$A:$B,2,0),AW136,1),"")</f>
        <v>G</v>
      </c>
      <c r="AW136" s="3">
        <v>322</v>
      </c>
      <c r="AX136" s="3" t="str">
        <f>IFERROR(MID(VLOOKUP($B136,Seqs!$A:$B,2,0),AY136,1),"")</f>
        <v>P</v>
      </c>
      <c r="AY136" s="3">
        <v>336</v>
      </c>
      <c r="AZ136" s="77" t="str">
        <f>VLOOKUP(B136,Classification!A:D,2,0)</f>
        <v>A</v>
      </c>
      <c r="BA136" s="94" t="str">
        <f>VLOOKUP(B136,Classification!A:D,4,0)</f>
        <v>Angiotensin</v>
      </c>
      <c r="BB136" s="27" t="b">
        <f t="shared" ref="BB136:BB146" si="870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 t="shared" ref="BC136:BC146" si="871">_xlfn.AGGREGATE(9,6,CH136:CS136)-_xlfn.AGGREGATE(9,6,BV136:CG136)+12</f>
        <v>265</v>
      </c>
      <c r="BD136" s="2" t="s">
        <v>23</v>
      </c>
      <c r="BE136" s="3" t="s">
        <v>23</v>
      </c>
      <c r="BF136" s="119" t="s">
        <v>23</v>
      </c>
      <c r="BG136" s="49" t="s">
        <v>1378</v>
      </c>
      <c r="BH136" s="49" t="s">
        <v>1378</v>
      </c>
      <c r="BI136" s="1"/>
      <c r="BJ136" s="70" t="s">
        <v>1288</v>
      </c>
      <c r="BK136" s="57" t="s">
        <v>1288</v>
      </c>
      <c r="BL136" s="57" t="s">
        <v>1288</v>
      </c>
      <c r="BM136" s="57" t="s">
        <v>1288</v>
      </c>
      <c r="BN136" s="57" t="s">
        <v>1288</v>
      </c>
      <c r="BO136" s="57" t="s">
        <v>1288</v>
      </c>
      <c r="BP136" s="57" t="s">
        <v>1288</v>
      </c>
      <c r="BQ136" s="57" t="s">
        <v>1288</v>
      </c>
      <c r="BR136" s="57" t="s">
        <v>1288</v>
      </c>
      <c r="BS136" s="57" t="s">
        <v>1288</v>
      </c>
      <c r="BT136" s="57" t="s">
        <v>1288</v>
      </c>
      <c r="BU136" s="57" t="s">
        <v>1288</v>
      </c>
      <c r="BV136" s="70">
        <f t="shared" ref="BV136:BV146" si="872">E136</f>
        <v>45</v>
      </c>
      <c r="BW136" s="71" t="str">
        <f t="shared" ref="BW136:BW146" si="873">I136</f>
        <v>-</v>
      </c>
      <c r="BX136" s="72">
        <f t="shared" ref="BX136:BX146" si="874">M136</f>
        <v>78</v>
      </c>
      <c r="BY136" s="71">
        <f t="shared" ref="BY136:BY146" si="875">Q136</f>
        <v>107</v>
      </c>
      <c r="BZ136" s="72">
        <f t="shared" ref="BZ136:BZ146" si="876">U136</f>
        <v>113</v>
      </c>
      <c r="CA136" s="71">
        <f t="shared" ref="CA136:CA146" si="877">Y136</f>
        <v>149</v>
      </c>
      <c r="CB136" s="72">
        <f t="shared" ref="CB136:CB146" si="878">AC136</f>
        <v>156</v>
      </c>
      <c r="CC136" s="71">
        <f t="shared" ref="CC136:CC146" si="879">AG136</f>
        <v>195</v>
      </c>
      <c r="CD136" s="72">
        <f t="shared" ref="CD136:CD146" si="880">AK136</f>
        <v>203</v>
      </c>
      <c r="CE136" s="71">
        <f t="shared" ref="CE136:CE146" si="881">AO136</f>
        <v>245</v>
      </c>
      <c r="CF136" s="72">
        <f t="shared" ref="CF136:CF146" si="882">AS136</f>
        <v>289</v>
      </c>
      <c r="CG136" s="71">
        <f t="shared" ref="CG136:CG146" si="883">AW136</f>
        <v>322</v>
      </c>
      <c r="CH136" s="70">
        <f t="shared" ref="CH136:CH146" si="884">G136</f>
        <v>72</v>
      </c>
      <c r="CI136" s="71" t="str">
        <f t="shared" ref="CI136:CI146" si="885">K136</f>
        <v>-</v>
      </c>
      <c r="CJ136" s="72">
        <f t="shared" ref="CJ136:CJ146" si="886">O136</f>
        <v>106</v>
      </c>
      <c r="CK136" s="72">
        <f t="shared" ref="CK136:CK146" si="887">S136</f>
        <v>112</v>
      </c>
      <c r="CL136" s="72">
        <f t="shared" ref="CL136:CL146" si="888">W136</f>
        <v>148</v>
      </c>
      <c r="CM136" s="72">
        <f t="shared" ref="CM136:CM146" si="889">AA136</f>
        <v>155</v>
      </c>
      <c r="CN136" s="72">
        <f t="shared" ref="CN136:CN146" si="890">AE136</f>
        <v>182</v>
      </c>
      <c r="CO136" s="72">
        <f t="shared" ref="CO136:CO146" si="891">AI136</f>
        <v>197</v>
      </c>
      <c r="CP136" s="72">
        <f t="shared" ref="CP136:CP146" si="892">AM136</f>
        <v>241</v>
      </c>
      <c r="CQ136" s="72">
        <f t="shared" ref="CQ136:CQ146" si="893">AQ136</f>
        <v>285</v>
      </c>
      <c r="CR136" s="72">
        <f t="shared" ref="CR136:CR146" si="894">AU136</f>
        <v>321</v>
      </c>
      <c r="CS136" s="72">
        <f t="shared" ref="CS136:CS146" si="895">AY136</f>
        <v>336</v>
      </c>
      <c r="CT136" s="23" t="e">
        <f t="shared" ref="CT136:CT146" si="896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69"/>
        <v>agtr2_human_5UNF</v>
      </c>
      <c r="B137" s="3" t="s">
        <v>159</v>
      </c>
      <c r="C137" s="3" t="s">
        <v>1393</v>
      </c>
      <c r="D137" s="3" t="str">
        <f>IFERROR(MID(VLOOKUP($B137,Seqs!$A:$B,2,0),E137,1),"")</f>
        <v>A</v>
      </c>
      <c r="E137" s="3">
        <v>46</v>
      </c>
      <c r="F137" s="3" t="str">
        <f>IFERROR(MID(VLOOKUP($B137,Seqs!$A:$B,2,0),G137,1),"")</f>
        <v>Q</v>
      </c>
      <c r="G137" s="3">
        <v>72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V</v>
      </c>
      <c r="M137" s="3">
        <v>78</v>
      </c>
      <c r="N137" s="3" t="str">
        <f>IFERROR(MID(VLOOKUP($B137,Seqs!$A:$B,2,0),O137,1),"")</f>
        <v>Y</v>
      </c>
      <c r="O137" s="3">
        <v>106</v>
      </c>
      <c r="P137" s="3" t="str">
        <f>IFERROR(MID(VLOOKUP($B137,Seqs!$A:$B,2,0),Q137,1),"")</f>
        <v>R</v>
      </c>
      <c r="Q137" s="3">
        <v>107</v>
      </c>
      <c r="R137" s="3" t="str">
        <f>IFERROR(MID(VLOOKUP($B137,Seqs!$A:$B,2,0),S137,1),"")</f>
        <v>F</v>
      </c>
      <c r="S137" s="3">
        <v>112</v>
      </c>
      <c r="T137" s="3" t="str">
        <f>IFERROR(MID(VLOOKUP($B137,Seqs!$A:$B,2,0),U137,1),"")</f>
        <v>G</v>
      </c>
      <c r="U137" s="3">
        <v>113</v>
      </c>
      <c r="V137" s="3" t="str">
        <f>IFERROR(MID(VLOOKUP($B137,Seqs!$A:$B,2,0),W137,1),"")</f>
        <v>Y</v>
      </c>
      <c r="W137" s="3">
        <v>148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W</v>
      </c>
      <c r="AC137" s="3">
        <v>158</v>
      </c>
      <c r="AD137" s="3" t="str">
        <f>IFERROR(MID(VLOOKUP($B137,Seqs!$A:$B,2,0),AE137,1),"")</f>
        <v>R</v>
      </c>
      <c r="AE137" s="3">
        <v>182</v>
      </c>
      <c r="AF137" s="3" t="str">
        <f>IFERROR(MID(VLOOKUP($B137,Seqs!$A:$B,2,0),AG137,1),"")</f>
        <v>C</v>
      </c>
      <c r="AG137" s="3">
        <v>195</v>
      </c>
      <c r="AH137" s="3" t="str">
        <f>IFERROR(MID(VLOOKUP($B137,Seqs!$A:$B,2,0),AI137,1),"")</f>
        <v>M</v>
      </c>
      <c r="AI137" s="3">
        <v>197</v>
      </c>
      <c r="AJ137" s="3" t="str">
        <f>IFERROR(MID(VLOOKUP($B137,Seqs!$A:$B,2,0),AK137,1),"")</f>
        <v>Y</v>
      </c>
      <c r="AK137" s="3">
        <v>204</v>
      </c>
      <c r="AL137" s="3" t="str">
        <f>IFERROR(MID(VLOOKUP($B137,Seqs!$A:$B,2,0),AM137,1),"")</f>
        <v>T</v>
      </c>
      <c r="AM137" s="3">
        <v>241</v>
      </c>
      <c r="AN137" s="3" t="str">
        <f>IFERROR(MID(VLOOKUP($B137,Seqs!$A:$B,2,0),AO137,1),"")</f>
        <v>G</v>
      </c>
      <c r="AO137" s="3">
        <v>245</v>
      </c>
      <c r="AP137" s="3" t="str">
        <f>IFERROR(MID(VLOOKUP($B137,Seqs!$A:$B,2,0),AQ137,1),"")</f>
        <v>G</v>
      </c>
      <c r="AQ137" s="3">
        <v>285</v>
      </c>
      <c r="AR137" s="3" t="str">
        <f>IFERROR(MID(VLOOKUP($B137,Seqs!$A:$B,2,0),AS137,1),"")</f>
        <v>C</v>
      </c>
      <c r="AS137" s="3">
        <v>290</v>
      </c>
      <c r="AT137" s="3" t="str">
        <f>IFERROR(MID(VLOOKUP($B137,Seqs!$A:$B,2,0),AU137,1),"")</f>
        <v>V</v>
      </c>
      <c r="AU137" s="3">
        <v>321</v>
      </c>
      <c r="AV137" s="3" t="str">
        <f>IFERROR(MID(VLOOKUP($B137,Seqs!$A:$B,2,0),AW137,1),"")</f>
        <v>G</v>
      </c>
      <c r="AW137" s="3">
        <v>322</v>
      </c>
      <c r="AX137" s="3" t="str">
        <f>IFERROR(MID(VLOOKUP($B137,Seqs!$A:$B,2,0),AY137,1),"")</f>
        <v>R</v>
      </c>
      <c r="AY137" s="3">
        <v>334</v>
      </c>
      <c r="AZ137" s="77"/>
      <c r="BA137" s="94" t="str">
        <f>VLOOKUP(B137,Classification!A:D,4,0)</f>
        <v>Angiotensin</v>
      </c>
      <c r="BB137" s="27" t="b">
        <f t="shared" si="870"/>
        <v>1</v>
      </c>
      <c r="BC137" s="23">
        <f t="shared" si="871"/>
        <v>252</v>
      </c>
      <c r="BD137" s="2" t="s">
        <v>23</v>
      </c>
      <c r="BE137" s="3" t="s">
        <v>1292</v>
      </c>
      <c r="BF137" s="119">
        <v>2.8</v>
      </c>
      <c r="BG137" s="49" t="s">
        <v>1378</v>
      </c>
      <c r="BH137" s="49" t="s">
        <v>1</v>
      </c>
      <c r="BI137" s="1"/>
      <c r="BJ137" s="70" t="s">
        <v>1288</v>
      </c>
      <c r="BK137" s="57" t="s">
        <v>1288</v>
      </c>
      <c r="BL137" s="57" t="s">
        <v>1288</v>
      </c>
      <c r="BM137" s="57" t="s">
        <v>1288</v>
      </c>
      <c r="BN137" s="57" t="s">
        <v>1288</v>
      </c>
      <c r="BO137" s="57" t="s">
        <v>1288</v>
      </c>
      <c r="BP137" s="57" t="s">
        <v>1288</v>
      </c>
      <c r="BQ137" s="57" t="s">
        <v>1288</v>
      </c>
      <c r="BR137" s="57" t="s">
        <v>1288</v>
      </c>
      <c r="BS137" s="57" t="s">
        <v>1288</v>
      </c>
      <c r="BT137" s="57" t="s">
        <v>1288</v>
      </c>
      <c r="BU137" s="57" t="s">
        <v>1288</v>
      </c>
      <c r="BV137" s="70">
        <f t="shared" si="872"/>
        <v>46</v>
      </c>
      <c r="BW137" s="71" t="str">
        <f t="shared" si="873"/>
        <v>-</v>
      </c>
      <c r="BX137" s="72">
        <f t="shared" si="874"/>
        <v>78</v>
      </c>
      <c r="BY137" s="71">
        <f t="shared" si="875"/>
        <v>107</v>
      </c>
      <c r="BZ137" s="72">
        <f t="shared" si="876"/>
        <v>113</v>
      </c>
      <c r="CA137" s="71" t="str">
        <f t="shared" si="877"/>
        <v>-</v>
      </c>
      <c r="CB137" s="72">
        <f t="shared" si="878"/>
        <v>158</v>
      </c>
      <c r="CC137" s="71">
        <f t="shared" si="879"/>
        <v>195</v>
      </c>
      <c r="CD137" s="72">
        <f t="shared" si="880"/>
        <v>204</v>
      </c>
      <c r="CE137" s="71">
        <f t="shared" si="881"/>
        <v>245</v>
      </c>
      <c r="CF137" s="72">
        <f t="shared" si="882"/>
        <v>290</v>
      </c>
      <c r="CG137" s="71">
        <f t="shared" si="883"/>
        <v>322</v>
      </c>
      <c r="CH137" s="70">
        <f t="shared" si="884"/>
        <v>72</v>
      </c>
      <c r="CI137" s="71" t="str">
        <f t="shared" si="885"/>
        <v>-</v>
      </c>
      <c r="CJ137" s="72">
        <f t="shared" si="886"/>
        <v>106</v>
      </c>
      <c r="CK137" s="72">
        <f t="shared" si="887"/>
        <v>112</v>
      </c>
      <c r="CL137" s="72">
        <f t="shared" si="888"/>
        <v>148</v>
      </c>
      <c r="CM137" s="72" t="str">
        <f t="shared" si="889"/>
        <v>-</v>
      </c>
      <c r="CN137" s="72">
        <f t="shared" si="890"/>
        <v>182</v>
      </c>
      <c r="CO137" s="72">
        <f t="shared" si="891"/>
        <v>197</v>
      </c>
      <c r="CP137" s="72">
        <f t="shared" si="892"/>
        <v>241</v>
      </c>
      <c r="CQ137" s="72">
        <f t="shared" si="893"/>
        <v>285</v>
      </c>
      <c r="CR137" s="72">
        <f t="shared" si="894"/>
        <v>321</v>
      </c>
      <c r="CS137" s="72">
        <f t="shared" si="895"/>
        <v>334</v>
      </c>
      <c r="CT137" s="23" t="e">
        <f t="shared" si="896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869"/>
        <v>agtr2_human_5UNG</v>
      </c>
      <c r="B138" s="3" t="s">
        <v>159</v>
      </c>
      <c r="C138" s="3" t="s">
        <v>1395</v>
      </c>
      <c r="D138" s="3" t="str">
        <f>IFERROR(MID(VLOOKUP($B138,Seqs!$A:$B,2,0),E138,1),"")</f>
        <v>D</v>
      </c>
      <c r="E138" s="3">
        <v>45</v>
      </c>
      <c r="F138" s="3" t="str">
        <f>IFERROR(MID(VLOOKUP($B138,Seqs!$A:$B,2,0),G138,1),"")</f>
        <v>C</v>
      </c>
      <c r="G138" s="3">
        <v>71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V</v>
      </c>
      <c r="M138" s="3">
        <v>78</v>
      </c>
      <c r="N138" s="3" t="str">
        <f>IFERROR(MID(VLOOKUP($B138,Seqs!$A:$B,2,0),O138,1),"")</f>
        <v>Y</v>
      </c>
      <c r="O138" s="3">
        <v>106</v>
      </c>
      <c r="P138" s="3" t="str">
        <f>IFERROR(MID(VLOOKUP($B138,Seqs!$A:$B,2,0),Q138,1),"")</f>
        <v>R</v>
      </c>
      <c r="Q138" s="3">
        <v>107</v>
      </c>
      <c r="R138" s="3" t="str">
        <f>IFERROR(MID(VLOOKUP($B138,Seqs!$A:$B,2,0),S138,1),"")</f>
        <v>F</v>
      </c>
      <c r="S138" s="3">
        <v>112</v>
      </c>
      <c r="T138" s="3" t="str">
        <f>IFERROR(MID(VLOOKUP($B138,Seqs!$A:$B,2,0),U138,1),"")</f>
        <v>G</v>
      </c>
      <c r="U138" s="3">
        <v>113</v>
      </c>
      <c r="V138" s="3" t="str">
        <f>IFERROR(MID(VLOOKUP($B138,Seqs!$A:$B,2,0),W138,1),"")</f>
        <v>Y</v>
      </c>
      <c r="W138" s="3">
        <v>148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Q</v>
      </c>
      <c r="AC138" s="3">
        <v>159</v>
      </c>
      <c r="AD138" s="3" t="str">
        <f>IFERROR(MID(VLOOKUP($B138,Seqs!$A:$B,2,0),AE138,1),"")</f>
        <v>R</v>
      </c>
      <c r="AE138" s="3">
        <v>182</v>
      </c>
      <c r="AF138" s="3" t="str">
        <f>IFERROR(MID(VLOOKUP($B138,Seqs!$A:$B,2,0),AG138,1),"")</f>
        <v>C</v>
      </c>
      <c r="AG138" s="3">
        <v>195</v>
      </c>
      <c r="AH138" s="3" t="str">
        <f>IFERROR(MID(VLOOKUP($B138,Seqs!$A:$B,2,0),AI138,1),"")</f>
        <v>M</v>
      </c>
      <c r="AI138" s="3">
        <v>197</v>
      </c>
      <c r="AJ138" s="3" t="str">
        <f>IFERROR(MID(VLOOKUP($B138,Seqs!$A:$B,2,0),AK138,1),"")</f>
        <v>K</v>
      </c>
      <c r="AK138" s="3">
        <v>203</v>
      </c>
      <c r="AL138" s="3" t="str">
        <f>IFERROR(MID(VLOOKUP($B138,Seqs!$A:$B,2,0),AM138,1),"")</f>
        <v>T</v>
      </c>
      <c r="AM138" s="3">
        <v>241</v>
      </c>
      <c r="AN138" s="3" t="str">
        <f>IFERROR(MID(VLOOKUP($B138,Seqs!$A:$B,2,0),AO138,1),"")</f>
        <v>G</v>
      </c>
      <c r="AO138" s="3">
        <v>245</v>
      </c>
      <c r="AP138" s="3" t="str">
        <f>IFERROR(MID(VLOOKUP($B138,Seqs!$A:$B,2,0),AQ138,1),"")</f>
        <v>G</v>
      </c>
      <c r="AQ138" s="3">
        <v>285</v>
      </c>
      <c r="AR138" s="3" t="str">
        <f>IFERROR(MID(VLOOKUP($B138,Seqs!$A:$B,2,0),AS138,1),"")</f>
        <v>S</v>
      </c>
      <c r="AS138" s="3">
        <v>289</v>
      </c>
      <c r="AT138" s="3" t="str">
        <f>IFERROR(MID(VLOOKUP($B138,Seqs!$A:$B,2,0),AU138,1),"")</f>
        <v>V</v>
      </c>
      <c r="AU138" s="3">
        <v>321</v>
      </c>
      <c r="AV138" s="3" t="str">
        <f>IFERROR(MID(VLOOKUP($B138,Seqs!$A:$B,2,0),AW138,1),"")</f>
        <v>G</v>
      </c>
      <c r="AW138" s="3">
        <v>322</v>
      </c>
      <c r="AX138" s="3" t="str">
        <f>IFERROR(MID(VLOOKUP($B138,Seqs!$A:$B,2,0),AY138,1),"")</f>
        <v>R</v>
      </c>
      <c r="AY138" s="3">
        <v>334</v>
      </c>
      <c r="AZ138" s="77" t="str">
        <f>VLOOKUP(B138,Classification!A:D,2,0)</f>
        <v>A</v>
      </c>
      <c r="BA138" s="94" t="str">
        <f>VLOOKUP(B138,Classification!A:D,4,0)</f>
        <v>Angiotensin</v>
      </c>
      <c r="BB138" s="27" t="b">
        <f t="shared" si="870"/>
        <v>1</v>
      </c>
      <c r="BC138" s="23">
        <f t="shared" si="871"/>
        <v>253</v>
      </c>
      <c r="BD138" s="2" t="s">
        <v>1376</v>
      </c>
      <c r="BE138" s="3" t="s">
        <v>1292</v>
      </c>
      <c r="BF138" s="119">
        <v>2.8</v>
      </c>
      <c r="BG138" s="49" t="s">
        <v>1378</v>
      </c>
      <c r="BH138" s="49" t="s">
        <v>1282</v>
      </c>
      <c r="BI138" s="1"/>
      <c r="BJ138" s="70" t="s">
        <v>1288</v>
      </c>
      <c r="BK138" s="57" t="s">
        <v>1288</v>
      </c>
      <c r="BL138" s="57" t="s">
        <v>1288</v>
      </c>
      <c r="BM138" s="57" t="s">
        <v>1288</v>
      </c>
      <c r="BN138" s="57" t="s">
        <v>1288</v>
      </c>
      <c r="BO138" s="57" t="s">
        <v>1288</v>
      </c>
      <c r="BP138" s="57" t="s">
        <v>1288</v>
      </c>
      <c r="BQ138" s="57" t="s">
        <v>1288</v>
      </c>
      <c r="BR138" s="57" t="s">
        <v>1288</v>
      </c>
      <c r="BS138" s="57" t="s">
        <v>1288</v>
      </c>
      <c r="BT138" s="57" t="s">
        <v>1288</v>
      </c>
      <c r="BU138" s="57" t="s">
        <v>1288</v>
      </c>
      <c r="BV138" s="70">
        <f t="shared" si="872"/>
        <v>45</v>
      </c>
      <c r="BW138" s="71" t="str">
        <f t="shared" si="873"/>
        <v>-</v>
      </c>
      <c r="BX138" s="72">
        <f t="shared" si="874"/>
        <v>78</v>
      </c>
      <c r="BY138" s="71">
        <f t="shared" si="875"/>
        <v>107</v>
      </c>
      <c r="BZ138" s="72">
        <f t="shared" si="876"/>
        <v>113</v>
      </c>
      <c r="CA138" s="71" t="str">
        <f t="shared" si="877"/>
        <v>-</v>
      </c>
      <c r="CB138" s="72">
        <f t="shared" si="878"/>
        <v>159</v>
      </c>
      <c r="CC138" s="71">
        <f t="shared" si="879"/>
        <v>195</v>
      </c>
      <c r="CD138" s="72">
        <f t="shared" si="880"/>
        <v>203</v>
      </c>
      <c r="CE138" s="71">
        <f t="shared" si="881"/>
        <v>245</v>
      </c>
      <c r="CF138" s="72">
        <f t="shared" si="882"/>
        <v>289</v>
      </c>
      <c r="CG138" s="71">
        <f t="shared" si="883"/>
        <v>322</v>
      </c>
      <c r="CH138" s="70">
        <f t="shared" si="884"/>
        <v>71</v>
      </c>
      <c r="CI138" s="71" t="str">
        <f t="shared" si="885"/>
        <v>-</v>
      </c>
      <c r="CJ138" s="72">
        <f t="shared" si="886"/>
        <v>106</v>
      </c>
      <c r="CK138" s="72">
        <f t="shared" si="887"/>
        <v>112</v>
      </c>
      <c r="CL138" s="72">
        <f t="shared" si="888"/>
        <v>148</v>
      </c>
      <c r="CM138" s="72" t="str">
        <f t="shared" si="889"/>
        <v>-</v>
      </c>
      <c r="CN138" s="72">
        <f t="shared" si="890"/>
        <v>182</v>
      </c>
      <c r="CO138" s="72">
        <f t="shared" si="891"/>
        <v>197</v>
      </c>
      <c r="CP138" s="72">
        <f t="shared" si="892"/>
        <v>241</v>
      </c>
      <c r="CQ138" s="72">
        <f t="shared" si="893"/>
        <v>285</v>
      </c>
      <c r="CR138" s="72">
        <f t="shared" si="894"/>
        <v>321</v>
      </c>
      <c r="CS138" s="72">
        <f t="shared" si="895"/>
        <v>334</v>
      </c>
      <c r="CT138" s="23" t="e">
        <f t="shared" si="896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869"/>
        <v>agtr2_human_5UNH</v>
      </c>
      <c r="B139" s="3" t="s">
        <v>159</v>
      </c>
      <c r="C139" s="3" t="s">
        <v>1396</v>
      </c>
      <c r="D139" s="3" t="str">
        <f>IFERROR(MID(VLOOKUP($B139,Seqs!$A:$B,2,0),E139,1),"")</f>
        <v>D</v>
      </c>
      <c r="E139" s="3">
        <v>45</v>
      </c>
      <c r="F139" s="3" t="str">
        <f>IFERROR(MID(VLOOKUP($B139,Seqs!$A:$B,2,0),G139,1),"")</f>
        <v>C</v>
      </c>
      <c r="G139" s="3">
        <v>70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K</v>
      </c>
      <c r="M139" s="3">
        <v>77</v>
      </c>
      <c r="N139" s="3" t="str">
        <f>IFERROR(MID(VLOOKUP($B139,Seqs!$A:$B,2,0),O139,1),"")</f>
        <v>Y</v>
      </c>
      <c r="O139" s="3">
        <v>106</v>
      </c>
      <c r="P139" s="3" t="str">
        <f>IFERROR(MID(VLOOKUP($B139,Seqs!$A:$B,2,0),Q139,1),"")</f>
        <v>R</v>
      </c>
      <c r="Q139" s="3">
        <v>107</v>
      </c>
      <c r="R139" s="3" t="str">
        <f>IFERROR(MID(VLOOKUP($B139,Seqs!$A:$B,2,0),S139,1),"")</f>
        <v>F</v>
      </c>
      <c r="S139" s="3">
        <v>112</v>
      </c>
      <c r="T139" s="3" t="str">
        <f>IFERROR(MID(VLOOKUP($B139,Seqs!$A:$B,2,0),U139,1),"")</f>
        <v>G</v>
      </c>
      <c r="U139" s="3">
        <v>113</v>
      </c>
      <c r="V139" s="3" t="str">
        <f>IFERROR(MID(VLOOKUP($B139,Seqs!$A:$B,2,0),W139,1),"")</f>
        <v>Y</v>
      </c>
      <c r="W139" s="3">
        <v>148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Y</v>
      </c>
      <c r="AC139" s="3">
        <v>162</v>
      </c>
      <c r="AD139" s="3" t="str">
        <f>IFERROR(MID(VLOOKUP($B139,Seqs!$A:$B,2,0),AE139,1),"")</f>
        <v>R</v>
      </c>
      <c r="AE139" s="3">
        <v>182</v>
      </c>
      <c r="AF139" s="3" t="str">
        <f>IFERROR(MID(VLOOKUP($B139,Seqs!$A:$B,2,0),AG139,1),"")</f>
        <v>C</v>
      </c>
      <c r="AG139" s="3">
        <v>195</v>
      </c>
      <c r="AH139" s="3" t="str">
        <f>IFERROR(MID(VLOOKUP($B139,Seqs!$A:$B,2,0),AI139,1),"")</f>
        <v>M</v>
      </c>
      <c r="AI139" s="3">
        <v>197</v>
      </c>
      <c r="AJ139" s="3" t="str">
        <f>IFERROR(MID(VLOOKUP($B139,Seqs!$A:$B,2,0),AK139,1),"")</f>
        <v>Y</v>
      </c>
      <c r="AK139" s="3">
        <v>204</v>
      </c>
      <c r="AL139" s="3" t="str">
        <f>IFERROR(MID(VLOOKUP($B139,Seqs!$A:$B,2,0),AM139,1),"")</f>
        <v>T</v>
      </c>
      <c r="AM139" s="3">
        <v>241</v>
      </c>
      <c r="AN139" s="3" t="str">
        <f>IFERROR(MID(VLOOKUP($B139,Seqs!$A:$B,2,0),AO139,1),"")</f>
        <v>G</v>
      </c>
      <c r="AO139" s="3">
        <v>245</v>
      </c>
      <c r="AP139" s="3" t="str">
        <f>IFERROR(MID(VLOOKUP($B139,Seqs!$A:$B,2,0),AQ139,1),"")</f>
        <v>G</v>
      </c>
      <c r="AQ139" s="3">
        <v>285</v>
      </c>
      <c r="AR139" s="3" t="str">
        <f>IFERROR(MID(VLOOKUP($B139,Seqs!$A:$B,2,0),AS139,1),"")</f>
        <v>S</v>
      </c>
      <c r="AS139" s="3">
        <v>289</v>
      </c>
      <c r="AT139" s="3" t="str">
        <f>IFERROR(MID(VLOOKUP($B139,Seqs!$A:$B,2,0),AU139,1),"")</f>
        <v>V</v>
      </c>
      <c r="AU139" s="3">
        <v>321</v>
      </c>
      <c r="AV139" s="3" t="str">
        <f>IFERROR(MID(VLOOKUP($B139,Seqs!$A:$B,2,0),AW139,1),"")</f>
        <v>G</v>
      </c>
      <c r="AW139" s="3">
        <v>322</v>
      </c>
      <c r="AX139" s="3" t="str">
        <f>IFERROR(MID(VLOOKUP($B139,Seqs!$A:$B,2,0),AY139,1),"")</f>
        <v>V</v>
      </c>
      <c r="AY139" s="3">
        <v>332</v>
      </c>
      <c r="AZ139" s="77" t="str">
        <f>VLOOKUP(B139,Classification!A:D,2,0)</f>
        <v>A</v>
      </c>
      <c r="BA139" s="94" t="str">
        <f>VLOOKUP(B139,Classification!A:D,4,0)</f>
        <v>Angiotensin</v>
      </c>
      <c r="BB139" s="27" t="b">
        <f t="shared" si="870"/>
        <v>1</v>
      </c>
      <c r="BC139" s="23">
        <f t="shared" si="871"/>
        <v>247</v>
      </c>
      <c r="BD139" s="2" t="s">
        <v>23</v>
      </c>
      <c r="BE139" s="3" t="s">
        <v>1292</v>
      </c>
      <c r="BF139" s="119">
        <v>2.9</v>
      </c>
      <c r="BG139" s="49" t="s">
        <v>1378</v>
      </c>
      <c r="BH139" s="49" t="s">
        <v>1282</v>
      </c>
      <c r="BI139" s="1"/>
      <c r="BJ139" s="70" t="s">
        <v>1288</v>
      </c>
      <c r="BK139" s="57" t="s">
        <v>1288</v>
      </c>
      <c r="BL139" s="57" t="s">
        <v>1288</v>
      </c>
      <c r="BM139" s="57" t="s">
        <v>1288</v>
      </c>
      <c r="BN139" s="57" t="s">
        <v>1288</v>
      </c>
      <c r="BO139" s="57" t="s">
        <v>1288</v>
      </c>
      <c r="BP139" s="57" t="s">
        <v>1288</v>
      </c>
      <c r="BQ139" s="57" t="s">
        <v>1288</v>
      </c>
      <c r="BR139" s="57" t="s">
        <v>1288</v>
      </c>
      <c r="BS139" s="57" t="s">
        <v>1288</v>
      </c>
      <c r="BT139" s="57" t="s">
        <v>1288</v>
      </c>
      <c r="BU139" s="57" t="s">
        <v>1288</v>
      </c>
      <c r="BV139" s="70">
        <f t="shared" si="872"/>
        <v>45</v>
      </c>
      <c r="BW139" s="71" t="str">
        <f t="shared" si="873"/>
        <v>-</v>
      </c>
      <c r="BX139" s="72">
        <f t="shared" si="874"/>
        <v>77</v>
      </c>
      <c r="BY139" s="71">
        <f t="shared" si="875"/>
        <v>107</v>
      </c>
      <c r="BZ139" s="72">
        <f t="shared" si="876"/>
        <v>113</v>
      </c>
      <c r="CA139" s="71" t="str">
        <f t="shared" si="877"/>
        <v>-</v>
      </c>
      <c r="CB139" s="72">
        <f t="shared" si="878"/>
        <v>162</v>
      </c>
      <c r="CC139" s="71">
        <f t="shared" si="879"/>
        <v>195</v>
      </c>
      <c r="CD139" s="72">
        <f t="shared" si="880"/>
        <v>204</v>
      </c>
      <c r="CE139" s="71">
        <f t="shared" si="881"/>
        <v>245</v>
      </c>
      <c r="CF139" s="72">
        <f t="shared" si="882"/>
        <v>289</v>
      </c>
      <c r="CG139" s="71">
        <f t="shared" si="883"/>
        <v>322</v>
      </c>
      <c r="CH139" s="70">
        <f t="shared" si="884"/>
        <v>70</v>
      </c>
      <c r="CI139" s="71" t="str">
        <f t="shared" si="885"/>
        <v>-</v>
      </c>
      <c r="CJ139" s="72">
        <f t="shared" si="886"/>
        <v>106</v>
      </c>
      <c r="CK139" s="72">
        <f t="shared" si="887"/>
        <v>112</v>
      </c>
      <c r="CL139" s="72">
        <f t="shared" si="888"/>
        <v>148</v>
      </c>
      <c r="CM139" s="72" t="str">
        <f t="shared" si="889"/>
        <v>-</v>
      </c>
      <c r="CN139" s="72">
        <f t="shared" si="890"/>
        <v>182</v>
      </c>
      <c r="CO139" s="72">
        <f t="shared" si="891"/>
        <v>197</v>
      </c>
      <c r="CP139" s="72">
        <f t="shared" si="892"/>
        <v>241</v>
      </c>
      <c r="CQ139" s="72">
        <f t="shared" si="893"/>
        <v>285</v>
      </c>
      <c r="CR139" s="72">
        <f t="shared" si="894"/>
        <v>321</v>
      </c>
      <c r="CS139" s="72">
        <f t="shared" si="895"/>
        <v>332</v>
      </c>
      <c r="CT139" s="23" t="e">
        <f t="shared" si="896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ref="A140" si="897">CONCATENATE(B140,"_",C140)</f>
        <v>agtr2_human_5XJM</v>
      </c>
      <c r="B140" s="3" t="s">
        <v>159</v>
      </c>
      <c r="C140" s="3" t="s">
        <v>1512</v>
      </c>
      <c r="D140" s="3" t="str">
        <f>IFERROR(MID(VLOOKUP($B140,Seqs!$A:$B,2,0),E140,1),"")</f>
        <v>A</v>
      </c>
      <c r="E140" s="3">
        <v>46</v>
      </c>
      <c r="F140" s="3" t="str">
        <f>IFERROR(MID(VLOOKUP($B140,Seqs!$A:$B,2,0),G140,1),"")</f>
        <v>K</v>
      </c>
      <c r="G140" s="3">
        <v>73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V</v>
      </c>
      <c r="M140" s="3">
        <v>78</v>
      </c>
      <c r="N140" s="3" t="str">
        <f>IFERROR(MID(VLOOKUP($B140,Seqs!$A:$B,2,0),O140,1),"")</f>
        <v>Y</v>
      </c>
      <c r="O140" s="3">
        <v>106</v>
      </c>
      <c r="P140" s="3" t="str">
        <f>IFERROR(MID(VLOOKUP($B140,Seqs!$A:$B,2,0),Q140,1),"")</f>
        <v>R</v>
      </c>
      <c r="Q140" s="3">
        <v>107</v>
      </c>
      <c r="R140" s="3" t="str">
        <f>IFERROR(MID(VLOOKUP($B140,Seqs!$A:$B,2,0),S140,1),"")</f>
        <v>F</v>
      </c>
      <c r="S140" s="3">
        <v>112</v>
      </c>
      <c r="T140" s="3" t="str">
        <f>IFERROR(MID(VLOOKUP($B140,Seqs!$A:$B,2,0),U140,1),"")</f>
        <v>G</v>
      </c>
      <c r="U140" s="3">
        <v>113</v>
      </c>
      <c r="V140" s="3" t="str">
        <f>IFERROR(MID(VLOOKUP($B140,Seqs!$A:$B,2,0),W140,1),"")</f>
        <v>Y</v>
      </c>
      <c r="W140" s="3">
        <v>148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R</v>
      </c>
      <c r="AC140" s="3">
        <v>155</v>
      </c>
      <c r="AD140" s="3" t="str">
        <f>IFERROR(MID(VLOOKUP($B140,Seqs!$A:$B,2,0),AE140,1),"")</f>
        <v>F</v>
      </c>
      <c r="AE140" s="3">
        <v>181</v>
      </c>
      <c r="AF140" s="3" t="str">
        <f>IFERROR(MID(VLOOKUP($B140,Seqs!$A:$B,2,0),AG140,1),"")</f>
        <v>C</v>
      </c>
      <c r="AG140" s="3">
        <v>195</v>
      </c>
      <c r="AH140" s="3" t="str">
        <f>IFERROR(MID(VLOOKUP($B140,Seqs!$A:$B,2,0),AI140,1),"")</f>
        <v>M</v>
      </c>
      <c r="AI140" s="3">
        <v>197</v>
      </c>
      <c r="AJ140" s="3" t="str">
        <f>IFERROR(MID(VLOOKUP($B140,Seqs!$A:$B,2,0),AK140,1),"")</f>
        <v>K</v>
      </c>
      <c r="AK140" s="3">
        <v>203</v>
      </c>
      <c r="AL140" s="3" t="str">
        <f>IFERROR(MID(VLOOKUP($B140,Seqs!$A:$B,2,0),AM140,1),"")</f>
        <v>N</v>
      </c>
      <c r="AM140" s="3">
        <v>242</v>
      </c>
      <c r="AN140" s="3" t="str">
        <f>IFERROR(MID(VLOOKUP($B140,Seqs!$A:$B,2,0),AO140,1),"")</f>
        <v>N</v>
      </c>
      <c r="AO140" s="3">
        <v>247</v>
      </c>
      <c r="AP140" s="3" t="str">
        <f>IFERROR(MID(VLOOKUP($B140,Seqs!$A:$B,2,0),AQ140,1),"")</f>
        <v>G</v>
      </c>
      <c r="AQ140" s="3">
        <v>285</v>
      </c>
      <c r="AR140" s="3" t="str">
        <f>IFERROR(MID(VLOOKUP($B140,Seqs!$A:$B,2,0),AS140,1),"")</f>
        <v>S</v>
      </c>
      <c r="AS140" s="3">
        <v>289</v>
      </c>
      <c r="AT140" s="3" t="str">
        <f>IFERROR(MID(VLOOKUP($B140,Seqs!$A:$B,2,0),AU140,1),"")</f>
        <v>F</v>
      </c>
      <c r="AU140" s="3">
        <v>320</v>
      </c>
      <c r="AV140" s="3" t="str">
        <f>IFERROR(MID(VLOOKUP($B140,Seqs!$A:$B,2,0),AW140,1),"")</f>
        <v/>
      </c>
      <c r="AW140" s="3" t="s">
        <v>23</v>
      </c>
      <c r="AX140" s="3" t="str">
        <f>IFERROR(MID(VLOOKUP($B140,Seqs!$A:$B,2,0),AY140,1),"")</f>
        <v/>
      </c>
      <c r="AY140" s="3" t="s">
        <v>23</v>
      </c>
      <c r="AZ140" s="77" t="str">
        <f>VLOOKUP(B140,Classification!A:D,2,0)</f>
        <v>A</v>
      </c>
      <c r="BA140" s="94" t="str">
        <f>VLOOKUP(B140,Classification!A:D,4,0)</f>
        <v>Angiotensin</v>
      </c>
      <c r="BB140" s="27" t="b">
        <f t="shared" ref="BB140" si="898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ref="BC140" si="899">_xlfn.AGGREGATE(9,6,CH140:CS140)-_xlfn.AGGREGATE(9,6,BV140:CG140)+12</f>
        <v>243</v>
      </c>
      <c r="BD140" s="2" t="s">
        <v>23</v>
      </c>
      <c r="BE140" s="3" t="s">
        <v>1292</v>
      </c>
      <c r="BF140" s="119">
        <v>3.2</v>
      </c>
      <c r="BG140" s="49" t="s">
        <v>1</v>
      </c>
      <c r="BH140" s="49" t="s">
        <v>1</v>
      </c>
      <c r="BI140" s="1"/>
      <c r="BJ140" s="70" t="s">
        <v>1288</v>
      </c>
      <c r="BK140" s="57" t="s">
        <v>1288</v>
      </c>
      <c r="BL140" s="57" t="s">
        <v>1288</v>
      </c>
      <c r="BM140" s="57" t="s">
        <v>1288</v>
      </c>
      <c r="BN140" s="57" t="s">
        <v>1288</v>
      </c>
      <c r="BO140" s="57" t="s">
        <v>1288</v>
      </c>
      <c r="BP140" s="57" t="s">
        <v>1288</v>
      </c>
      <c r="BQ140" s="57" t="s">
        <v>1288</v>
      </c>
      <c r="BR140" s="57" t="s">
        <v>1288</v>
      </c>
      <c r="BS140" s="57" t="s">
        <v>1288</v>
      </c>
      <c r="BT140" s="57" t="s">
        <v>1288</v>
      </c>
      <c r="BU140" s="57" t="s">
        <v>1288</v>
      </c>
      <c r="BV140" s="70">
        <f t="shared" ref="BV140" si="900">E140</f>
        <v>46</v>
      </c>
      <c r="BW140" s="71" t="str">
        <f t="shared" ref="BW140" si="901">I140</f>
        <v>-</v>
      </c>
      <c r="BX140" s="72">
        <f t="shared" ref="BX140" si="902">M140</f>
        <v>78</v>
      </c>
      <c r="BY140" s="71">
        <f t="shared" ref="BY140" si="903">Q140</f>
        <v>107</v>
      </c>
      <c r="BZ140" s="72">
        <f t="shared" ref="BZ140" si="904">U140</f>
        <v>113</v>
      </c>
      <c r="CA140" s="71" t="str">
        <f t="shared" ref="CA140" si="905">Y140</f>
        <v>-</v>
      </c>
      <c r="CB140" s="72">
        <f t="shared" ref="CB140" si="906">AC140</f>
        <v>155</v>
      </c>
      <c r="CC140" s="71">
        <f t="shared" ref="CC140" si="907">AG140</f>
        <v>195</v>
      </c>
      <c r="CD140" s="72">
        <f t="shared" ref="CD140" si="908">AK140</f>
        <v>203</v>
      </c>
      <c r="CE140" s="71">
        <f t="shared" ref="CE140" si="909">AO140</f>
        <v>247</v>
      </c>
      <c r="CF140" s="72">
        <f t="shared" ref="CF140" si="910">AS140</f>
        <v>289</v>
      </c>
      <c r="CG140" s="71" t="str">
        <f t="shared" ref="CG140" si="911">AW140</f>
        <v>-</v>
      </c>
      <c r="CH140" s="70">
        <f t="shared" ref="CH140" si="912">G140</f>
        <v>73</v>
      </c>
      <c r="CI140" s="71" t="str">
        <f t="shared" ref="CI140" si="913">K140</f>
        <v>-</v>
      </c>
      <c r="CJ140" s="72">
        <f t="shared" ref="CJ140" si="914">O140</f>
        <v>106</v>
      </c>
      <c r="CK140" s="72">
        <f t="shared" ref="CK140" si="915">S140</f>
        <v>112</v>
      </c>
      <c r="CL140" s="72">
        <f t="shared" ref="CL140" si="916">W140</f>
        <v>148</v>
      </c>
      <c r="CM140" s="72" t="str">
        <f t="shared" ref="CM140" si="917">AA140</f>
        <v>-</v>
      </c>
      <c r="CN140" s="72">
        <f t="shared" ref="CN140" si="918">AE140</f>
        <v>181</v>
      </c>
      <c r="CO140" s="72">
        <f t="shared" ref="CO140" si="919">AI140</f>
        <v>197</v>
      </c>
      <c r="CP140" s="72">
        <f t="shared" ref="CP140" si="920">AM140</f>
        <v>242</v>
      </c>
      <c r="CQ140" s="72">
        <f t="shared" ref="CQ140" si="921">AQ140</f>
        <v>285</v>
      </c>
      <c r="CR140" s="72">
        <f t="shared" ref="CR140" si="922">AU140</f>
        <v>320</v>
      </c>
      <c r="CS140" s="72" t="str">
        <f t="shared" ref="CS140" si="923">AY140</f>
        <v>-</v>
      </c>
      <c r="CT140" s="23" t="e">
        <f t="shared" ref="CT140" si="924">M140-K140</f>
        <v>#VALUE!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869"/>
        <v>apj_human__wt</v>
      </c>
      <c r="B141" s="3" t="s">
        <v>160</v>
      </c>
      <c r="C141" s="3" t="s">
        <v>100</v>
      </c>
      <c r="D141" s="3" t="str">
        <f>IFERROR(MID(VLOOKUP($B141,Seqs!$A:$B,2,0),E141,1),"")</f>
        <v>A</v>
      </c>
      <c r="E141" s="3">
        <v>29</v>
      </c>
      <c r="F141" s="3" t="str">
        <f>IFERROR(MID(VLOOKUP($B141,Seqs!$A:$B,2,0),G141,1),"")</f>
        <v>S</v>
      </c>
      <c r="G141" s="3">
        <v>56</v>
      </c>
      <c r="H141" s="3" t="str">
        <f>IFERROR(MID(VLOOKUP($B141,Seqs!$A:$B,2,0),I141,1),"")</f>
        <v>S</v>
      </c>
      <c r="I141" s="23">
        <v>57</v>
      </c>
      <c r="J141" s="3" t="str">
        <f>IFERROR(MID(VLOOKUP($B141,Seqs!$A:$B,2,0),K141,1),"")</f>
        <v>R</v>
      </c>
      <c r="K141" s="23">
        <v>61</v>
      </c>
      <c r="L141" s="3" t="str">
        <f>IFERROR(MID(VLOOKUP($B141,Seqs!$A:$B,2,0),M141,1),"")</f>
        <v>R</v>
      </c>
      <c r="M141" s="3">
        <v>62</v>
      </c>
      <c r="N141" s="3" t="str">
        <f>IFERROR(MID(VLOOKUP($B141,Seqs!$A:$B,2,0),O141,1),"")</f>
        <v>D</v>
      </c>
      <c r="O141" s="3">
        <v>92</v>
      </c>
      <c r="P141" s="3" t="str">
        <f>IFERROR(MID(VLOOKUP($B141,Seqs!$A:$B,2,0),Q141,1),"")</f>
        <v>D</v>
      </c>
      <c r="Q141" s="3">
        <v>94</v>
      </c>
      <c r="R141" s="3" t="str">
        <f>IFERROR(MID(VLOOKUP($B141,Seqs!$A:$B,2,0),S141,1),"")</f>
        <v>F</v>
      </c>
      <c r="S141" s="3">
        <v>97</v>
      </c>
      <c r="T141" s="3" t="str">
        <f>IFERROR(MID(VLOOKUP($B141,Seqs!$A:$B,2,0),U141,1),"")</f>
        <v>G</v>
      </c>
      <c r="U141" s="3">
        <v>98</v>
      </c>
      <c r="V141" s="3" t="str">
        <f>IFERROR(MID(VLOOKUP($B141,Seqs!$A:$B,2,0),W141,1),"")</f>
        <v>R</v>
      </c>
      <c r="W141" s="3">
        <v>133</v>
      </c>
      <c r="X141" s="3" t="str">
        <f>IFERROR(MID(VLOOKUP($B141,Seqs!$A:$B,2,0),Y141,1),"")</f>
        <v>P</v>
      </c>
      <c r="Y141" s="3">
        <v>134</v>
      </c>
      <c r="Z141" s="3" t="str">
        <f>IFERROR(MID(VLOOKUP($B141,Seqs!$A:$B,2,0),AA141,1),"")</f>
        <v>R</v>
      </c>
      <c r="AA141" s="3">
        <v>141</v>
      </c>
      <c r="AB141" s="3" t="str">
        <f>IFERROR(MID(VLOOKUP($B141,Seqs!$A:$B,2,0),AC141,1),"")</f>
        <v>L</v>
      </c>
      <c r="AC141" s="3">
        <v>142</v>
      </c>
      <c r="AD141" s="3" t="str">
        <f>IFERROR(MID(VLOOKUP($B141,Seqs!$A:$B,2,0),AE141,1),"")</f>
        <v>R</v>
      </c>
      <c r="AE141" s="3">
        <v>168</v>
      </c>
      <c r="AF141" s="3" t="str">
        <f>IFERROR(MID(VLOOKUP($B141,Seqs!$A:$B,2,0),AG141,1),"")</f>
        <v>C</v>
      </c>
      <c r="AG141" s="3">
        <v>181</v>
      </c>
      <c r="AH141" s="3" t="str">
        <f>IFERROR(MID(VLOOKUP($B141,Seqs!$A:$B,2,0),AI141,1),"")</f>
        <v>M</v>
      </c>
      <c r="AI141" s="3">
        <v>183</v>
      </c>
      <c r="AJ141" s="3" t="str">
        <f>IFERROR(MID(VLOOKUP($B141,Seqs!$A:$B,2,0),AK141,1),"")</f>
        <v>S</v>
      </c>
      <c r="AK141" s="3">
        <v>193</v>
      </c>
      <c r="AL141" s="3" t="str">
        <f>IFERROR(MID(VLOOKUP($B141,Seqs!$A:$B,2,0),AM141,1),"")</f>
        <v>E</v>
      </c>
      <c r="AM141" s="3">
        <v>235</v>
      </c>
      <c r="AN141" s="3" t="str">
        <f>IFERROR(MID(VLOOKUP($B141,Seqs!$A:$B,2,0),AO141,1),"")</f>
        <v>K</v>
      </c>
      <c r="AO141" s="3">
        <v>242</v>
      </c>
      <c r="AP141" s="3" t="str">
        <f>IFERROR(MID(VLOOKUP($B141,Seqs!$A:$B,2,0),AQ141,1),"")</f>
        <v>L</v>
      </c>
      <c r="AQ141" s="3">
        <v>276</v>
      </c>
      <c r="AR141" s="3" t="str">
        <f>IFERROR(MID(VLOOKUP($B141,Seqs!$A:$B,2,0),AS141,1),"")</f>
        <v>P</v>
      </c>
      <c r="AS141" s="3">
        <v>280</v>
      </c>
      <c r="AT141" s="3" t="str">
        <f>IFERROR(MID(VLOOKUP($B141,Seqs!$A:$B,2,0),AU141,1),"")</f>
        <v>F</v>
      </c>
      <c r="AU141" s="3">
        <v>312</v>
      </c>
      <c r="AV141" s="3" t="str">
        <f>IFERROR(MID(VLOOKUP($B141,Seqs!$A:$B,2,0),AW141,1),"")</f>
        <v>D</v>
      </c>
      <c r="AW141" s="3">
        <v>313</v>
      </c>
      <c r="AX141" s="3" t="str">
        <f>IFERROR(MID(VLOOKUP($B141,Seqs!$A:$B,2,0),AY141,1),"")</f>
        <v>G</v>
      </c>
      <c r="AY141" s="3">
        <v>327</v>
      </c>
      <c r="AZ141" s="77" t="str">
        <f>VLOOKUP(B141,Classification!A:D,2,0)</f>
        <v>A</v>
      </c>
      <c r="BA141" s="94" t="str">
        <f>VLOOKUP(B141,Classification!A:D,4,0)</f>
        <v>Apelin</v>
      </c>
      <c r="BB141" s="27" t="b">
        <f t="shared" si="870"/>
        <v>1</v>
      </c>
      <c r="BC141" s="23">
        <f t="shared" si="871"/>
        <v>268</v>
      </c>
      <c r="BD141" s="2"/>
      <c r="BE141" s="3" t="s">
        <v>23</v>
      </c>
      <c r="BF141" s="119" t="s">
        <v>23</v>
      </c>
      <c r="BG141" s="49" t="s">
        <v>1282</v>
      </c>
      <c r="BH141" s="49" t="s">
        <v>1282</v>
      </c>
      <c r="BI141" s="1"/>
      <c r="BJ141" s="70" t="s">
        <v>1288</v>
      </c>
      <c r="BK141" s="57" t="s">
        <v>1288</v>
      </c>
      <c r="BL141" s="57" t="s">
        <v>1288</v>
      </c>
      <c r="BM141" s="57" t="s">
        <v>1288</v>
      </c>
      <c r="BN141" s="57" t="s">
        <v>1288</v>
      </c>
      <c r="BO141" s="57" t="s">
        <v>1288</v>
      </c>
      <c r="BP141" s="57" t="s">
        <v>1288</v>
      </c>
      <c r="BQ141" s="57" t="s">
        <v>1288</v>
      </c>
      <c r="BR141" s="57" t="s">
        <v>1288</v>
      </c>
      <c r="BS141" s="57" t="s">
        <v>1288</v>
      </c>
      <c r="BT141" s="57" t="s">
        <v>1288</v>
      </c>
      <c r="BU141" s="57" t="s">
        <v>1288</v>
      </c>
      <c r="BV141" s="70">
        <f t="shared" si="872"/>
        <v>29</v>
      </c>
      <c r="BW141" s="71">
        <f t="shared" si="873"/>
        <v>57</v>
      </c>
      <c r="BX141" s="72">
        <f t="shared" si="874"/>
        <v>62</v>
      </c>
      <c r="BY141" s="71">
        <f t="shared" si="875"/>
        <v>94</v>
      </c>
      <c r="BZ141" s="72">
        <f t="shared" si="876"/>
        <v>98</v>
      </c>
      <c r="CA141" s="71">
        <f t="shared" si="877"/>
        <v>134</v>
      </c>
      <c r="CB141" s="72">
        <f t="shared" si="878"/>
        <v>142</v>
      </c>
      <c r="CC141" s="71">
        <f t="shared" si="879"/>
        <v>181</v>
      </c>
      <c r="CD141" s="72">
        <f t="shared" si="880"/>
        <v>193</v>
      </c>
      <c r="CE141" s="71">
        <f t="shared" si="881"/>
        <v>242</v>
      </c>
      <c r="CF141" s="72">
        <f t="shared" si="882"/>
        <v>280</v>
      </c>
      <c r="CG141" s="71">
        <f t="shared" si="883"/>
        <v>313</v>
      </c>
      <c r="CH141" s="70">
        <f t="shared" si="884"/>
        <v>56</v>
      </c>
      <c r="CI141" s="71">
        <f t="shared" si="885"/>
        <v>61</v>
      </c>
      <c r="CJ141" s="72">
        <f t="shared" si="886"/>
        <v>92</v>
      </c>
      <c r="CK141" s="72">
        <f t="shared" si="887"/>
        <v>97</v>
      </c>
      <c r="CL141" s="72">
        <f t="shared" si="888"/>
        <v>133</v>
      </c>
      <c r="CM141" s="72">
        <f t="shared" si="889"/>
        <v>141</v>
      </c>
      <c r="CN141" s="72">
        <f t="shared" si="890"/>
        <v>168</v>
      </c>
      <c r="CO141" s="72">
        <f t="shared" si="891"/>
        <v>183</v>
      </c>
      <c r="CP141" s="72">
        <f t="shared" si="892"/>
        <v>235</v>
      </c>
      <c r="CQ141" s="72">
        <f t="shared" si="893"/>
        <v>276</v>
      </c>
      <c r="CR141" s="72">
        <f t="shared" si="894"/>
        <v>312</v>
      </c>
      <c r="CS141" s="72">
        <f t="shared" si="895"/>
        <v>327</v>
      </c>
      <c r="CT141" s="23">
        <f t="shared" si="89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869"/>
        <v>apj_human_5VBL</v>
      </c>
      <c r="B142" s="3" t="s">
        <v>160</v>
      </c>
      <c r="C142" s="3" t="s">
        <v>1415</v>
      </c>
      <c r="D142" s="3" t="str">
        <f>IFERROR(MID(VLOOKUP($B142,Seqs!$A:$B,2,0),E142,1),"")</f>
        <v>A</v>
      </c>
      <c r="E142" s="3">
        <v>29</v>
      </c>
      <c r="F142" s="3" t="str">
        <f>IFERROR(MID(VLOOKUP($B142,Seqs!$A:$B,2,0),G142,1),"")</f>
        <v>S</v>
      </c>
      <c r="G142" s="3">
        <v>56</v>
      </c>
      <c r="H142" s="3" t="str">
        <f>IFERROR(MID(VLOOKUP($B142,Seqs!$A:$B,2,0),I142,1),"")</f>
        <v>S</v>
      </c>
      <c r="I142" s="23">
        <v>57</v>
      </c>
      <c r="J142" s="3" t="str">
        <f>IFERROR(MID(VLOOKUP($B142,Seqs!$A:$B,2,0),K142,1),"")</f>
        <v>R</v>
      </c>
      <c r="K142" s="23">
        <v>61</v>
      </c>
      <c r="L142" s="3" t="str">
        <f>IFERROR(MID(VLOOKUP($B142,Seqs!$A:$B,2,0),M142,1),"")</f>
        <v>R</v>
      </c>
      <c r="M142" s="3">
        <v>62</v>
      </c>
      <c r="N142" s="3" t="str">
        <f>IFERROR(MID(VLOOKUP($B142,Seqs!$A:$B,2,0),O142,1),"")</f>
        <v>D</v>
      </c>
      <c r="O142" s="3">
        <v>92</v>
      </c>
      <c r="P142" s="3" t="str">
        <f>IFERROR(MID(VLOOKUP($B142,Seqs!$A:$B,2,0),Q142,1),"")</f>
        <v>D</v>
      </c>
      <c r="Q142" s="3">
        <v>94</v>
      </c>
      <c r="R142" s="3" t="str">
        <f>IFERROR(MID(VLOOKUP($B142,Seqs!$A:$B,2,0),S142,1),"")</f>
        <v>F</v>
      </c>
      <c r="S142" s="3">
        <v>97</v>
      </c>
      <c r="T142" s="3" t="str">
        <f>IFERROR(MID(VLOOKUP($B142,Seqs!$A:$B,2,0),U142,1),"")</f>
        <v>G</v>
      </c>
      <c r="U142" s="3">
        <v>98</v>
      </c>
      <c r="V142" s="3" t="str">
        <f>IFERROR(MID(VLOOKUP($B142,Seqs!$A:$B,2,0),W142,1),"")</f>
        <v>R</v>
      </c>
      <c r="W142" s="3">
        <v>133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R</v>
      </c>
      <c r="AC142" s="3">
        <v>141</v>
      </c>
      <c r="AD142" s="3" t="str">
        <f>IFERROR(MID(VLOOKUP($B142,Seqs!$A:$B,2,0),AE142,1),"")</f>
        <v>R</v>
      </c>
      <c r="AE142" s="3">
        <v>168</v>
      </c>
      <c r="AF142" s="3" t="str">
        <f>IFERROR(MID(VLOOKUP($B142,Seqs!$A:$B,2,0),AG142,1),"")</f>
        <v>C</v>
      </c>
      <c r="AG142" s="3">
        <v>181</v>
      </c>
      <c r="AH142" s="3" t="str">
        <f>IFERROR(MID(VLOOKUP($B142,Seqs!$A:$B,2,0),AI142,1),"")</f>
        <v>M</v>
      </c>
      <c r="AI142" s="3">
        <v>183</v>
      </c>
      <c r="AJ142" s="3" t="str">
        <f>IFERROR(MID(VLOOKUP($B142,Seqs!$A:$B,2,0),AK142,1),"")</f>
        <v>S</v>
      </c>
      <c r="AK142" s="3">
        <v>193</v>
      </c>
      <c r="AL142" s="3" t="str">
        <f>IFERROR(MID(VLOOKUP($B142,Seqs!$A:$B,2,0),AM142,1),"")</f>
        <v>A</v>
      </c>
      <c r="AM142" s="3">
        <v>229</v>
      </c>
      <c r="AN142" s="3" t="str">
        <f>IFERROR(MID(VLOOKUP($B142,Seqs!$A:$B,2,0),AO142,1),"")</f>
        <v>R</v>
      </c>
      <c r="AO142" s="3">
        <v>244</v>
      </c>
      <c r="AP142" s="3" t="str">
        <f>IFERROR(MID(VLOOKUP($B142,Seqs!$A:$B,2,0),AQ142,1),"")</f>
        <v>L</v>
      </c>
      <c r="AQ142" s="3">
        <v>276</v>
      </c>
      <c r="AR142" s="3" t="str">
        <f>IFERROR(MID(VLOOKUP($B142,Seqs!$A:$B,2,0),AS142,1),"")</f>
        <v>P</v>
      </c>
      <c r="AS142" s="3">
        <v>280</v>
      </c>
      <c r="AT142" s="3" t="str">
        <f>IFERROR(MID(VLOOKUP($B142,Seqs!$A:$B,2,0),AU142,1),"")</f>
        <v>F</v>
      </c>
      <c r="AU142" s="3">
        <v>312</v>
      </c>
      <c r="AV142" s="3" t="str">
        <f>IFERROR(MID(VLOOKUP($B142,Seqs!$A:$B,2,0),AW142,1),"")</f>
        <v>D</v>
      </c>
      <c r="AW142" s="3">
        <v>313</v>
      </c>
      <c r="AX142" s="3" t="str">
        <f>IFERROR(MID(VLOOKUP($B142,Seqs!$A:$B,2,0),AY142,1),"")</f>
        <v>G</v>
      </c>
      <c r="AY142" s="3">
        <v>327</v>
      </c>
      <c r="AZ142" s="77" t="str">
        <f>VLOOKUP(B142,Classification!A:D,2,0)</f>
        <v>A</v>
      </c>
      <c r="BA142" s="94" t="str">
        <f>VLOOKUP(B142,Classification!A:D,4,0)</f>
        <v>Apelin</v>
      </c>
      <c r="BB142" s="27" t="b">
        <f t="shared" si="870"/>
        <v>1</v>
      </c>
      <c r="BC142" s="23">
        <f t="shared" si="871"/>
        <v>254</v>
      </c>
      <c r="BD142" s="2" t="s">
        <v>1377</v>
      </c>
      <c r="BE142" s="3" t="s">
        <v>1375</v>
      </c>
      <c r="BF142" s="119">
        <v>2.6</v>
      </c>
      <c r="BG142" s="49" t="s">
        <v>1282</v>
      </c>
      <c r="BH142" s="49" t="s">
        <v>1282</v>
      </c>
      <c r="BI142" s="1"/>
      <c r="BJ142" s="70" t="s">
        <v>1288</v>
      </c>
      <c r="BK142" s="57" t="s">
        <v>1288</v>
      </c>
      <c r="BL142" s="57" t="s">
        <v>1288</v>
      </c>
      <c r="BM142" s="57" t="s">
        <v>1288</v>
      </c>
      <c r="BN142" s="57" t="s">
        <v>1288</v>
      </c>
      <c r="BO142" s="57" t="s">
        <v>1288</v>
      </c>
      <c r="BP142" s="57" t="s">
        <v>1288</v>
      </c>
      <c r="BQ142" s="57" t="s">
        <v>1288</v>
      </c>
      <c r="BR142" s="57" t="s">
        <v>1288</v>
      </c>
      <c r="BS142" s="57" t="s">
        <v>1288</v>
      </c>
      <c r="BT142" s="57" t="s">
        <v>1288</v>
      </c>
      <c r="BU142" s="57" t="s">
        <v>1288</v>
      </c>
      <c r="BV142" s="70">
        <f t="shared" si="872"/>
        <v>29</v>
      </c>
      <c r="BW142" s="71">
        <f t="shared" si="873"/>
        <v>57</v>
      </c>
      <c r="BX142" s="72">
        <f t="shared" si="874"/>
        <v>62</v>
      </c>
      <c r="BY142" s="71">
        <f t="shared" si="875"/>
        <v>94</v>
      </c>
      <c r="BZ142" s="72">
        <f t="shared" si="876"/>
        <v>98</v>
      </c>
      <c r="CA142" s="71" t="str">
        <f t="shared" si="877"/>
        <v>-</v>
      </c>
      <c r="CB142" s="72">
        <f t="shared" si="878"/>
        <v>141</v>
      </c>
      <c r="CC142" s="71">
        <f t="shared" si="879"/>
        <v>181</v>
      </c>
      <c r="CD142" s="72">
        <f t="shared" si="880"/>
        <v>193</v>
      </c>
      <c r="CE142" s="71">
        <f t="shared" si="881"/>
        <v>244</v>
      </c>
      <c r="CF142" s="72">
        <f t="shared" si="882"/>
        <v>280</v>
      </c>
      <c r="CG142" s="71">
        <f t="shared" si="883"/>
        <v>313</v>
      </c>
      <c r="CH142" s="70">
        <f t="shared" si="884"/>
        <v>56</v>
      </c>
      <c r="CI142" s="71">
        <f t="shared" si="885"/>
        <v>61</v>
      </c>
      <c r="CJ142" s="72">
        <f t="shared" si="886"/>
        <v>92</v>
      </c>
      <c r="CK142" s="72">
        <f t="shared" si="887"/>
        <v>97</v>
      </c>
      <c r="CL142" s="72">
        <f t="shared" si="888"/>
        <v>133</v>
      </c>
      <c r="CM142" s="72" t="str">
        <f t="shared" si="889"/>
        <v>-</v>
      </c>
      <c r="CN142" s="72">
        <f t="shared" si="890"/>
        <v>168</v>
      </c>
      <c r="CO142" s="72">
        <f t="shared" si="891"/>
        <v>183</v>
      </c>
      <c r="CP142" s="72">
        <f t="shared" si="892"/>
        <v>229</v>
      </c>
      <c r="CQ142" s="72">
        <f t="shared" si="893"/>
        <v>276</v>
      </c>
      <c r="CR142" s="72">
        <f t="shared" si="894"/>
        <v>312</v>
      </c>
      <c r="CS142" s="72">
        <f t="shared" si="895"/>
        <v>327</v>
      </c>
      <c r="CT142" s="23">
        <f t="shared" si="89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69"/>
        <v>c5ar1_human__wt</v>
      </c>
      <c r="B143" s="3" t="s">
        <v>165</v>
      </c>
      <c r="C143" s="3" t="s">
        <v>100</v>
      </c>
      <c r="D143" s="3" t="str">
        <f>IFERROR(MID(VLOOKUP($B143,Seqs!$A:$B,2,0),E143,1),"")</f>
        <v>R</v>
      </c>
      <c r="E143" s="3">
        <v>34</v>
      </c>
      <c r="F143" s="3" t="str">
        <f>IFERROR(MID(VLOOKUP($B143,Seqs!$A:$B,2,0),G143,1),"")</f>
        <v>E</v>
      </c>
      <c r="G143" s="3">
        <v>65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69</v>
      </c>
      <c r="N143" s="3" t="str">
        <f>IFERROR(MID(VLOOKUP($B143,Seqs!$A:$B,2,0),O143,1),"")</f>
        <v>H</v>
      </c>
      <c r="O143" s="3">
        <v>99</v>
      </c>
      <c r="P143" s="3" t="str">
        <f>IFERROR(MID(VLOOKUP($B143,Seqs!$A:$B,2,0),Q143,1),"")</f>
        <v>H</v>
      </c>
      <c r="Q143" s="3">
        <v>101</v>
      </c>
      <c r="R143" s="3" t="str">
        <f>IFERROR(MID(VLOOKUP($B143,Seqs!$A:$B,2,0),S143,1),"")</f>
        <v>F</v>
      </c>
      <c r="S143" s="3">
        <v>104</v>
      </c>
      <c r="T143" s="3" t="str">
        <f>IFERROR(MID(VLOOKUP($B143,Seqs!$A:$B,2,0),U143,1),"")</f>
        <v>G</v>
      </c>
      <c r="U143" s="3">
        <v>105</v>
      </c>
      <c r="V143" s="3" t="str">
        <f>IFERROR(MID(VLOOKUP($B143,Seqs!$A:$B,2,0),W143,1),"")</f>
        <v>K</v>
      </c>
      <c r="W143" s="3">
        <v>140</v>
      </c>
      <c r="X143" s="3" t="str">
        <f>IFERROR(MID(VLOOKUP($B143,Seqs!$A:$B,2,0),Y143,1),"")</f>
        <v>P</v>
      </c>
      <c r="Y143" s="3">
        <v>141</v>
      </c>
      <c r="Z143" s="3" t="str">
        <f>IFERROR(MID(VLOOKUP($B143,Seqs!$A:$B,2,0),AA143,1),"")</f>
        <v>R</v>
      </c>
      <c r="AA143" s="3">
        <v>148</v>
      </c>
      <c r="AB143" s="3" t="str">
        <f>IFERROR(MID(VLOOKUP($B143,Seqs!$A:$B,2,0),AC143,1),"")</f>
        <v>G</v>
      </c>
      <c r="AC143" s="3">
        <v>149</v>
      </c>
      <c r="AD143" s="3" t="str">
        <f>IFERROR(MID(VLOOKUP($B143,Seqs!$A:$B,2,0),AE143,1),"")</f>
        <v>R</v>
      </c>
      <c r="AE143" s="3">
        <v>175</v>
      </c>
      <c r="AF143" s="3" t="str">
        <f>IFERROR(MID(VLOOKUP($B143,Seqs!$A:$B,2,0),AG143,1),"")</f>
        <v>C</v>
      </c>
      <c r="AG143" s="3">
        <v>188</v>
      </c>
      <c r="AH143" s="3" t="str">
        <f>IFERROR(MID(VLOOKUP($B143,Seqs!$A:$B,2,0),AI143,1),"")</f>
        <v>V</v>
      </c>
      <c r="AI143" s="3">
        <v>190</v>
      </c>
      <c r="AJ143" s="3" t="str">
        <f>IFERROR(MID(VLOOKUP($B143,Seqs!$A:$B,2,0),AK143,1),"")</f>
        <v>D</v>
      </c>
      <c r="AK143" s="3">
        <v>195</v>
      </c>
      <c r="AL143" s="3" t="str">
        <f>IFERROR(MID(VLOOKUP($B143,Seqs!$A:$B,2,0),AM143,1),"")</f>
        <v>R</v>
      </c>
      <c r="AM143" s="3">
        <v>232</v>
      </c>
      <c r="AN143" s="3" t="str">
        <f>IFERROR(MID(VLOOKUP($B143,Seqs!$A:$B,2,0),AO143,1),"")</f>
        <v>T</v>
      </c>
      <c r="AO143" s="3">
        <v>238</v>
      </c>
      <c r="AP143" s="3" t="str">
        <f>IFERROR(MID(VLOOKUP($B143,Seqs!$A:$B,2,0),AQ143,1),"")</f>
        <v>L</v>
      </c>
      <c r="AQ143" s="3">
        <v>268</v>
      </c>
      <c r="AR143" s="3" t="str">
        <f>IFERROR(MID(VLOOKUP($B143,Seqs!$A:$B,2,0),AS143,1),"")</f>
        <v>S</v>
      </c>
      <c r="AS143" s="3">
        <v>272</v>
      </c>
      <c r="AT143" s="3" t="str">
        <f>IFERROR(MID(VLOOKUP($B143,Seqs!$A:$B,2,0),AU143,1),"")</f>
        <v>A</v>
      </c>
      <c r="AU143" s="3">
        <v>303</v>
      </c>
      <c r="AV143" s="3" t="str">
        <f>IFERROR(MID(VLOOKUP($B143,Seqs!$A:$B,2,0),AW143,1),"")</f>
        <v>G</v>
      </c>
      <c r="AW143" s="3">
        <v>304</v>
      </c>
      <c r="AX143" s="3" t="str">
        <f>IFERROR(MID(VLOOKUP($B143,Seqs!$A:$B,2,0),AY143,1),"")</f>
        <v>K</v>
      </c>
      <c r="AY143" s="3">
        <v>313</v>
      </c>
      <c r="AZ143" s="77" t="str">
        <f>VLOOKUP(B143,Classification!A:D,2,0)</f>
        <v>A</v>
      </c>
      <c r="BA143" s="94" t="str">
        <f>VLOOKUP(B143,Classification!A:D,4,0)</f>
        <v>Complementpeptide</v>
      </c>
      <c r="BB143" s="27" t="b">
        <f t="shared" si="870"/>
        <v>1</v>
      </c>
      <c r="BC143" s="23">
        <f t="shared" si="871"/>
        <v>253</v>
      </c>
      <c r="BD143" s="2" t="s">
        <v>23</v>
      </c>
      <c r="BE143" s="3" t="s">
        <v>1375</v>
      </c>
      <c r="BF143" s="119" t="s">
        <v>23</v>
      </c>
      <c r="BI143" s="1"/>
      <c r="BJ143" s="70" t="s">
        <v>1288</v>
      </c>
      <c r="BK143" s="57" t="s">
        <v>1288</v>
      </c>
      <c r="BL143" s="57" t="s">
        <v>1288</v>
      </c>
      <c r="BM143" s="57" t="s">
        <v>1288</v>
      </c>
      <c r="BN143" s="57" t="s">
        <v>1288</v>
      </c>
      <c r="BO143" s="57" t="s">
        <v>1288</v>
      </c>
      <c r="BP143" s="57" t="s">
        <v>1288</v>
      </c>
      <c r="BQ143" s="57" t="s">
        <v>1288</v>
      </c>
      <c r="BR143" s="57" t="s">
        <v>1288</v>
      </c>
      <c r="BS143" s="57" t="s">
        <v>1288</v>
      </c>
      <c r="BT143" s="57" t="s">
        <v>1288</v>
      </c>
      <c r="BU143" s="57" t="s">
        <v>1288</v>
      </c>
      <c r="BV143" s="70">
        <f t="shared" si="872"/>
        <v>34</v>
      </c>
      <c r="BW143" s="71" t="str">
        <f t="shared" si="873"/>
        <v>-</v>
      </c>
      <c r="BX143" s="72">
        <f t="shared" si="874"/>
        <v>69</v>
      </c>
      <c r="BY143" s="71">
        <f t="shared" si="875"/>
        <v>101</v>
      </c>
      <c r="BZ143" s="72">
        <f t="shared" si="876"/>
        <v>105</v>
      </c>
      <c r="CA143" s="71">
        <f t="shared" si="877"/>
        <v>141</v>
      </c>
      <c r="CB143" s="72">
        <f t="shared" si="878"/>
        <v>149</v>
      </c>
      <c r="CC143" s="71">
        <f t="shared" si="879"/>
        <v>188</v>
      </c>
      <c r="CD143" s="72">
        <f t="shared" si="880"/>
        <v>195</v>
      </c>
      <c r="CE143" s="71">
        <f t="shared" si="881"/>
        <v>238</v>
      </c>
      <c r="CF143" s="72">
        <f t="shared" si="882"/>
        <v>272</v>
      </c>
      <c r="CG143" s="71">
        <f t="shared" si="883"/>
        <v>304</v>
      </c>
      <c r="CH143" s="70">
        <f t="shared" si="884"/>
        <v>65</v>
      </c>
      <c r="CI143" s="71" t="str">
        <f t="shared" si="885"/>
        <v>-</v>
      </c>
      <c r="CJ143" s="72">
        <f t="shared" si="886"/>
        <v>99</v>
      </c>
      <c r="CK143" s="72">
        <f t="shared" si="887"/>
        <v>104</v>
      </c>
      <c r="CL143" s="72">
        <f t="shared" si="888"/>
        <v>140</v>
      </c>
      <c r="CM143" s="72">
        <f t="shared" si="889"/>
        <v>148</v>
      </c>
      <c r="CN143" s="72">
        <f t="shared" si="890"/>
        <v>175</v>
      </c>
      <c r="CO143" s="72">
        <f t="shared" si="891"/>
        <v>190</v>
      </c>
      <c r="CP143" s="72">
        <f t="shared" si="892"/>
        <v>232</v>
      </c>
      <c r="CQ143" s="72">
        <f t="shared" si="893"/>
        <v>268</v>
      </c>
      <c r="CR143" s="72">
        <f t="shared" si="894"/>
        <v>303</v>
      </c>
      <c r="CS143" s="72">
        <f t="shared" si="895"/>
        <v>313</v>
      </c>
      <c r="CT143" s="23" t="e">
        <f t="shared" si="896"/>
        <v>#VALUE!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869"/>
        <v>c5ar1_human_5O9H</v>
      </c>
      <c r="B144" s="3" t="s">
        <v>165</v>
      </c>
      <c r="C144" s="3" t="s">
        <v>1480</v>
      </c>
      <c r="D144" s="3" t="str">
        <f>IFERROR(MID(VLOOKUP($B144,Seqs!$A:$B,2,0),E144,1),"")</f>
        <v>R</v>
      </c>
      <c r="E144" s="3">
        <v>34</v>
      </c>
      <c r="F144" s="3" t="str">
        <f>IFERROR(MID(VLOOKUP($B144,Seqs!$A:$B,2,0),G144,1),"")</f>
        <v>E</v>
      </c>
      <c r="G144" s="3">
        <v>65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69</v>
      </c>
      <c r="N144" s="3" t="str">
        <f>IFERROR(MID(VLOOKUP($B144,Seqs!$A:$B,2,0),O144,1),"")</f>
        <v>H</v>
      </c>
      <c r="O144" s="3">
        <v>99</v>
      </c>
      <c r="P144" s="3" t="str">
        <f>IFERROR(MID(VLOOKUP($B144,Seqs!$A:$B,2,0),Q144,1),"")</f>
        <v>H</v>
      </c>
      <c r="Q144" s="3">
        <v>101</v>
      </c>
      <c r="R144" s="3" t="str">
        <f>IFERROR(MID(VLOOKUP($B144,Seqs!$A:$B,2,0),S144,1),"")</f>
        <v>F</v>
      </c>
      <c r="S144" s="3">
        <v>104</v>
      </c>
      <c r="T144" s="3" t="str">
        <f>IFERROR(MID(VLOOKUP($B144,Seqs!$A:$B,2,0),U144,1),"")</f>
        <v>G</v>
      </c>
      <c r="U144" s="3">
        <v>105</v>
      </c>
      <c r="V144" s="3" t="str">
        <f>IFERROR(MID(VLOOKUP($B144,Seqs!$A:$B,2,0),W144,1),"")</f>
        <v>K</v>
      </c>
      <c r="W144" s="3">
        <v>140</v>
      </c>
      <c r="X144" s="3" t="str">
        <f>IFERROR(MID(VLOOKUP($B144,Seqs!$A:$B,2,0),Y144,1),"")</f>
        <v>P</v>
      </c>
      <c r="Y144" s="3">
        <v>141</v>
      </c>
      <c r="Z144" s="3" t="str">
        <f>IFERROR(MID(VLOOKUP($B144,Seqs!$A:$B,2,0),AA144,1),"")</f>
        <v>R</v>
      </c>
      <c r="AA144" s="3">
        <v>148</v>
      </c>
      <c r="AB144" s="3" t="str">
        <f>IFERROR(MID(VLOOKUP($B144,Seqs!$A:$B,2,0),AC144,1),"")</f>
        <v>G</v>
      </c>
      <c r="AC144" s="3">
        <v>149</v>
      </c>
      <c r="AD144" s="3" t="str">
        <f>IFERROR(MID(VLOOKUP($B144,Seqs!$A:$B,2,0),AE144,1),"")</f>
        <v>R</v>
      </c>
      <c r="AE144" s="3">
        <v>175</v>
      </c>
      <c r="AF144" s="3" t="str">
        <f>IFERROR(MID(VLOOKUP($B144,Seqs!$A:$B,2,0),AG144,1),"")</f>
        <v>C</v>
      </c>
      <c r="AG144" s="3">
        <v>188</v>
      </c>
      <c r="AH144" s="3" t="str">
        <f>IFERROR(MID(VLOOKUP($B144,Seqs!$A:$B,2,0),AI144,1),"")</f>
        <v>V</v>
      </c>
      <c r="AI144" s="3">
        <v>190</v>
      </c>
      <c r="AJ144" s="3" t="str">
        <f>IFERROR(MID(VLOOKUP($B144,Seqs!$A:$B,2,0),AK144,1),"")</f>
        <v>D</v>
      </c>
      <c r="AK144" s="3">
        <v>195</v>
      </c>
      <c r="AL144" s="3" t="str">
        <f>IFERROR(MID(VLOOKUP($B144,Seqs!$A:$B,2,0),AM144,1),"")</f>
        <v>R</v>
      </c>
      <c r="AM144" s="3">
        <v>232</v>
      </c>
      <c r="AN144" s="3" t="str">
        <f>IFERROR(MID(VLOOKUP($B144,Seqs!$A:$B,2,0),AO144,1),"")</f>
        <v>T</v>
      </c>
      <c r="AO144" s="3">
        <v>238</v>
      </c>
      <c r="AP144" s="3" t="str">
        <f>IFERROR(MID(VLOOKUP($B144,Seqs!$A:$B,2,0),AQ144,1),"")</f>
        <v>L</v>
      </c>
      <c r="AQ144" s="3">
        <v>268</v>
      </c>
      <c r="AR144" s="3" t="str">
        <f>IFERROR(MID(VLOOKUP($B144,Seqs!$A:$B,2,0),AS144,1),"")</f>
        <v>S</v>
      </c>
      <c r="AS144" s="3">
        <v>272</v>
      </c>
      <c r="AT144" s="3" t="str">
        <f>IFERROR(MID(VLOOKUP($B144,Seqs!$A:$B,2,0),AU144,1),"")</f>
        <v>F</v>
      </c>
      <c r="AU144" s="3">
        <v>307</v>
      </c>
      <c r="AV144" s="3" t="str">
        <f>IFERROR(MID(VLOOKUP($B144,Seqs!$A:$B,2,0),AW144,1),"")</f>
        <v/>
      </c>
      <c r="AW144" s="3" t="s">
        <v>23</v>
      </c>
      <c r="AX144" s="3" t="str">
        <f>IFERROR(MID(VLOOKUP($B144,Seqs!$A:$B,2,0),AY144,1),"")</f>
        <v/>
      </c>
      <c r="AY144" s="3" t="s">
        <v>23</v>
      </c>
      <c r="AZ144" s="77" t="str">
        <f>VLOOKUP(B144,Classification!A:D,2,0)</f>
        <v>A</v>
      </c>
      <c r="BA144" s="94" t="str">
        <f>VLOOKUP(B144,Classification!A:D,4,0)</f>
        <v>Complementpeptide</v>
      </c>
      <c r="BB144" s="27" t="b">
        <f t="shared" si="870"/>
        <v>1</v>
      </c>
      <c r="BC144" s="23">
        <f t="shared" si="871"/>
        <v>248</v>
      </c>
      <c r="BD144" s="2" t="s">
        <v>1377</v>
      </c>
      <c r="BE144" s="3" t="s">
        <v>1375</v>
      </c>
      <c r="BF144" s="119">
        <v>2.7</v>
      </c>
      <c r="BG144" s="49" t="s">
        <v>1</v>
      </c>
      <c r="BH144" s="49" t="s">
        <v>1</v>
      </c>
      <c r="BI144" s="1"/>
      <c r="BJ144" s="70" t="s">
        <v>1288</v>
      </c>
      <c r="BK144" s="57" t="s">
        <v>1288</v>
      </c>
      <c r="BL144" s="57" t="s">
        <v>1288</v>
      </c>
      <c r="BM144" s="57" t="s">
        <v>1288</v>
      </c>
      <c r="BN144" s="57" t="s">
        <v>1288</v>
      </c>
      <c r="BO144" s="57" t="s">
        <v>1288</v>
      </c>
      <c r="BP144" s="57" t="s">
        <v>1288</v>
      </c>
      <c r="BQ144" s="57" t="s">
        <v>1288</v>
      </c>
      <c r="BR144" s="57" t="s">
        <v>1288</v>
      </c>
      <c r="BS144" s="57" t="s">
        <v>1288</v>
      </c>
      <c r="BT144" s="57" t="s">
        <v>1288</v>
      </c>
      <c r="BU144" s="57" t="s">
        <v>1288</v>
      </c>
      <c r="BV144" s="70">
        <f t="shared" si="872"/>
        <v>34</v>
      </c>
      <c r="BW144" s="71" t="str">
        <f t="shared" si="873"/>
        <v>-</v>
      </c>
      <c r="BX144" s="72">
        <f t="shared" si="874"/>
        <v>69</v>
      </c>
      <c r="BY144" s="71">
        <f t="shared" si="875"/>
        <v>101</v>
      </c>
      <c r="BZ144" s="72">
        <f t="shared" si="876"/>
        <v>105</v>
      </c>
      <c r="CA144" s="71">
        <f t="shared" si="877"/>
        <v>141</v>
      </c>
      <c r="CB144" s="72">
        <f t="shared" si="878"/>
        <v>149</v>
      </c>
      <c r="CC144" s="71">
        <f t="shared" si="879"/>
        <v>188</v>
      </c>
      <c r="CD144" s="72">
        <f t="shared" si="880"/>
        <v>195</v>
      </c>
      <c r="CE144" s="71">
        <f t="shared" si="881"/>
        <v>238</v>
      </c>
      <c r="CF144" s="72">
        <f t="shared" si="882"/>
        <v>272</v>
      </c>
      <c r="CG144" s="71" t="str">
        <f t="shared" si="883"/>
        <v>-</v>
      </c>
      <c r="CH144" s="70">
        <f t="shared" si="884"/>
        <v>65</v>
      </c>
      <c r="CI144" s="71" t="str">
        <f t="shared" si="885"/>
        <v>-</v>
      </c>
      <c r="CJ144" s="72">
        <f t="shared" si="886"/>
        <v>99</v>
      </c>
      <c r="CK144" s="72">
        <f t="shared" si="887"/>
        <v>104</v>
      </c>
      <c r="CL144" s="72">
        <f t="shared" si="888"/>
        <v>140</v>
      </c>
      <c r="CM144" s="72">
        <f t="shared" si="889"/>
        <v>148</v>
      </c>
      <c r="CN144" s="72">
        <f t="shared" si="890"/>
        <v>175</v>
      </c>
      <c r="CO144" s="72">
        <f t="shared" si="891"/>
        <v>190</v>
      </c>
      <c r="CP144" s="72">
        <f t="shared" si="892"/>
        <v>232</v>
      </c>
      <c r="CQ144" s="72">
        <f t="shared" si="893"/>
        <v>268</v>
      </c>
      <c r="CR144" s="72">
        <f t="shared" si="894"/>
        <v>307</v>
      </c>
      <c r="CS144" s="72" t="str">
        <f t="shared" si="895"/>
        <v>-</v>
      </c>
      <c r="CT144" s="23" t="e">
        <f t="shared" si="896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69"/>
        <v>c5ar1_human_6C1Q</v>
      </c>
      <c r="B145" s="3" t="s">
        <v>165</v>
      </c>
      <c r="C145" s="3" t="s">
        <v>1499</v>
      </c>
      <c r="D145" s="3" t="str">
        <f>IFERROR(MID(VLOOKUP($B145,Seqs!$A:$B,2,0),E145,1),"")</f>
        <v>M</v>
      </c>
      <c r="E145" s="3">
        <v>120</v>
      </c>
      <c r="F145" s="3" t="str">
        <f>IFERROR(MID(VLOOKUP($B145,Seqs!$A:$B,2,0),G145,1),"")</f>
        <v>G</v>
      </c>
      <c r="G145" s="3">
        <v>151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I</v>
      </c>
      <c r="M145" s="3">
        <v>155</v>
      </c>
      <c r="N145" s="3" t="str">
        <f>IFERROR(MID(VLOOKUP($B145,Seqs!$A:$B,2,0),O145,1),"")</f>
        <v>K</v>
      </c>
      <c r="O145" s="3">
        <v>185</v>
      </c>
      <c r="P145" s="3" t="str">
        <f>IFERROR(MID(VLOOKUP($B145,Seqs!$A:$B,2,0),Q145,1),"")</f>
        <v>L</v>
      </c>
      <c r="Q145" s="3">
        <v>187</v>
      </c>
      <c r="R145" s="3" t="str">
        <f>IFERROR(MID(VLOOKUP($B145,Seqs!$A:$B,2,0),S145,1),"")</f>
        <v>V</v>
      </c>
      <c r="S145" s="3">
        <v>190</v>
      </c>
      <c r="T145" s="3" t="str">
        <f>IFERROR(MID(VLOOKUP($B145,Seqs!$A:$B,2,0),U145,1),"")</f>
        <v>D</v>
      </c>
      <c r="U145" s="3">
        <v>191</v>
      </c>
      <c r="V145" s="3" t="str">
        <f>IFERROR(MID(VLOOKUP($B145,Seqs!$A:$B,2,0),W145,1),"")</f>
        <v>L</v>
      </c>
      <c r="W145" s="3">
        <v>226</v>
      </c>
      <c r="X145" s="3" t="str">
        <f>IFERROR(MID(VLOOKUP($B145,Seqs!$A:$B,2,0),Y145,1),"")</f>
        <v>L</v>
      </c>
      <c r="Y145" s="3">
        <v>227</v>
      </c>
      <c r="Z145" s="3" t="str">
        <f>IFERROR(MID(VLOOKUP($B145,Seqs!$A:$B,2,0),AA145,1),"")</f>
        <v>A</v>
      </c>
      <c r="AA145" s="3">
        <v>234</v>
      </c>
      <c r="AB145" s="3" t="str">
        <f>IFERROR(MID(VLOOKUP($B145,Seqs!$A:$B,2,0),AC145,1),"")</f>
        <v>T</v>
      </c>
      <c r="AC145" s="3">
        <v>235</v>
      </c>
      <c r="AD145" s="3" t="str">
        <f>IFERROR(MID(VLOOKUP($B145,Seqs!$A:$B,2,0),AE145,1),"")</f>
        <v>T</v>
      </c>
      <c r="AE145" s="3">
        <v>261</v>
      </c>
      <c r="AF145" s="3" t="str">
        <f>IFERROR(MID(VLOOKUP($B145,Seqs!$A:$B,2,0),AG145,1),"")</f>
        <v>T</v>
      </c>
      <c r="AG145" s="3">
        <v>274</v>
      </c>
      <c r="AH145" s="3" t="str">
        <f>IFERROR(MID(VLOOKUP($B145,Seqs!$A:$B,2,0),AI145,1),"")</f>
        <v>L</v>
      </c>
      <c r="AI145" s="3">
        <v>276</v>
      </c>
      <c r="AJ145" s="3" t="str">
        <f>IFERROR(MID(VLOOKUP($B145,Seqs!$A:$B,2,0),AK145,1),"")</f>
        <v>L</v>
      </c>
      <c r="AK145" s="3">
        <v>281</v>
      </c>
      <c r="AL145" s="3" t="str">
        <f>IFERROR(MID(VLOOKUP($B145,Seqs!$A:$B,2,0),AM145,1),"")</f>
        <v>L</v>
      </c>
      <c r="AM145" s="3">
        <v>318</v>
      </c>
      <c r="AN145" s="3" t="str">
        <f>IFERROR(MID(VLOOKUP($B145,Seqs!$A:$B,2,0),AO145,1),"")</f>
        <v>L</v>
      </c>
      <c r="AO145" s="3">
        <v>323</v>
      </c>
      <c r="AP145" s="3" t="str">
        <f>IFERROR(MID(VLOOKUP($B145,Seqs!$A:$B,2,0),AQ145,1),"")</f>
        <v/>
      </c>
      <c r="AQ145" s="3">
        <v>354</v>
      </c>
      <c r="AR145" s="3" t="str">
        <f>IFERROR(MID(VLOOKUP($B145,Seqs!$A:$B,2,0),AS145,1),"")</f>
        <v/>
      </c>
      <c r="AS145" s="3">
        <v>358</v>
      </c>
      <c r="AT145" s="3" t="str">
        <f>IFERROR(MID(VLOOKUP($B145,Seqs!$A:$B,2,0),AU145,1),"")</f>
        <v/>
      </c>
      <c r="AU145" s="3">
        <v>394</v>
      </c>
      <c r="AV145" s="3" t="str">
        <f>IFERROR(MID(VLOOKUP($B145,Seqs!$A:$B,2,0),AW145,1),"")</f>
        <v/>
      </c>
      <c r="AW145" s="3" t="s">
        <v>23</v>
      </c>
      <c r="AX145" s="3" t="str">
        <f>IFERROR(MID(VLOOKUP($B145,Seqs!$A:$B,2,0),AY145,1),"")</f>
        <v/>
      </c>
      <c r="AY145" s="3" t="s">
        <v>23</v>
      </c>
      <c r="AZ145" s="77" t="str">
        <f>VLOOKUP(B145,Classification!A:D,2,0)</f>
        <v>A</v>
      </c>
      <c r="BA145" s="94" t="str">
        <f>VLOOKUP(B145,Classification!A:D,4,0)</f>
        <v>Complementpeptide</v>
      </c>
      <c r="BB145" s="27" t="b">
        <f t="shared" si="870"/>
        <v>1</v>
      </c>
      <c r="BC145" s="23">
        <f t="shared" si="871"/>
        <v>250</v>
      </c>
      <c r="BD145" s="2" t="s">
        <v>23</v>
      </c>
      <c r="BE145" s="3" t="s">
        <v>1375</v>
      </c>
      <c r="BF145" s="119">
        <v>2.9</v>
      </c>
      <c r="BG145" s="49" t="s">
        <v>1282</v>
      </c>
      <c r="BH145" s="49" t="s">
        <v>1282</v>
      </c>
      <c r="BI145" s="1"/>
      <c r="BJ145" s="70" t="s">
        <v>1288</v>
      </c>
      <c r="BK145" s="57" t="s">
        <v>1288</v>
      </c>
      <c r="BL145" s="57" t="s">
        <v>1288</v>
      </c>
      <c r="BM145" s="57" t="s">
        <v>1288</v>
      </c>
      <c r="BN145" s="57" t="s">
        <v>1288</v>
      </c>
      <c r="BO145" s="57" t="s">
        <v>1288</v>
      </c>
      <c r="BP145" s="57" t="s">
        <v>1288</v>
      </c>
      <c r="BQ145" s="57" t="s">
        <v>1288</v>
      </c>
      <c r="BR145" s="57" t="s">
        <v>1288</v>
      </c>
      <c r="BS145" s="57" t="s">
        <v>1288</v>
      </c>
      <c r="BT145" s="57" t="s">
        <v>1288</v>
      </c>
      <c r="BU145" s="57" t="s">
        <v>1288</v>
      </c>
      <c r="BV145" s="70">
        <f t="shared" si="872"/>
        <v>120</v>
      </c>
      <c r="BW145" s="71" t="str">
        <f t="shared" si="873"/>
        <v>-</v>
      </c>
      <c r="BX145" s="72">
        <f t="shared" si="874"/>
        <v>155</v>
      </c>
      <c r="BY145" s="71">
        <f t="shared" si="875"/>
        <v>187</v>
      </c>
      <c r="BZ145" s="72">
        <f t="shared" si="876"/>
        <v>191</v>
      </c>
      <c r="CA145" s="71">
        <f t="shared" si="877"/>
        <v>227</v>
      </c>
      <c r="CB145" s="72">
        <f t="shared" si="878"/>
        <v>235</v>
      </c>
      <c r="CC145" s="71">
        <f t="shared" si="879"/>
        <v>274</v>
      </c>
      <c r="CD145" s="72">
        <f t="shared" si="880"/>
        <v>281</v>
      </c>
      <c r="CE145" s="71">
        <f t="shared" si="881"/>
        <v>323</v>
      </c>
      <c r="CF145" s="72">
        <f t="shared" si="882"/>
        <v>358</v>
      </c>
      <c r="CG145" s="71" t="str">
        <f t="shared" si="883"/>
        <v>-</v>
      </c>
      <c r="CH145" s="70">
        <f t="shared" si="884"/>
        <v>151</v>
      </c>
      <c r="CI145" s="71" t="str">
        <f t="shared" si="885"/>
        <v>-</v>
      </c>
      <c r="CJ145" s="72">
        <f t="shared" si="886"/>
        <v>185</v>
      </c>
      <c r="CK145" s="72">
        <f t="shared" si="887"/>
        <v>190</v>
      </c>
      <c r="CL145" s="72">
        <f t="shared" si="888"/>
        <v>226</v>
      </c>
      <c r="CM145" s="72">
        <f t="shared" si="889"/>
        <v>234</v>
      </c>
      <c r="CN145" s="72">
        <f t="shared" si="890"/>
        <v>261</v>
      </c>
      <c r="CO145" s="72">
        <f t="shared" si="891"/>
        <v>276</v>
      </c>
      <c r="CP145" s="72">
        <f t="shared" si="892"/>
        <v>318</v>
      </c>
      <c r="CQ145" s="72">
        <f t="shared" si="893"/>
        <v>354</v>
      </c>
      <c r="CR145" s="72">
        <f t="shared" si="894"/>
        <v>394</v>
      </c>
      <c r="CS145" s="72" t="str">
        <f t="shared" si="895"/>
        <v>-</v>
      </c>
      <c r="CT145" s="23" t="e">
        <f t="shared" si="896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69"/>
        <v>c5ar1_human_6C1R</v>
      </c>
      <c r="B146" s="3" t="s">
        <v>165</v>
      </c>
      <c r="C146" s="3" t="s">
        <v>1500</v>
      </c>
      <c r="D146" s="3" t="str">
        <f>IFERROR(MID(VLOOKUP($B146,Seqs!$A:$B,2,0),E146,1),"")</f>
        <v>M</v>
      </c>
      <c r="E146" s="3">
        <v>120</v>
      </c>
      <c r="F146" s="3" t="str">
        <f>IFERROR(MID(VLOOKUP($B146,Seqs!$A:$B,2,0),G146,1),"")</f>
        <v>G</v>
      </c>
      <c r="G146" s="3">
        <v>151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I</v>
      </c>
      <c r="M146" s="3">
        <v>155</v>
      </c>
      <c r="N146" s="3" t="str">
        <f>IFERROR(MID(VLOOKUP($B146,Seqs!$A:$B,2,0),O146,1),"")</f>
        <v>K</v>
      </c>
      <c r="O146" s="3">
        <v>185</v>
      </c>
      <c r="P146" s="3" t="str">
        <f>IFERROR(MID(VLOOKUP($B146,Seqs!$A:$B,2,0),Q146,1),"")</f>
        <v>L</v>
      </c>
      <c r="Q146" s="3">
        <v>187</v>
      </c>
      <c r="R146" s="3" t="str">
        <f>IFERROR(MID(VLOOKUP($B146,Seqs!$A:$B,2,0),S146,1),"")</f>
        <v>V</v>
      </c>
      <c r="S146" s="3">
        <v>190</v>
      </c>
      <c r="T146" s="3" t="str">
        <f>IFERROR(MID(VLOOKUP($B146,Seqs!$A:$B,2,0),U146,1),"")</f>
        <v>D</v>
      </c>
      <c r="U146" s="3">
        <v>191</v>
      </c>
      <c r="V146" s="3" t="str">
        <f>IFERROR(MID(VLOOKUP($B146,Seqs!$A:$B,2,0),W146,1),"")</f>
        <v>L</v>
      </c>
      <c r="W146" s="3">
        <v>226</v>
      </c>
      <c r="X146" s="3" t="str">
        <f>IFERROR(MID(VLOOKUP($B146,Seqs!$A:$B,2,0),Y146,1),"")</f>
        <v>L</v>
      </c>
      <c r="Y146" s="3">
        <v>227</v>
      </c>
      <c r="Z146" s="3" t="str">
        <f>IFERROR(MID(VLOOKUP($B146,Seqs!$A:$B,2,0),AA146,1),"")</f>
        <v>A</v>
      </c>
      <c r="AA146" s="3">
        <v>234</v>
      </c>
      <c r="AB146" s="3" t="str">
        <f>IFERROR(MID(VLOOKUP($B146,Seqs!$A:$B,2,0),AC146,1),"")</f>
        <v>T</v>
      </c>
      <c r="AC146" s="3">
        <v>235</v>
      </c>
      <c r="AD146" s="3" t="str">
        <f>IFERROR(MID(VLOOKUP($B146,Seqs!$A:$B,2,0),AE146,1),"")</f>
        <v>T</v>
      </c>
      <c r="AE146" s="3">
        <v>261</v>
      </c>
      <c r="AF146" s="3" t="str">
        <f>IFERROR(MID(VLOOKUP($B146,Seqs!$A:$B,2,0),AG146,1),"")</f>
        <v>T</v>
      </c>
      <c r="AG146" s="3">
        <v>274</v>
      </c>
      <c r="AH146" s="3" t="str">
        <f>IFERROR(MID(VLOOKUP($B146,Seqs!$A:$B,2,0),AI146,1),"")</f>
        <v>L</v>
      </c>
      <c r="AI146" s="3">
        <v>276</v>
      </c>
      <c r="AJ146" s="3" t="str">
        <f>IFERROR(MID(VLOOKUP($B146,Seqs!$A:$B,2,0),AK146,1),"")</f>
        <v>L</v>
      </c>
      <c r="AK146" s="3">
        <v>281</v>
      </c>
      <c r="AL146" s="3" t="str">
        <f>IFERROR(MID(VLOOKUP($B146,Seqs!$A:$B,2,0),AM146,1),"")</f>
        <v>L</v>
      </c>
      <c r="AM146" s="3">
        <v>318</v>
      </c>
      <c r="AN146" s="3" t="str">
        <f>IFERROR(MID(VLOOKUP($B146,Seqs!$A:$B,2,0),AO146,1),"")</f>
        <v>L</v>
      </c>
      <c r="AO146" s="3">
        <v>323</v>
      </c>
      <c r="AP146" s="3" t="str">
        <f>IFERROR(MID(VLOOKUP($B146,Seqs!$A:$B,2,0),AQ146,1),"")</f>
        <v/>
      </c>
      <c r="AQ146" s="3">
        <v>354</v>
      </c>
      <c r="AR146" s="3" t="str">
        <f>IFERROR(MID(VLOOKUP($B146,Seqs!$A:$B,2,0),AS146,1),"")</f>
        <v/>
      </c>
      <c r="AS146" s="3">
        <v>358</v>
      </c>
      <c r="AT146" s="3" t="str">
        <f>IFERROR(MID(VLOOKUP($B146,Seqs!$A:$B,2,0),AU146,1),"")</f>
        <v/>
      </c>
      <c r="AU146" s="3">
        <v>394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Complementpeptide</v>
      </c>
      <c r="BB146" s="27" t="b">
        <f t="shared" si="870"/>
        <v>1</v>
      </c>
      <c r="BC146" s="23">
        <f t="shared" si="871"/>
        <v>250</v>
      </c>
      <c r="BD146" s="2" t="s">
        <v>23</v>
      </c>
      <c r="BE146" s="3" t="s">
        <v>1375</v>
      </c>
      <c r="BF146" s="119">
        <v>2.2000000000000002</v>
      </c>
      <c r="BG146" s="49" t="s">
        <v>1282</v>
      </c>
      <c r="BH146" s="49" t="s">
        <v>1282</v>
      </c>
      <c r="BI146" s="1"/>
      <c r="BJ146" s="70" t="s">
        <v>1288</v>
      </c>
      <c r="BK146" s="57" t="s">
        <v>1288</v>
      </c>
      <c r="BL146" s="57" t="s">
        <v>1288</v>
      </c>
      <c r="BM146" s="57" t="s">
        <v>1288</v>
      </c>
      <c r="BN146" s="57" t="s">
        <v>1288</v>
      </c>
      <c r="BO146" s="57" t="s">
        <v>1288</v>
      </c>
      <c r="BP146" s="57" t="s">
        <v>1288</v>
      </c>
      <c r="BQ146" s="57" t="s">
        <v>1288</v>
      </c>
      <c r="BR146" s="57" t="s">
        <v>1288</v>
      </c>
      <c r="BS146" s="57" t="s">
        <v>1288</v>
      </c>
      <c r="BT146" s="57" t="s">
        <v>1288</v>
      </c>
      <c r="BU146" s="57" t="s">
        <v>1288</v>
      </c>
      <c r="BV146" s="70">
        <f t="shared" si="872"/>
        <v>120</v>
      </c>
      <c r="BW146" s="71" t="str">
        <f t="shared" si="873"/>
        <v>-</v>
      </c>
      <c r="BX146" s="72">
        <f t="shared" si="874"/>
        <v>155</v>
      </c>
      <c r="BY146" s="71">
        <f t="shared" si="875"/>
        <v>187</v>
      </c>
      <c r="BZ146" s="72">
        <f t="shared" si="876"/>
        <v>191</v>
      </c>
      <c r="CA146" s="71">
        <f t="shared" si="877"/>
        <v>227</v>
      </c>
      <c r="CB146" s="72">
        <f t="shared" si="878"/>
        <v>235</v>
      </c>
      <c r="CC146" s="71">
        <f t="shared" si="879"/>
        <v>274</v>
      </c>
      <c r="CD146" s="72">
        <f t="shared" si="880"/>
        <v>281</v>
      </c>
      <c r="CE146" s="71">
        <f t="shared" si="881"/>
        <v>323</v>
      </c>
      <c r="CF146" s="72">
        <f t="shared" si="882"/>
        <v>358</v>
      </c>
      <c r="CG146" s="71" t="str">
        <f t="shared" si="883"/>
        <v>-</v>
      </c>
      <c r="CH146" s="70">
        <f t="shared" si="884"/>
        <v>151</v>
      </c>
      <c r="CI146" s="71" t="str">
        <f t="shared" si="885"/>
        <v>-</v>
      </c>
      <c r="CJ146" s="72">
        <f t="shared" si="886"/>
        <v>185</v>
      </c>
      <c r="CK146" s="72">
        <f t="shared" si="887"/>
        <v>190</v>
      </c>
      <c r="CL146" s="72">
        <f t="shared" si="888"/>
        <v>226</v>
      </c>
      <c r="CM146" s="72">
        <f t="shared" si="889"/>
        <v>234</v>
      </c>
      <c r="CN146" s="72">
        <f t="shared" si="890"/>
        <v>261</v>
      </c>
      <c r="CO146" s="72">
        <f t="shared" si="891"/>
        <v>276</v>
      </c>
      <c r="CP146" s="72">
        <f t="shared" si="892"/>
        <v>318</v>
      </c>
      <c r="CQ146" s="72">
        <f t="shared" si="893"/>
        <v>354</v>
      </c>
      <c r="CR146" s="72">
        <f t="shared" si="894"/>
        <v>394</v>
      </c>
      <c r="CS146" s="72" t="str">
        <f t="shared" si="895"/>
        <v>-</v>
      </c>
      <c r="CT146" s="23" t="e">
        <f t="shared" si="896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39"/>
        <v>ccr2_human__wt</v>
      </c>
      <c r="B147" s="3" t="s">
        <v>170</v>
      </c>
      <c r="C147" s="3" t="s">
        <v>100</v>
      </c>
      <c r="D147" s="3" t="str">
        <f>IFERROR(MID(VLOOKUP($B147,Seqs!$A:$B,2,0),E147,1),"")</f>
        <v>V</v>
      </c>
      <c r="E147" s="3">
        <v>37</v>
      </c>
      <c r="F147" s="3" t="str">
        <f>IFERROR(MID(VLOOKUP($B147,Seqs!$A:$B,2,0),G147,1),"")</f>
        <v>C</v>
      </c>
      <c r="G147" s="3">
        <v>70</v>
      </c>
      <c r="H147" s="3" t="str">
        <f>IFERROR(MID(VLOOKUP($B147,Seqs!$A:$B,2,0),I147,1),"")</f>
        <v>K</v>
      </c>
      <c r="I147" s="23">
        <v>71</v>
      </c>
      <c r="J147" s="3" t="str">
        <f>IFERROR(MID(VLOOKUP($B147,Seqs!$A:$B,2,0),K147,1),"")</f>
        <v>K</v>
      </c>
      <c r="K147" s="23">
        <v>74</v>
      </c>
      <c r="L147" s="3" t="str">
        <f>IFERROR(MID(VLOOKUP($B147,Seqs!$A:$B,2,0),M147,1),"")</f>
        <v>C</v>
      </c>
      <c r="M147" s="3">
        <v>75</v>
      </c>
      <c r="N147" s="3" t="str">
        <f>IFERROR(MID(VLOOKUP($B147,Seqs!$A:$B,2,0),O147,1),"")</f>
        <v>N</v>
      </c>
      <c r="O147" s="3">
        <v>104</v>
      </c>
      <c r="P147" s="3" t="str">
        <f>IFERROR(MID(VLOOKUP($B147,Seqs!$A:$B,2,0),Q147,1),"")</f>
        <v>E</v>
      </c>
      <c r="Q147" s="3">
        <v>105</v>
      </c>
      <c r="R147" s="3" t="str">
        <f>IFERROR(MID(VLOOKUP($B147,Seqs!$A:$B,2,0),S147,1),"")</f>
        <v>F</v>
      </c>
      <c r="S147" s="3">
        <v>108</v>
      </c>
      <c r="T147" s="3" t="str">
        <f>IFERROR(MID(VLOOKUP($B147,Seqs!$A:$B,2,0),U147,1),"")</f>
        <v>G</v>
      </c>
      <c r="U147" s="3">
        <v>109</v>
      </c>
      <c r="V147" s="3" t="str">
        <f>IFERROR(MID(VLOOKUP($B147,Seqs!$A:$B,2,0),W147,1),"")</f>
        <v>H</v>
      </c>
      <c r="W147" s="3">
        <v>144</v>
      </c>
      <c r="X147" s="3" t="str">
        <f>IFERROR(MID(VLOOKUP($B147,Seqs!$A:$B,2,0),Y147,1),"")</f>
        <v>A</v>
      </c>
      <c r="Y147" s="3">
        <v>145</v>
      </c>
      <c r="Z147" s="3" t="str">
        <f>IFERROR(MID(VLOOKUP($B147,Seqs!$A:$B,2,0),AA147,1),"")</f>
        <v>R</v>
      </c>
      <c r="AA147" s="3">
        <v>152</v>
      </c>
      <c r="AB147" s="3" t="str">
        <f>IFERROR(MID(VLOOKUP($B147,Seqs!$A:$B,2,0),AC147,1),"")</f>
        <v>T</v>
      </c>
      <c r="AC147" s="9">
        <v>153</v>
      </c>
      <c r="AD147" s="3" t="str">
        <f>IFERROR(MID(VLOOKUP($B147,Seqs!$A:$B,2,0),AE147,1),"")</f>
        <v>T</v>
      </c>
      <c r="AE147" s="3">
        <v>179</v>
      </c>
      <c r="AF147" s="3" t="str">
        <f>IFERROR(MID(VLOOKUP($B147,Seqs!$A:$B,2,0),AG147,1),"")</f>
        <v>C</v>
      </c>
      <c r="AG147" s="3">
        <v>190</v>
      </c>
      <c r="AH147" s="3" t="str">
        <f>IFERROR(MID(VLOOKUP($B147,Seqs!$A:$B,2,0),AI147,1),"")</f>
        <v>P</v>
      </c>
      <c r="AI147" s="3">
        <v>192</v>
      </c>
      <c r="AJ147" s="3" t="str">
        <f>IFERROR(MID(VLOOKUP($B147,Seqs!$A:$B,2,0),AK147,1),"")</f>
        <v>P</v>
      </c>
      <c r="AK147" s="3">
        <v>195</v>
      </c>
      <c r="AL147" s="3" t="str">
        <f>IFERROR(MID(VLOOKUP($B147,Seqs!$A:$B,2,0),AM147,1),"")</f>
        <v>C</v>
      </c>
      <c r="AM147" s="3">
        <v>232</v>
      </c>
      <c r="AN147" s="3" t="str">
        <f>IFERROR(MID(VLOOKUP($B147,Seqs!$A:$B,2,0),AO147,1),"")</f>
        <v>K</v>
      </c>
      <c r="AO147" s="3">
        <v>236</v>
      </c>
      <c r="AP147" s="3" t="str">
        <f>IFERROR(MID(VLOOKUP($B147,Seqs!$A:$B,2,0),AQ147,1),"")</f>
        <v>G</v>
      </c>
      <c r="AQ147" s="3">
        <v>273</v>
      </c>
      <c r="AR147" s="3" t="str">
        <f>IFERROR(MID(VLOOKUP($B147,Seqs!$A:$B,2,0),AS147,1),"")</f>
        <v>E</v>
      </c>
      <c r="AS147" s="3">
        <v>278</v>
      </c>
      <c r="AT147" s="3" t="str">
        <f>IFERROR(MID(VLOOKUP($B147,Seqs!$A:$B,2,0),AU147,1),"")</f>
        <v>V</v>
      </c>
      <c r="AU147" s="3">
        <v>308</v>
      </c>
      <c r="AV147" s="3" t="str">
        <f>IFERROR(MID(VLOOKUP($B147,Seqs!$A:$B,2,0),AW147,1),"")</f>
        <v>G</v>
      </c>
      <c r="AW147" s="3">
        <v>309</v>
      </c>
      <c r="AX147" s="3" t="str">
        <f>IFERROR(MID(VLOOKUP($B147,Seqs!$A:$B,2,0),AY147,1),"")</f>
        <v>L</v>
      </c>
      <c r="AY147" s="3">
        <v>320</v>
      </c>
      <c r="AZ147" s="77" t="str">
        <f>VLOOKUP(B147,Classification!A:D,2,0)</f>
        <v>A</v>
      </c>
      <c r="BA147" s="94" t="str">
        <f>VLOOKUP(B147,Classification!A:D,4,0)</f>
        <v>Chemokine</v>
      </c>
      <c r="BB147" s="27" t="b">
        <f t="shared" si="840"/>
        <v>1</v>
      </c>
      <c r="BC147" s="23">
        <f t="shared" si="617"/>
        <v>265</v>
      </c>
      <c r="BD147" s="2" t="s">
        <v>23</v>
      </c>
      <c r="BE147" s="3" t="s">
        <v>23</v>
      </c>
      <c r="BF147" s="119" t="s">
        <v>23</v>
      </c>
      <c r="BG147" s="49" t="s">
        <v>1373</v>
      </c>
      <c r="BH147" s="49" t="s">
        <v>1378</v>
      </c>
      <c r="BI147" s="1"/>
      <c r="BJ147" s="70" t="s">
        <v>1288</v>
      </c>
      <c r="BK147" s="57" t="s">
        <v>1288</v>
      </c>
      <c r="BL147" s="57" t="s">
        <v>1288</v>
      </c>
      <c r="BM147" s="57" t="s">
        <v>1288</v>
      </c>
      <c r="BN147" s="57" t="s">
        <v>1288</v>
      </c>
      <c r="BO147" s="57" t="s">
        <v>1288</v>
      </c>
      <c r="BP147" s="57" t="s">
        <v>1288</v>
      </c>
      <c r="BQ147" s="57" t="s">
        <v>1288</v>
      </c>
      <c r="BR147" s="57" t="s">
        <v>1288</v>
      </c>
      <c r="BS147" s="57" t="s">
        <v>1288</v>
      </c>
      <c r="BT147" s="57" t="s">
        <v>1288</v>
      </c>
      <c r="BU147" s="57" t="s">
        <v>1288</v>
      </c>
      <c r="BV147" s="70">
        <f t="shared" si="618"/>
        <v>37</v>
      </c>
      <c r="BW147" s="71">
        <f t="shared" si="619"/>
        <v>71</v>
      </c>
      <c r="BX147" s="72">
        <f t="shared" si="620"/>
        <v>75</v>
      </c>
      <c r="BY147" s="71">
        <f t="shared" si="621"/>
        <v>105</v>
      </c>
      <c r="BZ147" s="72">
        <f t="shared" si="622"/>
        <v>109</v>
      </c>
      <c r="CA147" s="71">
        <f t="shared" si="623"/>
        <v>145</v>
      </c>
      <c r="CB147" s="72">
        <f t="shared" si="624"/>
        <v>153</v>
      </c>
      <c r="CC147" s="71">
        <f t="shared" si="625"/>
        <v>190</v>
      </c>
      <c r="CD147" s="72">
        <f t="shared" si="626"/>
        <v>195</v>
      </c>
      <c r="CE147" s="71">
        <f t="shared" si="627"/>
        <v>236</v>
      </c>
      <c r="CF147" s="72">
        <f t="shared" si="628"/>
        <v>278</v>
      </c>
      <c r="CG147" s="71">
        <f t="shared" si="629"/>
        <v>309</v>
      </c>
      <c r="CH147" s="70">
        <f t="shared" si="630"/>
        <v>70</v>
      </c>
      <c r="CI147" s="71">
        <f t="shared" si="631"/>
        <v>74</v>
      </c>
      <c r="CJ147" s="72">
        <f t="shared" si="632"/>
        <v>104</v>
      </c>
      <c r="CK147" s="72">
        <f t="shared" si="633"/>
        <v>108</v>
      </c>
      <c r="CL147" s="72">
        <f t="shared" si="634"/>
        <v>144</v>
      </c>
      <c r="CM147" s="72">
        <f t="shared" si="635"/>
        <v>152</v>
      </c>
      <c r="CN147" s="72">
        <f t="shared" si="636"/>
        <v>179</v>
      </c>
      <c r="CO147" s="72">
        <f t="shared" si="637"/>
        <v>192</v>
      </c>
      <c r="CP147" s="72">
        <f t="shared" si="638"/>
        <v>232</v>
      </c>
      <c r="CQ147" s="72">
        <f t="shared" si="639"/>
        <v>273</v>
      </c>
      <c r="CR147" s="72">
        <f t="shared" si="640"/>
        <v>308</v>
      </c>
      <c r="CS147" s="72">
        <f t="shared" si="641"/>
        <v>320</v>
      </c>
      <c r="CT147" s="23">
        <f t="shared" si="642"/>
        <v>1</v>
      </c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6"/>
      <c r="ACQ147" s="6"/>
      <c r="ACR147" s="6"/>
      <c r="ACS147" s="6"/>
      <c r="ACT147" s="6"/>
      <c r="ACU147" s="6"/>
      <c r="ACV147" s="6"/>
      <c r="ACW147" s="6"/>
      <c r="ACX147" s="6"/>
      <c r="ACY147" s="6"/>
      <c r="ACZ147" s="6"/>
      <c r="ADA147" s="6"/>
      <c r="ADB147" s="6"/>
      <c r="ADC147" s="6"/>
      <c r="ADD147" s="6"/>
      <c r="ADE147" s="6"/>
      <c r="ADF147" s="6"/>
      <c r="ADG147" s="6"/>
      <c r="ADH147" s="6"/>
      <c r="ADI147" s="6"/>
      <c r="ADJ147" s="6"/>
      <c r="ADK147" s="6"/>
      <c r="ADL147" s="6"/>
      <c r="ADM147" s="6"/>
      <c r="ADN147" s="6"/>
      <c r="ADO147" s="6"/>
      <c r="ADP147" s="6"/>
      <c r="ADQ147" s="6"/>
      <c r="ADR147" s="6"/>
      <c r="ADS147" s="6"/>
      <c r="ADT147" s="6"/>
      <c r="ADU147" s="6"/>
      <c r="ADV147" s="6"/>
      <c r="ADW147" s="6"/>
      <c r="ADX147" s="6"/>
      <c r="ADY147" s="6"/>
      <c r="ADZ147" s="6"/>
      <c r="AEA147" s="6"/>
      <c r="AEB147" s="6"/>
      <c r="AEC147" s="6"/>
      <c r="AED147" s="6"/>
      <c r="AEE147" s="6"/>
      <c r="AEF147" s="6"/>
      <c r="AEG147" s="6"/>
      <c r="AEH147" s="6"/>
      <c r="AEI147" s="6"/>
      <c r="AEJ147" s="6"/>
      <c r="AEK147" s="6"/>
      <c r="AEL147" s="6"/>
      <c r="AEM147" s="6"/>
      <c r="AEN147" s="6"/>
      <c r="AEO147" s="6"/>
      <c r="AEP147" s="6"/>
      <c r="AEQ147" s="6"/>
      <c r="AER147" s="6"/>
      <c r="AES147" s="6"/>
      <c r="AET147" s="6"/>
      <c r="AEU147" s="6"/>
      <c r="AEV147" s="6"/>
      <c r="AEW147" s="6"/>
      <c r="AEX147" s="6"/>
      <c r="AEY147" s="6"/>
      <c r="AEZ147" s="6"/>
      <c r="AFA147" s="6"/>
      <c r="AFB147" s="6"/>
      <c r="AFC147" s="6"/>
      <c r="AFD147" s="6"/>
      <c r="AFE147" s="6"/>
      <c r="AFF147" s="6"/>
      <c r="AFG147" s="6"/>
      <c r="AFH147" s="6"/>
      <c r="AFI147" s="6"/>
      <c r="AFJ147" s="6"/>
      <c r="AFK147" s="6"/>
      <c r="AFL147" s="6"/>
      <c r="AFM147" s="6"/>
      <c r="AFN147" s="6"/>
      <c r="AFO147" s="6"/>
      <c r="AFP147" s="6"/>
      <c r="AFQ147" s="6"/>
      <c r="AFR147" s="6"/>
      <c r="AFS147" s="6"/>
      <c r="AFT147" s="6"/>
      <c r="AFU147" s="6"/>
      <c r="AFV147" s="6"/>
      <c r="AFW147" s="6"/>
      <c r="AFX147" s="6"/>
      <c r="AFY147" s="6"/>
      <c r="AFZ147" s="6"/>
      <c r="AGA147" s="6"/>
      <c r="AGB147" s="6"/>
      <c r="AGC147" s="6"/>
      <c r="AGD147" s="6"/>
      <c r="AGE147" s="6"/>
      <c r="AGF147" s="6"/>
      <c r="AGG147" s="6"/>
      <c r="AGH147" s="6"/>
      <c r="AGI147" s="6"/>
      <c r="AGJ147" s="6"/>
      <c r="AGK147" s="6"/>
      <c r="AGL147" s="6"/>
      <c r="AGM147" s="6"/>
      <c r="AGN147" s="6"/>
      <c r="AGO147" s="6"/>
      <c r="AGP147" s="6"/>
      <c r="AGQ147" s="6"/>
      <c r="AGR147" s="6"/>
      <c r="AGS147" s="6"/>
      <c r="AGT147" s="6"/>
      <c r="AGU147" s="6"/>
      <c r="AGV147" s="6"/>
      <c r="AGW147" s="6"/>
      <c r="AGX147" s="6"/>
      <c r="AGY147" s="6"/>
      <c r="AGZ147" s="6"/>
      <c r="AHA147" s="6"/>
      <c r="AHB147" s="6"/>
      <c r="AHC147" s="6"/>
      <c r="AHD147" s="6"/>
      <c r="AHE147" s="6"/>
      <c r="AHF147" s="6"/>
      <c r="AHG147" s="6"/>
      <c r="AHH147" s="6"/>
      <c r="AHI147" s="6"/>
      <c r="AHJ147" s="6"/>
      <c r="AHK147" s="6"/>
      <c r="AHL147" s="6"/>
      <c r="AHM147" s="6"/>
      <c r="AHN147" s="6"/>
      <c r="AHO147" s="6"/>
      <c r="AHP147" s="6"/>
      <c r="AHQ147" s="6"/>
      <c r="AHR147" s="6"/>
      <c r="AHS147" s="6"/>
      <c r="AHT147" s="6"/>
      <c r="AHU147" s="6"/>
      <c r="AHV147" s="6"/>
      <c r="AHW147" s="6"/>
      <c r="AHX147" s="6"/>
      <c r="AHY147" s="6"/>
      <c r="AHZ147" s="6"/>
      <c r="AIA147" s="6"/>
      <c r="AIB147" s="6"/>
      <c r="AIC147" s="6"/>
      <c r="AID147" s="6"/>
      <c r="AIE147" s="6"/>
      <c r="AIF147" s="6"/>
      <c r="AIG147" s="6"/>
      <c r="AIH147" s="6"/>
      <c r="AII147" s="6"/>
      <c r="AIJ147" s="6"/>
      <c r="AIK147" s="6"/>
      <c r="AIL147" s="6"/>
      <c r="AIM147" s="6"/>
      <c r="AIN147" s="6"/>
      <c r="AIO147" s="6"/>
      <c r="AIP147" s="6"/>
      <c r="AIQ147" s="6"/>
      <c r="AIR147" s="6"/>
      <c r="AIS147" s="6"/>
      <c r="AIT147" s="6"/>
      <c r="AIU147" s="6"/>
      <c r="AIV147" s="6"/>
      <c r="AIW147" s="6"/>
      <c r="AIX147" s="6"/>
      <c r="AIY147" s="6"/>
      <c r="AIZ147" s="6"/>
      <c r="AJA147" s="6"/>
      <c r="AJB147" s="6"/>
      <c r="AJC147" s="6"/>
      <c r="AJD147" s="6"/>
      <c r="AJE147" s="6"/>
      <c r="AJF147" s="6"/>
      <c r="AJG147" s="6"/>
      <c r="AJH147" s="6"/>
      <c r="AJI147" s="6"/>
      <c r="AJJ147" s="6"/>
      <c r="AJK147" s="6"/>
      <c r="AJL147" s="6"/>
      <c r="AJM147" s="6"/>
      <c r="AJN147" s="6"/>
      <c r="AJO147" s="6"/>
      <c r="AJP147" s="6"/>
      <c r="AJQ147" s="6"/>
      <c r="AJR147" s="6"/>
      <c r="AJS147" s="6"/>
      <c r="AJT147" s="6"/>
      <c r="AJU147" s="6"/>
      <c r="AJV147" s="6"/>
      <c r="AJW147" s="6"/>
      <c r="AJX147" s="6"/>
      <c r="AJY147" s="6"/>
      <c r="AJZ147" s="6"/>
      <c r="AKA147" s="6"/>
      <c r="AKB147" s="6"/>
      <c r="AKC147" s="6"/>
      <c r="AKD147" s="6"/>
      <c r="AKE147" s="6"/>
      <c r="AKF147" s="6"/>
      <c r="AKG147" s="6"/>
      <c r="AKH147" s="6"/>
      <c r="AKI147" s="6"/>
      <c r="AKJ147" s="6"/>
      <c r="AKK147" s="6"/>
      <c r="AKL147" s="6"/>
      <c r="AKM147" s="6"/>
      <c r="AKN147" s="6"/>
      <c r="AKO147" s="6"/>
      <c r="AKP147" s="6"/>
      <c r="AKQ147" s="6"/>
      <c r="AKR147" s="6"/>
      <c r="AKS147" s="6"/>
      <c r="AKT147" s="6"/>
      <c r="AKU147" s="6"/>
      <c r="AKV147" s="6"/>
      <c r="AKW147" s="6"/>
      <c r="AKX147" s="6"/>
      <c r="AKY147" s="6"/>
      <c r="AKZ147" s="6"/>
      <c r="ALA147" s="6"/>
      <c r="ALB147" s="6"/>
      <c r="ALC147" s="6"/>
      <c r="ALD147" s="6"/>
      <c r="ALE147" s="6"/>
      <c r="ALF147" s="6"/>
      <c r="ALG147" s="6"/>
      <c r="ALH147" s="6"/>
      <c r="ALI147" s="6"/>
      <c r="ALJ147" s="6"/>
      <c r="ALK147" s="6"/>
      <c r="ALL147" s="6"/>
      <c r="ALM147" s="6"/>
      <c r="ALN147" s="6"/>
      <c r="ALO147" s="6"/>
      <c r="ALP147" s="6"/>
      <c r="ALQ147" s="6"/>
      <c r="ALR147" s="6"/>
      <c r="ALS147" s="6"/>
      <c r="ALT147" s="6"/>
      <c r="ALU147" s="6"/>
      <c r="ALV147" s="6"/>
      <c r="ALW147" s="6"/>
      <c r="ALX147" s="6"/>
      <c r="ALY147" s="6"/>
      <c r="ALZ147" s="6"/>
      <c r="AMA147" s="6"/>
      <c r="AMB147" s="6"/>
      <c r="AMC147" s="6"/>
      <c r="AMD147" s="6"/>
      <c r="AME147" s="6"/>
      <c r="AMF147" s="6"/>
      <c r="AMG147" s="6"/>
      <c r="AMH147" s="6"/>
      <c r="AMI147" s="6"/>
      <c r="AMJ147" s="6"/>
      <c r="AMK147" s="6"/>
      <c r="AML147" s="6"/>
      <c r="AMM147" s="6"/>
      <c r="AMN147" s="6"/>
      <c r="AMO147" s="6"/>
      <c r="AMP147" s="6"/>
    </row>
    <row r="148" spans="1:1030" x14ac:dyDescent="0.2">
      <c r="A148" s="3" t="str">
        <f t="shared" si="839"/>
        <v>ccr2_human_5T1A</v>
      </c>
      <c r="B148" s="3" t="s">
        <v>170</v>
      </c>
      <c r="C148" s="3" t="s">
        <v>1379</v>
      </c>
      <c r="D148" s="3" t="str">
        <f>IFERROR(MID(VLOOKUP($B148,Seqs!$A:$B,2,0),E148,1),"")</f>
        <v>V</v>
      </c>
      <c r="E148" s="3">
        <v>37</v>
      </c>
      <c r="F148" s="3" t="str">
        <f>IFERROR(MID(VLOOKUP($B148,Seqs!$A:$B,2,0),G148,1),"")</f>
        <v>C</v>
      </c>
      <c r="G148" s="3">
        <v>70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C</v>
      </c>
      <c r="M148" s="3">
        <v>75</v>
      </c>
      <c r="N148" s="3" t="str">
        <f>IFERROR(MID(VLOOKUP($B148,Seqs!$A:$B,2,0),O148,1),"")</f>
        <v>N</v>
      </c>
      <c r="O148" s="3">
        <v>104</v>
      </c>
      <c r="P148" s="3" t="str">
        <f>IFERROR(MID(VLOOKUP($B148,Seqs!$A:$B,2,0),Q148,1),"")</f>
        <v>E</v>
      </c>
      <c r="Q148" s="3">
        <v>105</v>
      </c>
      <c r="R148" s="3" t="str">
        <f>IFERROR(MID(VLOOKUP($B148,Seqs!$A:$B,2,0),S148,1),"")</f>
        <v>F</v>
      </c>
      <c r="S148" s="3">
        <v>108</v>
      </c>
      <c r="T148" s="3" t="str">
        <f>IFERROR(MID(VLOOKUP($B148,Seqs!$A:$B,2,0),U148,1),"")</f>
        <v>G</v>
      </c>
      <c r="U148" s="3">
        <v>109</v>
      </c>
      <c r="V148" s="3" t="str">
        <f>IFERROR(MID(VLOOKUP($B148,Seqs!$A:$B,2,0),W148,1),"")</f>
        <v>H</v>
      </c>
      <c r="W148" s="3">
        <v>144</v>
      </c>
      <c r="X148" s="3" t="str">
        <f>IFERROR(MID(VLOOKUP($B148,Seqs!$A:$B,2,0),Y148,1),"")</f>
        <v>A</v>
      </c>
      <c r="Y148" s="3">
        <v>145</v>
      </c>
      <c r="Z148" s="3" t="str">
        <f>IFERROR(MID(VLOOKUP($B148,Seqs!$A:$B,2,0),AA148,1),"")</f>
        <v>R</v>
      </c>
      <c r="AA148" s="3">
        <v>152</v>
      </c>
      <c r="AB148" s="3" t="str">
        <f>IFERROR(MID(VLOOKUP($B148,Seqs!$A:$B,2,0),AC148,1),"")</f>
        <v>T</v>
      </c>
      <c r="AC148" s="9">
        <v>153</v>
      </c>
      <c r="AD148" s="3" t="str">
        <f>IFERROR(MID(VLOOKUP($B148,Seqs!$A:$B,2,0),AE148,1),"")</f>
        <v>T</v>
      </c>
      <c r="AE148" s="3">
        <v>179</v>
      </c>
      <c r="AF148" s="3" t="str">
        <f>IFERROR(MID(VLOOKUP($B148,Seqs!$A:$B,2,0),AG148,1),"")</f>
        <v>C</v>
      </c>
      <c r="AG148" s="3">
        <v>190</v>
      </c>
      <c r="AH148" s="3" t="str">
        <f>IFERROR(MID(VLOOKUP($B148,Seqs!$A:$B,2,0),AI148,1),"")</f>
        <v>P</v>
      </c>
      <c r="AI148" s="3">
        <v>192</v>
      </c>
      <c r="AJ148" s="3" t="str">
        <f>IFERROR(MID(VLOOKUP($B148,Seqs!$A:$B,2,0),AK148,1),"")</f>
        <v>P</v>
      </c>
      <c r="AK148" s="3">
        <v>195</v>
      </c>
      <c r="AL148" s="3" t="str">
        <f>IFERROR(MID(VLOOKUP($B148,Seqs!$A:$B,2,0),AM148,1),"")</f>
        <v>T</v>
      </c>
      <c r="AM148" s="3">
        <v>228</v>
      </c>
      <c r="AN148" s="3" t="str">
        <f>IFERROR(MID(VLOOKUP($B148,Seqs!$A:$B,2,0),AO148,1),"")</f>
        <v>K</v>
      </c>
      <c r="AO148" s="3">
        <v>236</v>
      </c>
      <c r="AP148" s="3" t="str">
        <f>IFERROR(MID(VLOOKUP($B148,Seqs!$A:$B,2,0),AQ148,1),"")</f>
        <v>G</v>
      </c>
      <c r="AQ148" s="3">
        <v>273</v>
      </c>
      <c r="AR148" s="3" t="str">
        <f>IFERROR(MID(VLOOKUP($B148,Seqs!$A:$B,2,0),AS148,1),"")</f>
        <v>E</v>
      </c>
      <c r="AS148" s="3">
        <v>278</v>
      </c>
      <c r="AT148" s="3" t="str">
        <f>IFERROR(MID(VLOOKUP($B148,Seqs!$A:$B,2,0),AU148,1),"")</f>
        <v>V</v>
      </c>
      <c r="AU148" s="3">
        <v>308</v>
      </c>
      <c r="AV148" s="3" t="str">
        <f>IFERROR(MID(VLOOKUP($B148,Seqs!$A:$B,2,0),AW148,1),"")</f>
        <v>G</v>
      </c>
      <c r="AW148" s="3">
        <v>309</v>
      </c>
      <c r="AX148" s="3" t="str">
        <f>IFERROR(MID(VLOOKUP($B148,Seqs!$A:$B,2,0),AY148,1),"")</f>
        <v>L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Chemokine</v>
      </c>
      <c r="BB148" s="27" t="b">
        <f t="shared" si="840"/>
        <v>1</v>
      </c>
      <c r="BC148" s="23">
        <f t="shared" si="617"/>
        <v>258</v>
      </c>
      <c r="BD148" s="16" t="s">
        <v>1377</v>
      </c>
      <c r="BE148" s="3" t="s">
        <v>1375</v>
      </c>
      <c r="BF148" s="119">
        <v>2.81</v>
      </c>
      <c r="BG148" s="49" t="s">
        <v>1</v>
      </c>
      <c r="BH148" s="49" t="s">
        <v>1378</v>
      </c>
      <c r="BI148" s="1"/>
      <c r="BJ148" s="70" t="s">
        <v>1288</v>
      </c>
      <c r="BK148" s="57" t="s">
        <v>1288</v>
      </c>
      <c r="BL148" s="57" t="s">
        <v>1288</v>
      </c>
      <c r="BM148" s="57" t="s">
        <v>1288</v>
      </c>
      <c r="BN148" s="57" t="s">
        <v>1288</v>
      </c>
      <c r="BO148" s="57" t="s">
        <v>1288</v>
      </c>
      <c r="BP148" s="57" t="s">
        <v>1288</v>
      </c>
      <c r="BQ148" s="57" t="s">
        <v>1288</v>
      </c>
      <c r="BR148" s="57" t="s">
        <v>1288</v>
      </c>
      <c r="BS148" s="57" t="s">
        <v>1288</v>
      </c>
      <c r="BT148" s="57" t="s">
        <v>1288</v>
      </c>
      <c r="BU148" s="57" t="s">
        <v>1288</v>
      </c>
      <c r="BV148" s="70">
        <f t="shared" si="618"/>
        <v>37</v>
      </c>
      <c r="BW148" s="71" t="str">
        <f t="shared" si="619"/>
        <v>-</v>
      </c>
      <c r="BX148" s="72">
        <f t="shared" si="620"/>
        <v>75</v>
      </c>
      <c r="BY148" s="71">
        <f t="shared" si="621"/>
        <v>105</v>
      </c>
      <c r="BZ148" s="72">
        <f t="shared" si="622"/>
        <v>109</v>
      </c>
      <c r="CA148" s="71">
        <f t="shared" si="623"/>
        <v>145</v>
      </c>
      <c r="CB148" s="72">
        <f t="shared" si="624"/>
        <v>153</v>
      </c>
      <c r="CC148" s="71">
        <f t="shared" si="625"/>
        <v>190</v>
      </c>
      <c r="CD148" s="72">
        <f t="shared" si="626"/>
        <v>195</v>
      </c>
      <c r="CE148" s="71">
        <f t="shared" si="627"/>
        <v>236</v>
      </c>
      <c r="CF148" s="72">
        <f t="shared" si="628"/>
        <v>278</v>
      </c>
      <c r="CG148" s="71">
        <f t="shared" si="629"/>
        <v>309</v>
      </c>
      <c r="CH148" s="70">
        <f t="shared" si="630"/>
        <v>70</v>
      </c>
      <c r="CI148" s="71" t="str">
        <f t="shared" si="631"/>
        <v>-</v>
      </c>
      <c r="CJ148" s="72">
        <f t="shared" si="632"/>
        <v>104</v>
      </c>
      <c r="CK148" s="72">
        <f t="shared" si="633"/>
        <v>108</v>
      </c>
      <c r="CL148" s="72">
        <f t="shared" si="634"/>
        <v>144</v>
      </c>
      <c r="CM148" s="72">
        <f t="shared" si="635"/>
        <v>152</v>
      </c>
      <c r="CN148" s="72">
        <f t="shared" si="636"/>
        <v>179</v>
      </c>
      <c r="CO148" s="72">
        <f t="shared" si="637"/>
        <v>192</v>
      </c>
      <c r="CP148" s="72">
        <f t="shared" si="638"/>
        <v>228</v>
      </c>
      <c r="CQ148" s="72">
        <f t="shared" si="639"/>
        <v>273</v>
      </c>
      <c r="CR148" s="72">
        <f t="shared" si="640"/>
        <v>308</v>
      </c>
      <c r="CS148" s="72">
        <f t="shared" si="641"/>
        <v>320</v>
      </c>
      <c r="CT148" s="23" t="e">
        <f t="shared" si="642"/>
        <v>#VALUE!</v>
      </c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  <c r="AML148" s="6"/>
      <c r="AMM148" s="6"/>
      <c r="AMN148" s="6"/>
      <c r="AMO148" s="6"/>
      <c r="AMP148" s="6"/>
    </row>
    <row r="149" spans="1:1030" s="12" customFormat="1" x14ac:dyDescent="0.2">
      <c r="A149" s="9" t="str">
        <f t="shared" ref="A149" si="925">CONCATENATE(B149,"_",C149)</f>
        <v>ccr2_human_6GPS</v>
      </c>
      <c r="B149" s="9" t="s">
        <v>170</v>
      </c>
      <c r="C149" s="9" t="s">
        <v>1547</v>
      </c>
      <c r="D149" s="9" t="str">
        <f>IFERROR(MID(VLOOKUP($B149,Seqs!$A:$B,2,0),E149,1),"")</f>
        <v>V</v>
      </c>
      <c r="E149" s="9">
        <v>37</v>
      </c>
      <c r="F149" s="9" t="str">
        <f>IFERROR(MID(VLOOKUP($B149,Seqs!$A:$B,2,0),G149,1),"")</f>
        <v>K</v>
      </c>
      <c r="G149" s="9">
        <v>71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L</v>
      </c>
      <c r="M149" s="9">
        <v>76</v>
      </c>
      <c r="N149" s="9" t="str">
        <f>IFERROR(MID(VLOOKUP($B149,Seqs!$A:$B,2,0),O149,1),"")</f>
        <v>A</v>
      </c>
      <c r="O149" s="9">
        <v>102</v>
      </c>
      <c r="P149" s="9" t="str">
        <f>IFERROR(MID(VLOOKUP($B149,Seqs!$A:$B,2,0),Q149,1),"")</f>
        <v>E</v>
      </c>
      <c r="Q149" s="9">
        <v>105</v>
      </c>
      <c r="R149" s="9" t="str">
        <f>IFERROR(MID(VLOOKUP($B149,Seqs!$A:$B,2,0),S149,1),"")</f>
        <v>F</v>
      </c>
      <c r="S149" s="9">
        <v>108</v>
      </c>
      <c r="T149" s="9" t="str">
        <f>IFERROR(MID(VLOOKUP($B149,Seqs!$A:$B,2,0),U149,1),"")</f>
        <v>G</v>
      </c>
      <c r="U149" s="9">
        <v>109</v>
      </c>
      <c r="V149" s="9" t="str">
        <f>IFERROR(MID(VLOOKUP($B149,Seqs!$A:$B,2,0),W149,1),"")</f>
        <v>H</v>
      </c>
      <c r="W149" s="9">
        <v>144</v>
      </c>
      <c r="X149" s="9" t="str">
        <f>IFERROR(MID(VLOOKUP($B149,Seqs!$A:$B,2,0),Y149,1),"")</f>
        <v/>
      </c>
      <c r="Y149" s="9" t="s">
        <v>23</v>
      </c>
      <c r="Z149" s="9" t="str">
        <f>IFERROR(MID(VLOOKUP($B149,Seqs!$A:$B,2,0),AA149,1),"")</f>
        <v/>
      </c>
      <c r="AA149" s="9" t="s">
        <v>23</v>
      </c>
      <c r="AB149" s="9" t="str">
        <f>IFERROR(MID(VLOOKUP($B149,Seqs!$A:$B,2,0),AC149,1),"")</f>
        <v>R</v>
      </c>
      <c r="AC149" s="9">
        <v>152</v>
      </c>
      <c r="AD149" s="9" t="str">
        <f>IFERROR(MID(VLOOKUP($B149,Seqs!$A:$B,2,0),AE149,1),"")</f>
        <v>T</v>
      </c>
      <c r="AE149" s="9">
        <v>179</v>
      </c>
      <c r="AF149" s="9" t="str">
        <f>IFERROR(MID(VLOOKUP($B149,Seqs!$A:$B,2,0),AG149,1),"")</f>
        <v>C</v>
      </c>
      <c r="AG149" s="9">
        <v>190</v>
      </c>
      <c r="AH149" s="9" t="str">
        <f>IFERROR(MID(VLOOKUP($B149,Seqs!$A:$B,2,0),AI149,1),"")</f>
        <v>P</v>
      </c>
      <c r="AI149" s="9">
        <v>192</v>
      </c>
      <c r="AJ149" s="9" t="str">
        <f>IFERROR(MID(VLOOKUP($B149,Seqs!$A:$B,2,0),AK149,1),"")</f>
        <v>P</v>
      </c>
      <c r="AK149" s="9">
        <v>195</v>
      </c>
      <c r="AL149" s="9" t="str">
        <f>IFERROR(MID(VLOOKUP($B149,Seqs!$A:$B,2,0),AM149,1),"")</f>
        <v>R</v>
      </c>
      <c r="AM149" s="9">
        <v>231</v>
      </c>
      <c r="AN149" s="9" t="str">
        <f>IFERROR(MID(VLOOKUP($B149,Seqs!$A:$B,2,0),AO149,1),"")</f>
        <v>A</v>
      </c>
      <c r="AO149" s="9">
        <v>241</v>
      </c>
      <c r="AP149" s="9" t="str">
        <f>IFERROR(MID(VLOOKUP($B149,Seqs!$A:$B,2,0),AQ149,1),"")</f>
        <v>F</v>
      </c>
      <c r="AQ149" s="9">
        <v>268</v>
      </c>
      <c r="AR149" s="9" t="str">
        <f>IFERROR(MID(VLOOKUP($B149,Seqs!$A:$B,2,0),AS149,1),"")</f>
        <v>S</v>
      </c>
      <c r="AS149" s="9">
        <v>279</v>
      </c>
      <c r="AT149" s="9" t="str">
        <f>IFERROR(MID(VLOOKUP($B149,Seqs!$A:$B,2,0),AU149,1),"")</f>
        <v>G</v>
      </c>
      <c r="AU149" s="9">
        <v>309</v>
      </c>
      <c r="AV149" s="9" t="str">
        <f>IFERROR(MID(VLOOKUP($B149,Seqs!$A:$B,2,0),AW149,1),"")</f>
        <v>E</v>
      </c>
      <c r="AW149" s="9">
        <v>310</v>
      </c>
      <c r="AX149" s="9" t="str">
        <f>IFERROR(MID(VLOOKUP($B149,Seqs!$A:$B,2,0),AY149,1),"")</f>
        <v>G</v>
      </c>
      <c r="AY149" s="9">
        <v>321</v>
      </c>
      <c r="AZ149" s="110" t="str">
        <f>VLOOKUP(B149,Classification!A:D,2,0)</f>
        <v>A</v>
      </c>
      <c r="BA149" s="98" t="str">
        <f>VLOOKUP(B149,Classification!A:D,4,0)</f>
        <v>Chemokine</v>
      </c>
      <c r="BB149" s="36" t="b">
        <f t="shared" ref="BB149" si="926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 t="shared" ref="BC149" si="927">_xlfn.AGGREGATE(9,6,CH149:CS149)-_xlfn.AGGREGATE(9,6,BV149:CG149)+12</f>
        <v>243</v>
      </c>
      <c r="BD149" s="127" t="s">
        <v>23</v>
      </c>
      <c r="BE149" s="9" t="s">
        <v>1375</v>
      </c>
      <c r="BF149" s="120">
        <v>3.3</v>
      </c>
      <c r="BG149" s="51" t="s">
        <v>1</v>
      </c>
      <c r="BH149" s="51" t="s">
        <v>1</v>
      </c>
      <c r="BJ149" s="111" t="s">
        <v>1288</v>
      </c>
      <c r="BK149" s="112" t="s">
        <v>1288</v>
      </c>
      <c r="BL149" s="112" t="s">
        <v>1288</v>
      </c>
      <c r="BM149" s="112" t="s">
        <v>1288</v>
      </c>
      <c r="BN149" s="112" t="s">
        <v>1288</v>
      </c>
      <c r="BO149" s="112" t="s">
        <v>1288</v>
      </c>
      <c r="BP149" s="112" t="s">
        <v>1288</v>
      </c>
      <c r="BQ149" s="112" t="s">
        <v>1288</v>
      </c>
      <c r="BR149" s="112" t="s">
        <v>1288</v>
      </c>
      <c r="BS149" s="112" t="s">
        <v>1288</v>
      </c>
      <c r="BT149" s="112" t="s">
        <v>1288</v>
      </c>
      <c r="BU149" s="112" t="s">
        <v>1288</v>
      </c>
      <c r="BV149" s="111">
        <f t="shared" ref="BV149" si="928">E149</f>
        <v>37</v>
      </c>
      <c r="BW149" s="113" t="str">
        <f t="shared" ref="BW149" si="929">I149</f>
        <v>-</v>
      </c>
      <c r="BX149" s="114">
        <f t="shared" ref="BX149" si="930">M149</f>
        <v>76</v>
      </c>
      <c r="BY149" s="113">
        <f t="shared" ref="BY149" si="931">Q149</f>
        <v>105</v>
      </c>
      <c r="BZ149" s="114">
        <f t="shared" ref="BZ149" si="932">U149</f>
        <v>109</v>
      </c>
      <c r="CA149" s="113" t="str">
        <f t="shared" ref="CA149" si="933">Y149</f>
        <v>-</v>
      </c>
      <c r="CB149" s="114">
        <f t="shared" ref="CB149" si="934">AC149</f>
        <v>152</v>
      </c>
      <c r="CC149" s="113">
        <f t="shared" ref="CC149" si="935">AG149</f>
        <v>190</v>
      </c>
      <c r="CD149" s="114">
        <f t="shared" ref="CD149" si="936">AK149</f>
        <v>195</v>
      </c>
      <c r="CE149" s="113">
        <f t="shared" ref="CE149" si="937">AO149</f>
        <v>241</v>
      </c>
      <c r="CF149" s="114">
        <f t="shared" ref="CF149" si="938">AS149</f>
        <v>279</v>
      </c>
      <c r="CG149" s="113">
        <f t="shared" ref="CG149" si="939">AW149</f>
        <v>310</v>
      </c>
      <c r="CH149" s="111">
        <f t="shared" ref="CH149" si="940">G149</f>
        <v>71</v>
      </c>
      <c r="CI149" s="113" t="str">
        <f t="shared" ref="CI149" si="941">K149</f>
        <v>-</v>
      </c>
      <c r="CJ149" s="114">
        <f t="shared" ref="CJ149" si="942">O149</f>
        <v>102</v>
      </c>
      <c r="CK149" s="114">
        <f t="shared" ref="CK149" si="943">S149</f>
        <v>108</v>
      </c>
      <c r="CL149" s="114">
        <f t="shared" ref="CL149" si="944">W149</f>
        <v>144</v>
      </c>
      <c r="CM149" s="114" t="str">
        <f t="shared" ref="CM149" si="945">AA149</f>
        <v>-</v>
      </c>
      <c r="CN149" s="114">
        <f t="shared" ref="CN149" si="946">AE149</f>
        <v>179</v>
      </c>
      <c r="CO149" s="114">
        <f t="shared" ref="CO149" si="947">AI149</f>
        <v>192</v>
      </c>
      <c r="CP149" s="114">
        <f t="shared" ref="CP149" si="948">AM149</f>
        <v>231</v>
      </c>
      <c r="CQ149" s="114">
        <f t="shared" ref="CQ149" si="949">AQ149</f>
        <v>268</v>
      </c>
      <c r="CR149" s="114">
        <f t="shared" ref="CR149" si="950">AU149</f>
        <v>309</v>
      </c>
      <c r="CS149" s="114">
        <f t="shared" ref="CS149" si="951">AY149</f>
        <v>321</v>
      </c>
      <c r="CT149" s="109" t="e">
        <f t="shared" ref="CT149" si="952">M149-K149</f>
        <v>#VALUE!</v>
      </c>
      <c r="CU149" s="129"/>
      <c r="CV149" s="129"/>
      <c r="CW149" s="129"/>
      <c r="CX149" s="129"/>
      <c r="CY149" s="129"/>
      <c r="CZ149" s="129"/>
      <c r="DA149" s="129"/>
      <c r="DB149" s="129"/>
      <c r="DC149" s="129"/>
      <c r="DD149" s="129"/>
      <c r="DE149" s="129"/>
      <c r="DF149" s="129"/>
      <c r="DG149" s="129"/>
      <c r="DH149" s="129"/>
      <c r="DI149" s="129"/>
      <c r="DJ149" s="129"/>
      <c r="DK149" s="129"/>
      <c r="DL149" s="129"/>
      <c r="DM149" s="129"/>
      <c r="DN149" s="129"/>
      <c r="DO149" s="129"/>
      <c r="DP149" s="129"/>
      <c r="DQ149" s="129"/>
      <c r="DR149" s="129"/>
      <c r="DS149" s="129"/>
      <c r="DT149" s="129"/>
      <c r="DU149" s="129"/>
      <c r="DV149" s="129"/>
      <c r="DW149" s="129"/>
      <c r="DX149" s="129"/>
      <c r="DY149" s="129"/>
      <c r="DZ149" s="129"/>
      <c r="EA149" s="129"/>
      <c r="EB149" s="129"/>
      <c r="EC149" s="129"/>
      <c r="ED149" s="129"/>
      <c r="EE149" s="129"/>
      <c r="EF149" s="129"/>
      <c r="EG149" s="129"/>
      <c r="EH149" s="129"/>
      <c r="EI149" s="129"/>
      <c r="EJ149" s="129"/>
      <c r="EK149" s="129"/>
      <c r="EL149" s="129"/>
      <c r="EM149" s="129"/>
      <c r="EN149" s="129"/>
      <c r="EO149" s="129"/>
      <c r="EP149" s="129"/>
      <c r="EQ149" s="129"/>
      <c r="ER149" s="129"/>
      <c r="ES149" s="129"/>
      <c r="ET149" s="129"/>
      <c r="EU149" s="129"/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29"/>
      <c r="FG149" s="129"/>
      <c r="FH149" s="129"/>
      <c r="FI149" s="129"/>
      <c r="FJ149" s="129"/>
      <c r="FK149" s="129"/>
      <c r="FL149" s="129"/>
      <c r="FM149" s="129"/>
      <c r="FN149" s="129"/>
      <c r="FO149" s="129"/>
      <c r="FP149" s="129"/>
      <c r="FQ149" s="129"/>
      <c r="FR149" s="129"/>
      <c r="FS149" s="129"/>
      <c r="FT149" s="129"/>
      <c r="FU149" s="129"/>
      <c r="FV149" s="129"/>
      <c r="FW149" s="129"/>
      <c r="FX149" s="129"/>
      <c r="FY149" s="129"/>
      <c r="FZ149" s="129"/>
      <c r="GA149" s="129"/>
      <c r="GB149" s="129"/>
      <c r="GC149" s="129"/>
      <c r="GD149" s="129"/>
      <c r="GE149" s="129"/>
      <c r="GF149" s="129"/>
      <c r="GG149" s="129"/>
      <c r="GH149" s="129"/>
      <c r="GI149" s="129"/>
      <c r="GJ149" s="129"/>
      <c r="GK149" s="129"/>
      <c r="GL149" s="129"/>
      <c r="GM149" s="129"/>
      <c r="GN149" s="129"/>
      <c r="GO149" s="129"/>
      <c r="GP149" s="129"/>
      <c r="GQ149" s="129"/>
      <c r="GR149" s="129"/>
      <c r="GS149" s="129"/>
      <c r="GT149" s="129"/>
      <c r="GU149" s="129"/>
      <c r="GV149" s="129"/>
      <c r="GW149" s="129"/>
      <c r="GX149" s="129"/>
      <c r="GY149" s="129"/>
      <c r="GZ149" s="129"/>
      <c r="HA149" s="129"/>
      <c r="HB149" s="129"/>
      <c r="HC149" s="129"/>
      <c r="HD149" s="129"/>
      <c r="HE149" s="129"/>
      <c r="HF149" s="129"/>
      <c r="HG149" s="129"/>
      <c r="HH149" s="129"/>
      <c r="HI149" s="129"/>
      <c r="HJ149" s="129"/>
      <c r="HK149" s="129"/>
      <c r="HL149" s="129"/>
      <c r="HM149" s="129"/>
      <c r="HN149" s="129"/>
      <c r="HO149" s="129"/>
      <c r="HP149" s="129"/>
      <c r="HQ149" s="129"/>
      <c r="HR149" s="129"/>
      <c r="HS149" s="129"/>
      <c r="HT149" s="129"/>
      <c r="HU149" s="129"/>
      <c r="HV149" s="129"/>
      <c r="HW149" s="129"/>
      <c r="HX149" s="129"/>
      <c r="HY149" s="129"/>
      <c r="HZ149" s="129"/>
      <c r="IA149" s="129"/>
      <c r="IB149" s="129"/>
      <c r="IC149" s="129"/>
      <c r="ID149" s="129"/>
      <c r="IE149" s="129"/>
      <c r="IF149" s="129"/>
      <c r="IG149" s="129"/>
      <c r="IH149" s="129"/>
      <c r="II149" s="129"/>
      <c r="IJ149" s="129"/>
      <c r="IK149" s="129"/>
      <c r="IL149" s="129"/>
      <c r="IM149" s="129"/>
      <c r="IN149" s="129"/>
      <c r="IO149" s="129"/>
      <c r="IP149" s="129"/>
      <c r="IQ149" s="129"/>
      <c r="IR149" s="129"/>
      <c r="IS149" s="129"/>
      <c r="IT149" s="129"/>
      <c r="IU149" s="129"/>
      <c r="IV149" s="129"/>
      <c r="IW149" s="129"/>
      <c r="IX149" s="129"/>
      <c r="IY149" s="129"/>
      <c r="IZ149" s="129"/>
      <c r="JA149" s="129"/>
      <c r="JB149" s="129"/>
      <c r="JC149" s="129"/>
      <c r="JD149" s="129"/>
      <c r="JE149" s="129"/>
      <c r="JF149" s="129"/>
      <c r="JG149" s="129"/>
      <c r="JH149" s="129"/>
      <c r="JI149" s="129"/>
      <c r="JJ149" s="129"/>
      <c r="JK149" s="129"/>
      <c r="JL149" s="129"/>
      <c r="JM149" s="129"/>
      <c r="JN149" s="129"/>
      <c r="JO149" s="129"/>
      <c r="JP149" s="129"/>
      <c r="JQ149" s="129"/>
      <c r="JR149" s="129"/>
      <c r="JS149" s="129"/>
      <c r="JT149" s="129"/>
      <c r="JU149" s="129"/>
      <c r="JV149" s="129"/>
      <c r="JW149" s="129"/>
      <c r="JX149" s="129"/>
      <c r="JY149" s="129"/>
      <c r="JZ149" s="129"/>
      <c r="KA149" s="129"/>
      <c r="KB149" s="129"/>
      <c r="KC149" s="129"/>
      <c r="KD149" s="129"/>
      <c r="KE149" s="129"/>
      <c r="KF149" s="129"/>
      <c r="KG149" s="129"/>
      <c r="KH149" s="129"/>
      <c r="KI149" s="129"/>
      <c r="KJ149" s="129"/>
      <c r="KK149" s="129"/>
      <c r="KL149" s="129"/>
      <c r="KM149" s="129"/>
      <c r="KN149" s="129"/>
      <c r="KO149" s="129"/>
      <c r="KP149" s="129"/>
      <c r="KQ149" s="129"/>
      <c r="KR149" s="129"/>
      <c r="KS149" s="129"/>
      <c r="KT149" s="129"/>
      <c r="KU149" s="129"/>
      <c r="KV149" s="129"/>
      <c r="KW149" s="129"/>
      <c r="KX149" s="129"/>
      <c r="KY149" s="129"/>
      <c r="KZ149" s="129"/>
      <c r="LA149" s="129"/>
      <c r="LB149" s="129"/>
      <c r="LC149" s="129"/>
      <c r="LD149" s="129"/>
      <c r="LE149" s="129"/>
      <c r="LF149" s="129"/>
      <c r="LG149" s="129"/>
      <c r="LH149" s="129"/>
      <c r="LI149" s="129"/>
      <c r="LJ149" s="129"/>
      <c r="LK149" s="129"/>
      <c r="LL149" s="129"/>
      <c r="LM149" s="129"/>
      <c r="LN149" s="129"/>
      <c r="LO149" s="129"/>
      <c r="LP149" s="129"/>
      <c r="LQ149" s="129"/>
      <c r="LR149" s="129"/>
      <c r="LS149" s="129"/>
      <c r="LT149" s="129"/>
      <c r="LU149" s="129"/>
      <c r="LV149" s="129"/>
      <c r="LW149" s="129"/>
      <c r="LX149" s="129"/>
      <c r="LY149" s="129"/>
      <c r="LZ149" s="129"/>
      <c r="MA149" s="129"/>
      <c r="MB149" s="129"/>
      <c r="MC149" s="129"/>
      <c r="MD149" s="129"/>
      <c r="ME149" s="129"/>
      <c r="MF149" s="129"/>
      <c r="MG149" s="129"/>
      <c r="MH149" s="129"/>
      <c r="MI149" s="129"/>
      <c r="MJ149" s="129"/>
      <c r="MK149" s="129"/>
      <c r="ML149" s="129"/>
      <c r="MM149" s="129"/>
      <c r="MN149" s="129"/>
      <c r="MO149" s="129"/>
      <c r="MP149" s="129"/>
      <c r="MQ149" s="129"/>
      <c r="MR149" s="129"/>
      <c r="MS149" s="129"/>
      <c r="MT149" s="129"/>
      <c r="MU149" s="129"/>
      <c r="MV149" s="129"/>
      <c r="MW149" s="129"/>
      <c r="MX149" s="129"/>
      <c r="MY149" s="129"/>
      <c r="MZ149" s="129"/>
      <c r="NA149" s="129"/>
      <c r="NB149" s="129"/>
      <c r="NC149" s="129"/>
      <c r="ND149" s="129"/>
      <c r="NE149" s="129"/>
      <c r="NF149" s="129"/>
      <c r="NG149" s="129"/>
      <c r="NH149" s="129"/>
      <c r="NI149" s="129"/>
      <c r="NJ149" s="129"/>
      <c r="NK149" s="129"/>
      <c r="NL149" s="129"/>
      <c r="NM149" s="129"/>
      <c r="NN149" s="129"/>
      <c r="NO149" s="129"/>
      <c r="NP149" s="129"/>
      <c r="NQ149" s="129"/>
      <c r="NR149" s="129"/>
      <c r="NS149" s="129"/>
      <c r="NT149" s="129"/>
      <c r="NU149" s="129"/>
      <c r="NV149" s="129"/>
      <c r="NW149" s="129"/>
      <c r="NX149" s="129"/>
      <c r="NY149" s="129"/>
      <c r="NZ149" s="129"/>
      <c r="OA149" s="129"/>
      <c r="OB149" s="129"/>
      <c r="OC149" s="129"/>
      <c r="OD149" s="129"/>
      <c r="OE149" s="129"/>
      <c r="OF149" s="129"/>
      <c r="OG149" s="129"/>
      <c r="OH149" s="129"/>
      <c r="OI149" s="129"/>
      <c r="OJ149" s="129"/>
      <c r="OK149" s="129"/>
      <c r="OL149" s="129"/>
      <c r="OM149" s="129"/>
      <c r="ON149" s="129"/>
      <c r="OO149" s="129"/>
      <c r="OP149" s="129"/>
      <c r="OQ149" s="129"/>
      <c r="OR149" s="129"/>
      <c r="OS149" s="129"/>
      <c r="OT149" s="129"/>
      <c r="OU149" s="129"/>
      <c r="OV149" s="129"/>
      <c r="OW149" s="129"/>
      <c r="OX149" s="129"/>
      <c r="OY149" s="129"/>
      <c r="OZ149" s="129"/>
      <c r="PA149" s="129"/>
      <c r="PB149" s="129"/>
      <c r="PC149" s="129"/>
      <c r="PD149" s="129"/>
      <c r="PE149" s="129"/>
      <c r="PF149" s="129"/>
      <c r="PG149" s="129"/>
      <c r="PH149" s="129"/>
      <c r="PI149" s="129"/>
      <c r="PJ149" s="129"/>
      <c r="PK149" s="129"/>
      <c r="PL149" s="129"/>
      <c r="PM149" s="129"/>
      <c r="PN149" s="129"/>
      <c r="PO149" s="129"/>
      <c r="PP149" s="129"/>
      <c r="PQ149" s="129"/>
      <c r="PR149" s="129"/>
      <c r="PS149" s="129"/>
      <c r="PT149" s="129"/>
      <c r="PU149" s="129"/>
      <c r="PV149" s="129"/>
      <c r="PW149" s="129"/>
      <c r="PX149" s="129"/>
      <c r="PY149" s="129"/>
      <c r="PZ149" s="129"/>
      <c r="QA149" s="129"/>
      <c r="QB149" s="129"/>
      <c r="QC149" s="129"/>
      <c r="QD149" s="129"/>
      <c r="QE149" s="129"/>
      <c r="QF149" s="129"/>
      <c r="QG149" s="129"/>
      <c r="QH149" s="129"/>
      <c r="QI149" s="129"/>
      <c r="QJ149" s="129"/>
      <c r="QK149" s="129"/>
      <c r="QL149" s="129"/>
      <c r="QM149" s="129"/>
      <c r="QN149" s="129"/>
      <c r="QO149" s="129"/>
      <c r="QP149" s="129"/>
      <c r="QQ149" s="129"/>
      <c r="QR149" s="129"/>
      <c r="QS149" s="129"/>
      <c r="QT149" s="129"/>
      <c r="QU149" s="129"/>
      <c r="QV149" s="129"/>
      <c r="QW149" s="129"/>
      <c r="QX149" s="129"/>
      <c r="QY149" s="129"/>
      <c r="QZ149" s="129"/>
      <c r="RA149" s="129"/>
      <c r="RB149" s="129"/>
      <c r="RC149" s="129"/>
      <c r="RD149" s="129"/>
      <c r="RE149" s="129"/>
      <c r="RF149" s="129"/>
      <c r="RG149" s="129"/>
      <c r="RH149" s="129"/>
      <c r="RI149" s="129"/>
      <c r="RJ149" s="129"/>
      <c r="RK149" s="129"/>
      <c r="RL149" s="129"/>
      <c r="RM149" s="129"/>
      <c r="RN149" s="129"/>
      <c r="RO149" s="129"/>
      <c r="RP149" s="129"/>
      <c r="RQ149" s="129"/>
      <c r="RR149" s="129"/>
      <c r="RS149" s="129"/>
      <c r="RT149" s="129"/>
      <c r="RU149" s="129"/>
      <c r="RV149" s="129"/>
      <c r="RW149" s="129"/>
      <c r="RX149" s="129"/>
      <c r="RY149" s="129"/>
      <c r="RZ149" s="129"/>
      <c r="SA149" s="129"/>
      <c r="SB149" s="129"/>
      <c r="SC149" s="129"/>
      <c r="SD149" s="129"/>
      <c r="SE149" s="129"/>
      <c r="SF149" s="129"/>
      <c r="SG149" s="129"/>
      <c r="SH149" s="129"/>
      <c r="SI149" s="129"/>
      <c r="SJ149" s="129"/>
      <c r="SK149" s="129"/>
      <c r="SL149" s="129"/>
      <c r="SM149" s="129"/>
      <c r="SN149" s="129"/>
      <c r="SO149" s="129"/>
      <c r="SP149" s="129"/>
      <c r="SQ149" s="129"/>
      <c r="SR149" s="129"/>
      <c r="SS149" s="129"/>
      <c r="ST149" s="129"/>
      <c r="SU149" s="129"/>
      <c r="SV149" s="129"/>
      <c r="SW149" s="129"/>
      <c r="SX149" s="129"/>
      <c r="SY149" s="129"/>
      <c r="SZ149" s="129"/>
      <c r="TA149" s="129"/>
      <c r="TB149" s="129"/>
      <c r="TC149" s="129"/>
      <c r="TD149" s="129"/>
      <c r="TE149" s="129"/>
      <c r="TF149" s="129"/>
      <c r="TG149" s="129"/>
      <c r="TH149" s="129"/>
      <c r="TI149" s="129"/>
      <c r="TJ149" s="129"/>
      <c r="TK149" s="129"/>
      <c r="TL149" s="129"/>
      <c r="TM149" s="129"/>
      <c r="TN149" s="129"/>
      <c r="TO149" s="129"/>
      <c r="TP149" s="129"/>
      <c r="TQ149" s="129"/>
      <c r="TR149" s="129"/>
      <c r="TS149" s="129"/>
      <c r="TT149" s="129"/>
      <c r="TU149" s="129"/>
      <c r="TV149" s="129"/>
      <c r="TW149" s="129"/>
      <c r="TX149" s="129"/>
      <c r="TY149" s="129"/>
      <c r="TZ149" s="129"/>
      <c r="UA149" s="129"/>
      <c r="UB149" s="129"/>
      <c r="UC149" s="129"/>
      <c r="UD149" s="129"/>
      <c r="UE149" s="129"/>
      <c r="UF149" s="129"/>
      <c r="UG149" s="129"/>
      <c r="UH149" s="129"/>
      <c r="UI149" s="129"/>
      <c r="UJ149" s="129"/>
      <c r="UK149" s="129"/>
      <c r="UL149" s="129"/>
      <c r="UM149" s="129"/>
      <c r="UN149" s="129"/>
      <c r="UO149" s="129"/>
      <c r="UP149" s="129"/>
      <c r="UQ149" s="129"/>
      <c r="UR149" s="129"/>
      <c r="US149" s="129"/>
      <c r="UT149" s="129"/>
      <c r="UU149" s="129"/>
      <c r="UV149" s="129"/>
      <c r="UW149" s="129"/>
      <c r="UX149" s="129"/>
      <c r="UY149" s="129"/>
      <c r="UZ149" s="129"/>
      <c r="VA149" s="129"/>
      <c r="VB149" s="129"/>
      <c r="VC149" s="129"/>
      <c r="VD149" s="129"/>
      <c r="VE149" s="129"/>
      <c r="VF149" s="129"/>
      <c r="VG149" s="129"/>
      <c r="VH149" s="129"/>
      <c r="VI149" s="129"/>
      <c r="VJ149" s="129"/>
      <c r="VK149" s="129"/>
      <c r="VL149" s="129"/>
      <c r="VM149" s="129"/>
      <c r="VN149" s="129"/>
      <c r="VO149" s="129"/>
      <c r="VP149" s="129"/>
      <c r="VQ149" s="129"/>
      <c r="VR149" s="129"/>
      <c r="VS149" s="129"/>
      <c r="VT149" s="129"/>
      <c r="VU149" s="129"/>
      <c r="VV149" s="129"/>
      <c r="VW149" s="129"/>
      <c r="VX149" s="129"/>
      <c r="VY149" s="129"/>
      <c r="VZ149" s="129"/>
      <c r="WA149" s="129"/>
      <c r="WB149" s="129"/>
      <c r="WC149" s="129"/>
      <c r="WD149" s="129"/>
      <c r="WE149" s="129"/>
      <c r="WF149" s="129"/>
      <c r="WG149" s="129"/>
      <c r="WH149" s="129"/>
      <c r="WI149" s="129"/>
      <c r="WJ149" s="129"/>
      <c r="WK149" s="129"/>
      <c r="WL149" s="129"/>
      <c r="WM149" s="129"/>
      <c r="WN149" s="129"/>
      <c r="WO149" s="129"/>
      <c r="WP149" s="129"/>
      <c r="WQ149" s="129"/>
      <c r="WR149" s="129"/>
      <c r="WS149" s="129"/>
      <c r="WT149" s="129"/>
      <c r="WU149" s="129"/>
      <c r="WV149" s="129"/>
      <c r="WW149" s="129"/>
      <c r="WX149" s="129"/>
      <c r="WY149" s="129"/>
      <c r="WZ149" s="129"/>
      <c r="XA149" s="129"/>
      <c r="XB149" s="129"/>
      <c r="XC149" s="129"/>
      <c r="XD149" s="129"/>
      <c r="XE149" s="129"/>
      <c r="XF149" s="129"/>
      <c r="XG149" s="129"/>
      <c r="XH149" s="129"/>
      <c r="XI149" s="129"/>
      <c r="XJ149" s="129"/>
      <c r="XK149" s="129"/>
      <c r="XL149" s="129"/>
      <c r="XM149" s="129"/>
      <c r="XN149" s="129"/>
      <c r="XO149" s="129"/>
      <c r="XP149" s="129"/>
      <c r="XQ149" s="129"/>
      <c r="XR149" s="129"/>
      <c r="XS149" s="129"/>
      <c r="XT149" s="129"/>
      <c r="XU149" s="129"/>
      <c r="XV149" s="129"/>
      <c r="XW149" s="129"/>
      <c r="XX149" s="129"/>
      <c r="XY149" s="129"/>
      <c r="XZ149" s="129"/>
      <c r="YA149" s="129"/>
      <c r="YB149" s="129"/>
      <c r="YC149" s="129"/>
      <c r="YD149" s="129"/>
      <c r="YE149" s="129"/>
      <c r="YF149" s="129"/>
      <c r="YG149" s="129"/>
      <c r="YH149" s="129"/>
      <c r="YI149" s="129"/>
      <c r="YJ149" s="129"/>
      <c r="YK149" s="129"/>
      <c r="YL149" s="129"/>
      <c r="YM149" s="129"/>
      <c r="YN149" s="129"/>
      <c r="YO149" s="129"/>
      <c r="YP149" s="129"/>
      <c r="YQ149" s="129"/>
      <c r="YR149" s="129"/>
      <c r="YS149" s="129"/>
      <c r="YT149" s="129"/>
      <c r="YU149" s="129"/>
      <c r="YV149" s="129"/>
      <c r="YW149" s="129"/>
      <c r="YX149" s="129"/>
      <c r="YY149" s="129"/>
      <c r="YZ149" s="129"/>
      <c r="ZA149" s="129"/>
      <c r="ZB149" s="129"/>
      <c r="ZC149" s="129"/>
      <c r="ZD149" s="129"/>
      <c r="ZE149" s="129"/>
      <c r="ZF149" s="129"/>
      <c r="ZG149" s="129"/>
      <c r="ZH149" s="129"/>
      <c r="ZI149" s="129"/>
      <c r="ZJ149" s="129"/>
      <c r="ZK149" s="129"/>
      <c r="ZL149" s="129"/>
      <c r="ZM149" s="129"/>
      <c r="ZN149" s="129"/>
      <c r="ZO149" s="129"/>
      <c r="ZP149" s="129"/>
      <c r="ZQ149" s="129"/>
      <c r="ZR149" s="129"/>
      <c r="ZS149" s="129"/>
      <c r="ZT149" s="129"/>
      <c r="ZU149" s="129"/>
      <c r="ZV149" s="129"/>
      <c r="ZW149" s="129"/>
      <c r="ZX149" s="129"/>
      <c r="ZY149" s="129"/>
      <c r="ZZ149" s="129"/>
      <c r="AAA149" s="129"/>
      <c r="AAB149" s="129"/>
      <c r="AAC149" s="129"/>
      <c r="AAD149" s="129"/>
      <c r="AAE149" s="129"/>
      <c r="AAF149" s="129"/>
      <c r="AAG149" s="129"/>
      <c r="AAH149" s="129"/>
      <c r="AAI149" s="129"/>
      <c r="AAJ149" s="129"/>
      <c r="AAK149" s="129"/>
      <c r="AAL149" s="129"/>
      <c r="AAM149" s="129"/>
      <c r="AAN149" s="129"/>
      <c r="AAO149" s="129"/>
      <c r="AAP149" s="129"/>
      <c r="AAQ149" s="129"/>
      <c r="AAR149" s="129"/>
      <c r="AAS149" s="129"/>
      <c r="AAT149" s="129"/>
      <c r="AAU149" s="129"/>
      <c r="AAV149" s="129"/>
      <c r="AAW149" s="129"/>
      <c r="AAX149" s="129"/>
      <c r="AAY149" s="129"/>
      <c r="AAZ149" s="129"/>
      <c r="ABA149" s="129"/>
      <c r="ABB149" s="129"/>
      <c r="ABC149" s="129"/>
      <c r="ABD149" s="129"/>
      <c r="ABE149" s="129"/>
      <c r="ABF149" s="129"/>
      <c r="ABG149" s="129"/>
      <c r="ABH149" s="129"/>
      <c r="ABI149" s="129"/>
      <c r="ABJ149" s="129"/>
      <c r="ABK149" s="129"/>
      <c r="ABL149" s="129"/>
      <c r="ABM149" s="129"/>
      <c r="ABN149" s="129"/>
      <c r="ABO149" s="129"/>
      <c r="ABP149" s="129"/>
      <c r="ABQ149" s="129"/>
      <c r="ABR149" s="129"/>
      <c r="ABS149" s="129"/>
      <c r="ABT149" s="129"/>
      <c r="ABU149" s="129"/>
      <c r="ABV149" s="129"/>
      <c r="ABW149" s="129"/>
      <c r="ABX149" s="129"/>
      <c r="ABY149" s="129"/>
      <c r="ABZ149" s="129"/>
      <c r="ACA149" s="129"/>
      <c r="ACB149" s="129"/>
      <c r="ACC149" s="129"/>
      <c r="ACD149" s="129"/>
      <c r="ACE149" s="129"/>
      <c r="ACF149" s="129"/>
      <c r="ACG149" s="129"/>
      <c r="ACH149" s="129"/>
      <c r="ACI149" s="129"/>
      <c r="ACJ149" s="129"/>
      <c r="ACK149" s="129"/>
      <c r="ACL149" s="129"/>
      <c r="ACM149" s="129"/>
      <c r="ACN149" s="129"/>
      <c r="ACO149" s="129"/>
      <c r="ACP149" s="129"/>
      <c r="ACQ149" s="129"/>
      <c r="ACR149" s="129"/>
      <c r="ACS149" s="129"/>
      <c r="ACT149" s="129"/>
      <c r="ACU149" s="129"/>
      <c r="ACV149" s="129"/>
      <c r="ACW149" s="129"/>
      <c r="ACX149" s="129"/>
      <c r="ACY149" s="129"/>
      <c r="ACZ149" s="129"/>
      <c r="ADA149" s="129"/>
      <c r="ADB149" s="129"/>
      <c r="ADC149" s="129"/>
      <c r="ADD149" s="129"/>
      <c r="ADE149" s="129"/>
      <c r="ADF149" s="129"/>
      <c r="ADG149" s="129"/>
      <c r="ADH149" s="129"/>
      <c r="ADI149" s="129"/>
      <c r="ADJ149" s="129"/>
      <c r="ADK149" s="129"/>
      <c r="ADL149" s="129"/>
      <c r="ADM149" s="129"/>
      <c r="ADN149" s="129"/>
      <c r="ADO149" s="129"/>
      <c r="ADP149" s="129"/>
      <c r="ADQ149" s="129"/>
      <c r="ADR149" s="129"/>
      <c r="ADS149" s="129"/>
      <c r="ADT149" s="129"/>
      <c r="ADU149" s="129"/>
      <c r="ADV149" s="129"/>
      <c r="ADW149" s="129"/>
      <c r="ADX149" s="129"/>
      <c r="ADY149" s="129"/>
      <c r="ADZ149" s="129"/>
      <c r="AEA149" s="129"/>
      <c r="AEB149" s="129"/>
      <c r="AEC149" s="129"/>
      <c r="AED149" s="129"/>
      <c r="AEE149" s="129"/>
      <c r="AEF149" s="129"/>
      <c r="AEG149" s="129"/>
      <c r="AEH149" s="129"/>
      <c r="AEI149" s="129"/>
      <c r="AEJ149" s="129"/>
      <c r="AEK149" s="129"/>
      <c r="AEL149" s="129"/>
      <c r="AEM149" s="129"/>
      <c r="AEN149" s="129"/>
      <c r="AEO149" s="129"/>
      <c r="AEP149" s="129"/>
      <c r="AEQ149" s="129"/>
      <c r="AER149" s="129"/>
      <c r="AES149" s="129"/>
      <c r="AET149" s="129"/>
      <c r="AEU149" s="129"/>
      <c r="AEV149" s="129"/>
      <c r="AEW149" s="129"/>
      <c r="AEX149" s="129"/>
      <c r="AEY149" s="129"/>
      <c r="AEZ149" s="129"/>
      <c r="AFA149" s="129"/>
      <c r="AFB149" s="129"/>
      <c r="AFC149" s="129"/>
      <c r="AFD149" s="129"/>
      <c r="AFE149" s="129"/>
      <c r="AFF149" s="129"/>
      <c r="AFG149" s="129"/>
      <c r="AFH149" s="129"/>
      <c r="AFI149" s="129"/>
      <c r="AFJ149" s="129"/>
      <c r="AFK149" s="129"/>
      <c r="AFL149" s="129"/>
      <c r="AFM149" s="129"/>
      <c r="AFN149" s="129"/>
      <c r="AFO149" s="129"/>
      <c r="AFP149" s="129"/>
      <c r="AFQ149" s="129"/>
      <c r="AFR149" s="129"/>
      <c r="AFS149" s="129"/>
      <c r="AFT149" s="129"/>
      <c r="AFU149" s="129"/>
      <c r="AFV149" s="129"/>
      <c r="AFW149" s="129"/>
      <c r="AFX149" s="129"/>
      <c r="AFY149" s="129"/>
      <c r="AFZ149" s="129"/>
      <c r="AGA149" s="129"/>
      <c r="AGB149" s="129"/>
      <c r="AGC149" s="129"/>
      <c r="AGD149" s="129"/>
      <c r="AGE149" s="129"/>
      <c r="AGF149" s="129"/>
      <c r="AGG149" s="129"/>
      <c r="AGH149" s="129"/>
      <c r="AGI149" s="129"/>
      <c r="AGJ149" s="129"/>
      <c r="AGK149" s="129"/>
      <c r="AGL149" s="129"/>
      <c r="AGM149" s="129"/>
      <c r="AGN149" s="129"/>
      <c r="AGO149" s="129"/>
      <c r="AGP149" s="129"/>
      <c r="AGQ149" s="129"/>
      <c r="AGR149" s="129"/>
      <c r="AGS149" s="129"/>
      <c r="AGT149" s="129"/>
      <c r="AGU149" s="129"/>
      <c r="AGV149" s="129"/>
      <c r="AGW149" s="129"/>
      <c r="AGX149" s="129"/>
      <c r="AGY149" s="129"/>
      <c r="AGZ149" s="129"/>
      <c r="AHA149" s="129"/>
      <c r="AHB149" s="129"/>
      <c r="AHC149" s="129"/>
      <c r="AHD149" s="129"/>
      <c r="AHE149" s="129"/>
      <c r="AHF149" s="129"/>
      <c r="AHG149" s="129"/>
      <c r="AHH149" s="129"/>
      <c r="AHI149" s="129"/>
      <c r="AHJ149" s="129"/>
      <c r="AHK149" s="129"/>
      <c r="AHL149" s="129"/>
      <c r="AHM149" s="129"/>
      <c r="AHN149" s="129"/>
      <c r="AHO149" s="129"/>
      <c r="AHP149" s="129"/>
      <c r="AHQ149" s="129"/>
      <c r="AHR149" s="129"/>
      <c r="AHS149" s="129"/>
      <c r="AHT149" s="129"/>
      <c r="AHU149" s="129"/>
      <c r="AHV149" s="129"/>
      <c r="AHW149" s="129"/>
      <c r="AHX149" s="129"/>
      <c r="AHY149" s="129"/>
      <c r="AHZ149" s="129"/>
      <c r="AIA149" s="129"/>
      <c r="AIB149" s="129"/>
      <c r="AIC149" s="129"/>
      <c r="AID149" s="129"/>
      <c r="AIE149" s="129"/>
      <c r="AIF149" s="129"/>
      <c r="AIG149" s="129"/>
      <c r="AIH149" s="129"/>
      <c r="AII149" s="129"/>
      <c r="AIJ149" s="129"/>
      <c r="AIK149" s="129"/>
      <c r="AIL149" s="129"/>
      <c r="AIM149" s="129"/>
      <c r="AIN149" s="129"/>
      <c r="AIO149" s="129"/>
      <c r="AIP149" s="129"/>
      <c r="AIQ149" s="129"/>
      <c r="AIR149" s="129"/>
      <c r="AIS149" s="129"/>
      <c r="AIT149" s="129"/>
      <c r="AIU149" s="129"/>
      <c r="AIV149" s="129"/>
      <c r="AIW149" s="129"/>
      <c r="AIX149" s="129"/>
      <c r="AIY149" s="129"/>
      <c r="AIZ149" s="129"/>
      <c r="AJA149" s="129"/>
      <c r="AJB149" s="129"/>
      <c r="AJC149" s="129"/>
      <c r="AJD149" s="129"/>
      <c r="AJE149" s="129"/>
      <c r="AJF149" s="129"/>
      <c r="AJG149" s="129"/>
      <c r="AJH149" s="129"/>
      <c r="AJI149" s="129"/>
      <c r="AJJ149" s="129"/>
      <c r="AJK149" s="129"/>
      <c r="AJL149" s="129"/>
      <c r="AJM149" s="129"/>
      <c r="AJN149" s="129"/>
      <c r="AJO149" s="129"/>
      <c r="AJP149" s="129"/>
      <c r="AJQ149" s="129"/>
      <c r="AJR149" s="129"/>
      <c r="AJS149" s="129"/>
      <c r="AJT149" s="129"/>
      <c r="AJU149" s="129"/>
      <c r="AJV149" s="129"/>
      <c r="AJW149" s="129"/>
      <c r="AJX149" s="129"/>
      <c r="AJY149" s="129"/>
      <c r="AJZ149" s="129"/>
      <c r="AKA149" s="129"/>
      <c r="AKB149" s="129"/>
      <c r="AKC149" s="129"/>
      <c r="AKD149" s="129"/>
      <c r="AKE149" s="129"/>
      <c r="AKF149" s="129"/>
      <c r="AKG149" s="129"/>
      <c r="AKH149" s="129"/>
      <c r="AKI149" s="129"/>
      <c r="AKJ149" s="129"/>
      <c r="AKK149" s="129"/>
      <c r="AKL149" s="129"/>
      <c r="AKM149" s="129"/>
      <c r="AKN149" s="129"/>
      <c r="AKO149" s="129"/>
      <c r="AKP149" s="129"/>
      <c r="AKQ149" s="129"/>
      <c r="AKR149" s="129"/>
      <c r="AKS149" s="129"/>
      <c r="AKT149" s="129"/>
      <c r="AKU149" s="129"/>
      <c r="AKV149" s="129"/>
      <c r="AKW149" s="129"/>
      <c r="AKX149" s="129"/>
      <c r="AKY149" s="129"/>
      <c r="AKZ149" s="129"/>
      <c r="ALA149" s="129"/>
      <c r="ALB149" s="129"/>
      <c r="ALC149" s="129"/>
      <c r="ALD149" s="129"/>
      <c r="ALE149" s="129"/>
      <c r="ALF149" s="129"/>
      <c r="ALG149" s="129"/>
      <c r="ALH149" s="129"/>
      <c r="ALI149" s="129"/>
      <c r="ALJ149" s="129"/>
      <c r="ALK149" s="129"/>
      <c r="ALL149" s="129"/>
      <c r="ALM149" s="129"/>
      <c r="ALN149" s="129"/>
      <c r="ALO149" s="129"/>
      <c r="ALP149" s="129"/>
      <c r="ALQ149" s="129"/>
      <c r="ALR149" s="129"/>
      <c r="ALS149" s="129"/>
      <c r="ALT149" s="129"/>
      <c r="ALU149" s="129"/>
      <c r="ALV149" s="129"/>
      <c r="ALW149" s="129"/>
      <c r="ALX149" s="129"/>
      <c r="ALY149" s="129"/>
      <c r="ALZ149" s="129"/>
      <c r="AMA149" s="129"/>
      <c r="AMB149" s="129"/>
      <c r="AMC149" s="129"/>
      <c r="AMD149" s="129"/>
      <c r="AME149" s="129"/>
      <c r="AMF149" s="129"/>
      <c r="AMG149" s="129"/>
      <c r="AMH149" s="129"/>
      <c r="AMI149" s="129"/>
      <c r="AMJ149" s="129"/>
      <c r="AMK149" s="129"/>
      <c r="AML149" s="129"/>
      <c r="AMM149" s="129"/>
      <c r="AMN149" s="129"/>
      <c r="AMO149" s="129"/>
      <c r="AMP149" s="129"/>
    </row>
    <row r="150" spans="1:1030" s="12" customFormat="1" x14ac:dyDescent="0.2">
      <c r="A150" s="9" t="str">
        <f t="shared" ref="A150" si="953">CONCATENATE(B150,"_",C150)</f>
        <v>ccr2_human_6GPX</v>
      </c>
      <c r="B150" s="9" t="s">
        <v>170</v>
      </c>
      <c r="C150" s="9" t="s">
        <v>1548</v>
      </c>
      <c r="D150" s="9" t="str">
        <f>IFERROR(MID(VLOOKUP($B150,Seqs!$A:$B,2,0),E150,1),"")</f>
        <v>F</v>
      </c>
      <c r="E150" s="9">
        <v>35</v>
      </c>
      <c r="F150" s="9" t="str">
        <f>IFERROR(MID(VLOOKUP($B150,Seqs!$A:$B,2,0),G150,1),"")</f>
        <v>K</v>
      </c>
      <c r="G150" s="9">
        <v>71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C</v>
      </c>
      <c r="M150" s="9">
        <v>75</v>
      </c>
      <c r="N150" s="9" t="str">
        <f>IFERROR(MID(VLOOKUP($B150,Seqs!$A:$B,2,0),O150,1),"")</f>
        <v>A</v>
      </c>
      <c r="O150" s="9">
        <v>102</v>
      </c>
      <c r="P150" s="9" t="str">
        <f>IFERROR(MID(VLOOKUP($B150,Seqs!$A:$B,2,0),Q150,1),"")</f>
        <v>E</v>
      </c>
      <c r="Q150" s="9">
        <v>105</v>
      </c>
      <c r="R150" s="9" t="str">
        <f>IFERROR(MID(VLOOKUP($B150,Seqs!$A:$B,2,0),S150,1),"")</f>
        <v>F</v>
      </c>
      <c r="S150" s="9">
        <v>108</v>
      </c>
      <c r="T150" s="9" t="str">
        <f>IFERROR(MID(VLOOKUP($B150,Seqs!$A:$B,2,0),U150,1),"")</f>
        <v>G</v>
      </c>
      <c r="U150" s="9">
        <v>109</v>
      </c>
      <c r="V150" s="9" t="str">
        <f>IFERROR(MID(VLOOKUP($B150,Seqs!$A:$B,2,0),W150,1),"")</f>
        <v>H</v>
      </c>
      <c r="W150" s="9">
        <v>144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R</v>
      </c>
      <c r="AC150" s="9">
        <v>152</v>
      </c>
      <c r="AD150" s="9" t="str">
        <f>IFERROR(MID(VLOOKUP($B150,Seqs!$A:$B,2,0),AE150,1),"")</f>
        <v>T</v>
      </c>
      <c r="AE150" s="9">
        <v>179</v>
      </c>
      <c r="AF150" s="9" t="str">
        <f>IFERROR(MID(VLOOKUP($B150,Seqs!$A:$B,2,0),AG150,1),"")</f>
        <v>C</v>
      </c>
      <c r="AG150" s="9">
        <v>190</v>
      </c>
      <c r="AH150" s="9" t="str">
        <f>IFERROR(MID(VLOOKUP($B150,Seqs!$A:$B,2,0),AI150,1),"")</f>
        <v>P</v>
      </c>
      <c r="AI150" s="9">
        <v>192</v>
      </c>
      <c r="AJ150" s="9" t="str">
        <f>IFERROR(MID(VLOOKUP($B150,Seqs!$A:$B,2,0),AK150,1),"")</f>
        <v>P</v>
      </c>
      <c r="AK150" s="9">
        <v>195</v>
      </c>
      <c r="AL150" s="9" t="str">
        <f>IFERROR(MID(VLOOKUP($B150,Seqs!$A:$B,2,0),AM150,1),"")</f>
        <v>L</v>
      </c>
      <c r="AM150" s="9">
        <v>229</v>
      </c>
      <c r="AN150" s="9" t="str">
        <f>IFERROR(MID(VLOOKUP($B150,Seqs!$A:$B,2,0),AO150,1),"")</f>
        <v>A</v>
      </c>
      <c r="AO150" s="9">
        <v>241</v>
      </c>
      <c r="AP150" s="9" t="str">
        <f>IFERROR(MID(VLOOKUP($B150,Seqs!$A:$B,2,0),AQ150,1),"")</f>
        <v>F</v>
      </c>
      <c r="AQ150" s="9">
        <v>268</v>
      </c>
      <c r="AR150" s="9" t="str">
        <f>IFERROR(MID(VLOOKUP($B150,Seqs!$A:$B,2,0),AS150,1),"")</f>
        <v>N</v>
      </c>
      <c r="AS150" s="9">
        <v>276</v>
      </c>
      <c r="AT150" s="9" t="str">
        <f>IFERROR(MID(VLOOKUP($B150,Seqs!$A:$B,2,0),AU150,1),"")</f>
        <v>V</v>
      </c>
      <c r="AU150" s="9">
        <v>308</v>
      </c>
      <c r="AV150" s="9" t="str">
        <f>IFERROR(MID(VLOOKUP($B150,Seqs!$A:$B,2,0),AW150,1),"")</f>
        <v/>
      </c>
      <c r="AW150" s="9" t="s">
        <v>23</v>
      </c>
      <c r="AX150" s="9" t="str">
        <f>IFERROR(MID(VLOOKUP($B150,Seqs!$A:$B,2,0),AY150,1),"")</f>
        <v/>
      </c>
      <c r="AY150" s="9" t="s">
        <v>23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 t="shared" ref="BB150" si="954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 t="shared" ref="BC150" si="955">_xlfn.AGGREGATE(9,6,CH150:CS150)-_xlfn.AGGREGATE(9,6,BV150:CG150)+12</f>
        <v>235</v>
      </c>
      <c r="BD150" s="127" t="s">
        <v>23</v>
      </c>
      <c r="BE150" s="9" t="s">
        <v>1375</v>
      </c>
      <c r="BF150" s="120">
        <v>2.7</v>
      </c>
      <c r="BG150" s="51" t="s">
        <v>1</v>
      </c>
      <c r="BH150" s="51" t="s">
        <v>1</v>
      </c>
      <c r="BJ150" s="111" t="s">
        <v>1288</v>
      </c>
      <c r="BK150" s="112" t="s">
        <v>1288</v>
      </c>
      <c r="BL150" s="112" t="s">
        <v>1288</v>
      </c>
      <c r="BM150" s="112" t="s">
        <v>1288</v>
      </c>
      <c r="BN150" s="112" t="s">
        <v>1288</v>
      </c>
      <c r="BO150" s="112" t="s">
        <v>1288</v>
      </c>
      <c r="BP150" s="112" t="s">
        <v>1288</v>
      </c>
      <c r="BQ150" s="112" t="s">
        <v>1288</v>
      </c>
      <c r="BR150" s="112" t="s">
        <v>1288</v>
      </c>
      <c r="BS150" s="112" t="s">
        <v>1288</v>
      </c>
      <c r="BT150" s="112" t="s">
        <v>1288</v>
      </c>
      <c r="BU150" s="112" t="s">
        <v>1288</v>
      </c>
      <c r="BV150" s="111">
        <f t="shared" ref="BV150" si="956">E150</f>
        <v>35</v>
      </c>
      <c r="BW150" s="113" t="str">
        <f t="shared" ref="BW150" si="957">I150</f>
        <v>-</v>
      </c>
      <c r="BX150" s="114">
        <f t="shared" ref="BX150" si="958">M150</f>
        <v>75</v>
      </c>
      <c r="BY150" s="113">
        <f t="shared" ref="BY150" si="959">Q150</f>
        <v>105</v>
      </c>
      <c r="BZ150" s="114">
        <f t="shared" ref="BZ150" si="960">U150</f>
        <v>109</v>
      </c>
      <c r="CA150" s="113" t="str">
        <f t="shared" ref="CA150" si="961">Y150</f>
        <v>-</v>
      </c>
      <c r="CB150" s="114">
        <f t="shared" ref="CB150" si="962">AC150</f>
        <v>152</v>
      </c>
      <c r="CC150" s="113">
        <f t="shared" ref="CC150" si="963">AG150</f>
        <v>190</v>
      </c>
      <c r="CD150" s="114">
        <f t="shared" ref="CD150" si="964">AK150</f>
        <v>195</v>
      </c>
      <c r="CE150" s="113">
        <f t="shared" ref="CE150" si="965">AO150</f>
        <v>241</v>
      </c>
      <c r="CF150" s="114">
        <f t="shared" ref="CF150" si="966">AS150</f>
        <v>276</v>
      </c>
      <c r="CG150" s="113" t="str">
        <f t="shared" ref="CG150" si="967">AW150</f>
        <v>-</v>
      </c>
      <c r="CH150" s="111">
        <f t="shared" ref="CH150" si="968">G150</f>
        <v>71</v>
      </c>
      <c r="CI150" s="113" t="str">
        <f t="shared" ref="CI150" si="969">K150</f>
        <v>-</v>
      </c>
      <c r="CJ150" s="114">
        <f t="shared" ref="CJ150" si="970">O150</f>
        <v>102</v>
      </c>
      <c r="CK150" s="114">
        <f t="shared" ref="CK150" si="971">S150</f>
        <v>108</v>
      </c>
      <c r="CL150" s="114">
        <f t="shared" ref="CL150" si="972">W150</f>
        <v>144</v>
      </c>
      <c r="CM150" s="114" t="str">
        <f t="shared" ref="CM150" si="973">AA150</f>
        <v>-</v>
      </c>
      <c r="CN150" s="114">
        <f t="shared" ref="CN150" si="974">AE150</f>
        <v>179</v>
      </c>
      <c r="CO150" s="114">
        <f t="shared" ref="CO150" si="975">AI150</f>
        <v>192</v>
      </c>
      <c r="CP150" s="114">
        <f t="shared" ref="CP150" si="976">AM150</f>
        <v>229</v>
      </c>
      <c r="CQ150" s="114">
        <f t="shared" ref="CQ150" si="977">AQ150</f>
        <v>268</v>
      </c>
      <c r="CR150" s="114">
        <f t="shared" ref="CR150" si="978">AU150</f>
        <v>308</v>
      </c>
      <c r="CS150" s="114" t="str">
        <f t="shared" ref="CS150" si="979">AY150</f>
        <v>-</v>
      </c>
      <c r="CT150" s="109" t="e">
        <f t="shared" ref="CT150" si="980">M150-K150</f>
        <v>#VALUE!</v>
      </c>
      <c r="CU150" s="129"/>
      <c r="CV150" s="129"/>
      <c r="CW150" s="129"/>
      <c r="CX150" s="129"/>
      <c r="CY150" s="129"/>
      <c r="CZ150" s="129"/>
      <c r="DA150" s="129"/>
      <c r="DB150" s="129"/>
      <c r="DC150" s="129"/>
      <c r="DD150" s="129"/>
      <c r="DE150" s="129"/>
      <c r="DF150" s="129"/>
      <c r="DG150" s="129"/>
      <c r="DH150" s="129"/>
      <c r="DI150" s="129"/>
      <c r="DJ150" s="129"/>
      <c r="DK150" s="129"/>
      <c r="DL150" s="129"/>
      <c r="DM150" s="129"/>
      <c r="DN150" s="129"/>
      <c r="DO150" s="129"/>
      <c r="DP150" s="129"/>
      <c r="DQ150" s="129"/>
      <c r="DR150" s="129"/>
      <c r="DS150" s="129"/>
      <c r="DT150" s="129"/>
      <c r="DU150" s="129"/>
      <c r="DV150" s="129"/>
      <c r="DW150" s="129"/>
      <c r="DX150" s="129"/>
      <c r="DY150" s="129"/>
      <c r="DZ150" s="129"/>
      <c r="EA150" s="129"/>
      <c r="EB150" s="129"/>
      <c r="EC150" s="129"/>
      <c r="ED150" s="129"/>
      <c r="EE150" s="129"/>
      <c r="EF150" s="129"/>
      <c r="EG150" s="129"/>
      <c r="EH150" s="129"/>
      <c r="EI150" s="129"/>
      <c r="EJ150" s="129"/>
      <c r="EK150" s="129"/>
      <c r="EL150" s="129"/>
      <c r="EM150" s="129"/>
      <c r="EN150" s="129"/>
      <c r="EO150" s="129"/>
      <c r="EP150" s="129"/>
      <c r="EQ150" s="129"/>
      <c r="ER150" s="129"/>
      <c r="ES150" s="129"/>
      <c r="ET150" s="129"/>
      <c r="EU150" s="129"/>
      <c r="EV150" s="129"/>
      <c r="EW150" s="129"/>
      <c r="EX150" s="129"/>
      <c r="EY150" s="129"/>
      <c r="EZ150" s="129"/>
      <c r="FA150" s="129"/>
      <c r="FB150" s="129"/>
      <c r="FC150" s="129"/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/>
      <c r="IZ150" s="129"/>
      <c r="JA150" s="129"/>
      <c r="JB150" s="129"/>
      <c r="JC150" s="129"/>
      <c r="JD150" s="129"/>
      <c r="JE150" s="129"/>
      <c r="JF150" s="129"/>
      <c r="JG150" s="129"/>
      <c r="JH150" s="129"/>
      <c r="JI150" s="129"/>
      <c r="JJ150" s="129"/>
      <c r="JK150" s="129"/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29"/>
      <c r="OS150" s="129"/>
      <c r="OT150" s="129"/>
      <c r="OU150" s="129"/>
      <c r="OV150" s="129"/>
      <c r="OW150" s="129"/>
      <c r="OX150" s="129"/>
      <c r="OY150" s="129"/>
      <c r="OZ150" s="129"/>
      <c r="PA150" s="129"/>
      <c r="PB150" s="129"/>
      <c r="PC150" s="129"/>
      <c r="PD150" s="129"/>
      <c r="PE150" s="129"/>
      <c r="PF150" s="129"/>
      <c r="PG150" s="129"/>
      <c r="PH150" s="129"/>
      <c r="PI150" s="129"/>
      <c r="PJ150" s="129"/>
      <c r="PK150" s="129"/>
      <c r="PL150" s="129"/>
      <c r="PM150" s="129"/>
      <c r="PN150" s="129"/>
      <c r="PO150" s="129"/>
      <c r="PP150" s="129"/>
      <c r="PQ150" s="129"/>
      <c r="PR150" s="129"/>
      <c r="PS150" s="129"/>
      <c r="PT150" s="129"/>
      <c r="PU150" s="129"/>
      <c r="PV150" s="129"/>
      <c r="PW150" s="129"/>
      <c r="PX150" s="129"/>
      <c r="PY150" s="129"/>
      <c r="PZ150" s="129"/>
      <c r="QA150" s="129"/>
      <c r="QB150" s="129"/>
      <c r="QC150" s="129"/>
      <c r="QD150" s="129"/>
      <c r="QE150" s="129"/>
      <c r="QF150" s="129"/>
      <c r="QG150" s="129"/>
      <c r="QH150" s="129"/>
      <c r="QI150" s="129"/>
      <c r="QJ150" s="129"/>
      <c r="QK150" s="129"/>
      <c r="QL150" s="129"/>
      <c r="QM150" s="129"/>
      <c r="QN150" s="129"/>
      <c r="QO150" s="129"/>
      <c r="QP150" s="129"/>
      <c r="QQ150" s="129"/>
      <c r="QR150" s="129"/>
      <c r="QS150" s="129"/>
      <c r="QT150" s="129"/>
      <c r="QU150" s="129"/>
      <c r="QV150" s="129"/>
      <c r="QW150" s="129"/>
      <c r="QX150" s="129"/>
      <c r="QY150" s="129"/>
      <c r="QZ150" s="129"/>
      <c r="RA150" s="129"/>
      <c r="RB150" s="129"/>
      <c r="RC150" s="129"/>
      <c r="RD150" s="129"/>
      <c r="RE150" s="129"/>
      <c r="RF150" s="129"/>
      <c r="RG150" s="129"/>
      <c r="RH150" s="129"/>
      <c r="RI150" s="129"/>
      <c r="RJ150" s="129"/>
      <c r="RK150" s="129"/>
      <c r="RL150" s="129"/>
      <c r="RM150" s="129"/>
      <c r="RN150" s="129"/>
      <c r="RO150" s="129"/>
      <c r="RP150" s="129"/>
      <c r="RQ150" s="129"/>
      <c r="RR150" s="129"/>
      <c r="RS150" s="129"/>
      <c r="RT150" s="129"/>
      <c r="RU150" s="129"/>
      <c r="RV150" s="129"/>
      <c r="RW150" s="129"/>
      <c r="RX150" s="129"/>
      <c r="RY150" s="129"/>
      <c r="RZ150" s="129"/>
      <c r="SA150" s="129"/>
      <c r="SB150" s="129"/>
      <c r="SC150" s="129"/>
      <c r="SD150" s="129"/>
      <c r="SE150" s="129"/>
      <c r="SF150" s="129"/>
      <c r="SG150" s="129"/>
      <c r="SH150" s="129"/>
      <c r="SI150" s="129"/>
      <c r="SJ150" s="129"/>
      <c r="SK150" s="129"/>
      <c r="SL150" s="129"/>
      <c r="SM150" s="129"/>
      <c r="SN150" s="129"/>
      <c r="SO150" s="129"/>
      <c r="SP150" s="129"/>
      <c r="SQ150" s="129"/>
      <c r="SR150" s="129"/>
      <c r="SS150" s="129"/>
      <c r="ST150" s="129"/>
      <c r="SU150" s="129"/>
      <c r="SV150" s="129"/>
      <c r="SW150" s="129"/>
      <c r="SX150" s="129"/>
      <c r="SY150" s="129"/>
      <c r="SZ150" s="129"/>
      <c r="TA150" s="129"/>
      <c r="TB150" s="129"/>
      <c r="TC150" s="129"/>
      <c r="TD150" s="129"/>
      <c r="TE150" s="129"/>
      <c r="TF150" s="129"/>
      <c r="TG150" s="129"/>
      <c r="TH150" s="129"/>
      <c r="TI150" s="129"/>
      <c r="TJ150" s="129"/>
      <c r="TK150" s="129"/>
      <c r="TL150" s="129"/>
      <c r="TM150" s="129"/>
      <c r="TN150" s="129"/>
      <c r="TO150" s="129"/>
      <c r="TP150" s="129"/>
      <c r="TQ150" s="129"/>
      <c r="TR150" s="129"/>
      <c r="TS150" s="129"/>
      <c r="TT150" s="129"/>
      <c r="TU150" s="129"/>
      <c r="TV150" s="129"/>
      <c r="TW150" s="129"/>
      <c r="TX150" s="129"/>
      <c r="TY150" s="129"/>
      <c r="TZ150" s="129"/>
      <c r="UA150" s="129"/>
      <c r="UB150" s="129"/>
      <c r="UC150" s="129"/>
      <c r="UD150" s="129"/>
      <c r="UE150" s="129"/>
      <c r="UF150" s="129"/>
      <c r="UG150" s="129"/>
      <c r="UH150" s="129"/>
      <c r="UI150" s="129"/>
      <c r="UJ150" s="129"/>
      <c r="UK150" s="129"/>
      <c r="UL150" s="129"/>
      <c r="UM150" s="129"/>
      <c r="UN150" s="129"/>
      <c r="UO150" s="129"/>
      <c r="UP150" s="129"/>
      <c r="UQ150" s="129"/>
      <c r="UR150" s="129"/>
      <c r="US150" s="129"/>
      <c r="UT150" s="129"/>
      <c r="UU150" s="129"/>
      <c r="UV150" s="129"/>
      <c r="UW150" s="129"/>
      <c r="UX150" s="129"/>
      <c r="UY150" s="129"/>
      <c r="UZ150" s="129"/>
      <c r="VA150" s="129"/>
      <c r="VB150" s="129"/>
      <c r="VC150" s="129"/>
      <c r="VD150" s="129"/>
      <c r="VE150" s="129"/>
      <c r="VF150" s="129"/>
      <c r="VG150" s="129"/>
      <c r="VH150" s="129"/>
      <c r="VI150" s="129"/>
      <c r="VJ150" s="129"/>
      <c r="VK150" s="129"/>
      <c r="VL150" s="129"/>
      <c r="VM150" s="129"/>
      <c r="VN150" s="129"/>
      <c r="VO150" s="129"/>
      <c r="VP150" s="129"/>
      <c r="VQ150" s="129"/>
      <c r="VR150" s="129"/>
      <c r="VS150" s="129"/>
      <c r="VT150" s="129"/>
      <c r="VU150" s="129"/>
      <c r="VV150" s="129"/>
      <c r="VW150" s="129"/>
      <c r="VX150" s="129"/>
      <c r="VY150" s="129"/>
      <c r="VZ150" s="129"/>
      <c r="WA150" s="129"/>
      <c r="WB150" s="129"/>
      <c r="WC150" s="129"/>
      <c r="WD150" s="129"/>
      <c r="WE150" s="129"/>
      <c r="WF150" s="129"/>
      <c r="WG150" s="129"/>
      <c r="WH150" s="129"/>
      <c r="WI150" s="129"/>
      <c r="WJ150" s="129"/>
      <c r="WK150" s="129"/>
      <c r="WL150" s="129"/>
      <c r="WM150" s="129"/>
      <c r="WN150" s="129"/>
      <c r="WO150" s="129"/>
      <c r="WP150" s="129"/>
      <c r="WQ150" s="129"/>
      <c r="WR150" s="129"/>
      <c r="WS150" s="129"/>
      <c r="WT150" s="129"/>
      <c r="WU150" s="129"/>
      <c r="WV150" s="129"/>
      <c r="WW150" s="129"/>
      <c r="WX150" s="129"/>
      <c r="WY150" s="129"/>
      <c r="WZ150" s="129"/>
      <c r="XA150" s="129"/>
      <c r="XB150" s="129"/>
      <c r="XC150" s="129"/>
      <c r="XD150" s="129"/>
      <c r="XE150" s="129"/>
      <c r="XF150" s="129"/>
      <c r="XG150" s="129"/>
      <c r="XH150" s="129"/>
      <c r="XI150" s="129"/>
      <c r="XJ150" s="129"/>
      <c r="XK150" s="129"/>
      <c r="XL150" s="129"/>
      <c r="XM150" s="129"/>
      <c r="XN150" s="129"/>
      <c r="XO150" s="129"/>
      <c r="XP150" s="129"/>
      <c r="XQ150" s="129"/>
      <c r="XR150" s="129"/>
      <c r="XS150" s="129"/>
      <c r="XT150" s="129"/>
      <c r="XU150" s="129"/>
      <c r="XV150" s="129"/>
      <c r="XW150" s="129"/>
      <c r="XX150" s="129"/>
      <c r="XY150" s="129"/>
      <c r="XZ150" s="129"/>
      <c r="YA150" s="129"/>
      <c r="YB150" s="129"/>
      <c r="YC150" s="129"/>
      <c r="YD150" s="129"/>
      <c r="YE150" s="129"/>
      <c r="YF150" s="129"/>
      <c r="YG150" s="129"/>
      <c r="YH150" s="129"/>
      <c r="YI150" s="129"/>
      <c r="YJ150" s="129"/>
      <c r="YK150" s="129"/>
      <c r="YL150" s="129"/>
      <c r="YM150" s="129"/>
      <c r="YN150" s="129"/>
      <c r="YO150" s="129"/>
      <c r="YP150" s="129"/>
      <c r="YQ150" s="129"/>
      <c r="YR150" s="129"/>
      <c r="YS150" s="129"/>
      <c r="YT150" s="129"/>
      <c r="YU150" s="129"/>
      <c r="YV150" s="129"/>
      <c r="YW150" s="129"/>
      <c r="YX150" s="129"/>
      <c r="YY150" s="129"/>
      <c r="YZ150" s="129"/>
      <c r="ZA150" s="129"/>
      <c r="ZB150" s="129"/>
      <c r="ZC150" s="129"/>
      <c r="ZD150" s="129"/>
      <c r="ZE150" s="129"/>
      <c r="ZF150" s="129"/>
      <c r="ZG150" s="129"/>
      <c r="ZH150" s="129"/>
      <c r="ZI150" s="129"/>
      <c r="ZJ150" s="129"/>
      <c r="ZK150" s="129"/>
      <c r="ZL150" s="129"/>
      <c r="ZM150" s="129"/>
      <c r="ZN150" s="129"/>
      <c r="ZO150" s="129"/>
      <c r="ZP150" s="129"/>
      <c r="ZQ150" s="129"/>
      <c r="ZR150" s="129"/>
      <c r="ZS150" s="129"/>
      <c r="ZT150" s="129"/>
      <c r="ZU150" s="129"/>
      <c r="ZV150" s="129"/>
      <c r="ZW150" s="129"/>
      <c r="ZX150" s="129"/>
      <c r="ZY150" s="129"/>
      <c r="ZZ150" s="129"/>
      <c r="AAA150" s="129"/>
      <c r="AAB150" s="129"/>
      <c r="AAC150" s="129"/>
      <c r="AAD150" s="129"/>
      <c r="AAE150" s="129"/>
      <c r="AAF150" s="129"/>
      <c r="AAG150" s="129"/>
      <c r="AAH150" s="129"/>
      <c r="AAI150" s="129"/>
      <c r="AAJ150" s="129"/>
      <c r="AAK150" s="129"/>
      <c r="AAL150" s="129"/>
      <c r="AAM150" s="129"/>
      <c r="AAN150" s="129"/>
      <c r="AAO150" s="129"/>
      <c r="AAP150" s="129"/>
      <c r="AAQ150" s="129"/>
      <c r="AAR150" s="129"/>
      <c r="AAS150" s="129"/>
      <c r="AAT150" s="129"/>
      <c r="AAU150" s="129"/>
      <c r="AAV150" s="129"/>
      <c r="AAW150" s="129"/>
      <c r="AAX150" s="129"/>
      <c r="AAY150" s="129"/>
      <c r="AAZ150" s="129"/>
      <c r="ABA150" s="129"/>
      <c r="ABB150" s="129"/>
      <c r="ABC150" s="129"/>
      <c r="ABD150" s="129"/>
      <c r="ABE150" s="129"/>
      <c r="ABF150" s="129"/>
      <c r="ABG150" s="129"/>
      <c r="ABH150" s="129"/>
      <c r="ABI150" s="129"/>
      <c r="ABJ150" s="129"/>
      <c r="ABK150" s="129"/>
      <c r="ABL150" s="129"/>
      <c r="ABM150" s="129"/>
      <c r="ABN150" s="129"/>
      <c r="ABO150" s="129"/>
      <c r="ABP150" s="129"/>
      <c r="ABQ150" s="129"/>
      <c r="ABR150" s="129"/>
      <c r="ABS150" s="129"/>
      <c r="ABT150" s="129"/>
      <c r="ABU150" s="129"/>
      <c r="ABV150" s="129"/>
      <c r="ABW150" s="129"/>
      <c r="ABX150" s="129"/>
      <c r="ABY150" s="129"/>
      <c r="ABZ150" s="129"/>
      <c r="ACA150" s="129"/>
      <c r="ACB150" s="129"/>
      <c r="ACC150" s="129"/>
      <c r="ACD150" s="129"/>
      <c r="ACE150" s="129"/>
      <c r="ACF150" s="129"/>
      <c r="ACG150" s="129"/>
      <c r="ACH150" s="129"/>
      <c r="ACI150" s="129"/>
      <c r="ACJ150" s="129"/>
      <c r="ACK150" s="129"/>
      <c r="ACL150" s="129"/>
      <c r="ACM150" s="129"/>
      <c r="ACN150" s="129"/>
      <c r="ACO150" s="129"/>
      <c r="ACP150" s="129"/>
      <c r="ACQ150" s="129"/>
      <c r="ACR150" s="129"/>
      <c r="ACS150" s="129"/>
      <c r="ACT150" s="129"/>
      <c r="ACU150" s="129"/>
      <c r="ACV150" s="129"/>
      <c r="ACW150" s="129"/>
      <c r="ACX150" s="129"/>
      <c r="ACY150" s="129"/>
      <c r="ACZ150" s="129"/>
      <c r="ADA150" s="129"/>
      <c r="ADB150" s="129"/>
      <c r="ADC150" s="129"/>
      <c r="ADD150" s="129"/>
      <c r="ADE150" s="129"/>
      <c r="ADF150" s="129"/>
      <c r="ADG150" s="129"/>
      <c r="ADH150" s="129"/>
      <c r="ADI150" s="129"/>
      <c r="ADJ150" s="129"/>
      <c r="ADK150" s="129"/>
      <c r="ADL150" s="129"/>
      <c r="ADM150" s="129"/>
      <c r="ADN150" s="129"/>
      <c r="ADO150" s="129"/>
      <c r="ADP150" s="129"/>
      <c r="ADQ150" s="129"/>
      <c r="ADR150" s="129"/>
      <c r="ADS150" s="129"/>
      <c r="ADT150" s="129"/>
      <c r="ADU150" s="129"/>
      <c r="ADV150" s="129"/>
      <c r="ADW150" s="129"/>
      <c r="ADX150" s="129"/>
      <c r="ADY150" s="129"/>
      <c r="ADZ150" s="129"/>
      <c r="AEA150" s="129"/>
      <c r="AEB150" s="129"/>
      <c r="AEC150" s="129"/>
      <c r="AED150" s="129"/>
      <c r="AEE150" s="129"/>
      <c r="AEF150" s="129"/>
      <c r="AEG150" s="129"/>
      <c r="AEH150" s="129"/>
      <c r="AEI150" s="129"/>
      <c r="AEJ150" s="129"/>
      <c r="AEK150" s="129"/>
      <c r="AEL150" s="129"/>
      <c r="AEM150" s="129"/>
      <c r="AEN150" s="129"/>
      <c r="AEO150" s="129"/>
      <c r="AEP150" s="129"/>
      <c r="AEQ150" s="129"/>
      <c r="AER150" s="129"/>
      <c r="AES150" s="129"/>
      <c r="AET150" s="129"/>
      <c r="AEU150" s="129"/>
      <c r="AEV150" s="129"/>
      <c r="AEW150" s="129"/>
      <c r="AEX150" s="129"/>
      <c r="AEY150" s="129"/>
      <c r="AEZ150" s="129"/>
      <c r="AFA150" s="129"/>
      <c r="AFB150" s="129"/>
      <c r="AFC150" s="129"/>
      <c r="AFD150" s="129"/>
      <c r="AFE150" s="129"/>
      <c r="AFF150" s="129"/>
      <c r="AFG150" s="129"/>
      <c r="AFH150" s="129"/>
      <c r="AFI150" s="129"/>
      <c r="AFJ150" s="129"/>
      <c r="AFK150" s="129"/>
      <c r="AFL150" s="129"/>
      <c r="AFM150" s="129"/>
      <c r="AFN150" s="129"/>
      <c r="AFO150" s="129"/>
      <c r="AFP150" s="129"/>
      <c r="AFQ150" s="129"/>
      <c r="AFR150" s="129"/>
      <c r="AFS150" s="129"/>
      <c r="AFT150" s="129"/>
      <c r="AFU150" s="129"/>
      <c r="AFV150" s="129"/>
      <c r="AFW150" s="129"/>
      <c r="AFX150" s="129"/>
      <c r="AFY150" s="129"/>
      <c r="AFZ150" s="129"/>
      <c r="AGA150" s="129"/>
      <c r="AGB150" s="129"/>
      <c r="AGC150" s="129"/>
      <c r="AGD150" s="129"/>
      <c r="AGE150" s="129"/>
      <c r="AGF150" s="129"/>
      <c r="AGG150" s="129"/>
      <c r="AGH150" s="129"/>
      <c r="AGI150" s="129"/>
      <c r="AGJ150" s="129"/>
      <c r="AGK150" s="129"/>
      <c r="AGL150" s="129"/>
      <c r="AGM150" s="129"/>
      <c r="AGN150" s="129"/>
      <c r="AGO150" s="129"/>
      <c r="AGP150" s="129"/>
      <c r="AGQ150" s="129"/>
      <c r="AGR150" s="129"/>
      <c r="AGS150" s="129"/>
      <c r="AGT150" s="129"/>
      <c r="AGU150" s="129"/>
      <c r="AGV150" s="129"/>
      <c r="AGW150" s="129"/>
      <c r="AGX150" s="129"/>
      <c r="AGY150" s="129"/>
      <c r="AGZ150" s="129"/>
      <c r="AHA150" s="129"/>
      <c r="AHB150" s="129"/>
      <c r="AHC150" s="129"/>
      <c r="AHD150" s="129"/>
      <c r="AHE150" s="129"/>
      <c r="AHF150" s="129"/>
      <c r="AHG150" s="129"/>
      <c r="AHH150" s="129"/>
      <c r="AHI150" s="129"/>
      <c r="AHJ150" s="129"/>
      <c r="AHK150" s="129"/>
      <c r="AHL150" s="129"/>
      <c r="AHM150" s="129"/>
      <c r="AHN150" s="129"/>
      <c r="AHO150" s="129"/>
      <c r="AHP150" s="129"/>
      <c r="AHQ150" s="129"/>
      <c r="AHR150" s="129"/>
      <c r="AHS150" s="129"/>
      <c r="AHT150" s="129"/>
      <c r="AHU150" s="129"/>
      <c r="AHV150" s="129"/>
      <c r="AHW150" s="129"/>
      <c r="AHX150" s="129"/>
      <c r="AHY150" s="129"/>
      <c r="AHZ150" s="129"/>
      <c r="AIA150" s="129"/>
      <c r="AIB150" s="129"/>
      <c r="AIC150" s="129"/>
      <c r="AID150" s="129"/>
      <c r="AIE150" s="129"/>
      <c r="AIF150" s="129"/>
      <c r="AIG150" s="129"/>
      <c r="AIH150" s="129"/>
      <c r="AII150" s="129"/>
      <c r="AIJ150" s="129"/>
      <c r="AIK150" s="129"/>
      <c r="AIL150" s="129"/>
      <c r="AIM150" s="129"/>
      <c r="AIN150" s="129"/>
      <c r="AIO150" s="129"/>
      <c r="AIP150" s="129"/>
      <c r="AIQ150" s="129"/>
      <c r="AIR150" s="129"/>
      <c r="AIS150" s="129"/>
      <c r="AIT150" s="129"/>
      <c r="AIU150" s="129"/>
      <c r="AIV150" s="129"/>
      <c r="AIW150" s="129"/>
      <c r="AIX150" s="129"/>
      <c r="AIY150" s="129"/>
      <c r="AIZ150" s="129"/>
      <c r="AJA150" s="129"/>
      <c r="AJB150" s="129"/>
      <c r="AJC150" s="129"/>
      <c r="AJD150" s="129"/>
      <c r="AJE150" s="129"/>
      <c r="AJF150" s="129"/>
      <c r="AJG150" s="129"/>
      <c r="AJH150" s="129"/>
      <c r="AJI150" s="129"/>
      <c r="AJJ150" s="129"/>
      <c r="AJK150" s="129"/>
      <c r="AJL150" s="129"/>
      <c r="AJM150" s="129"/>
      <c r="AJN150" s="129"/>
      <c r="AJO150" s="129"/>
      <c r="AJP150" s="129"/>
      <c r="AJQ150" s="129"/>
      <c r="AJR150" s="129"/>
      <c r="AJS150" s="129"/>
      <c r="AJT150" s="129"/>
      <c r="AJU150" s="129"/>
      <c r="AJV150" s="129"/>
      <c r="AJW150" s="129"/>
      <c r="AJX150" s="129"/>
      <c r="AJY150" s="129"/>
      <c r="AJZ150" s="129"/>
      <c r="AKA150" s="129"/>
      <c r="AKB150" s="129"/>
      <c r="AKC150" s="129"/>
      <c r="AKD150" s="129"/>
      <c r="AKE150" s="129"/>
      <c r="AKF150" s="129"/>
      <c r="AKG150" s="129"/>
      <c r="AKH150" s="129"/>
      <c r="AKI150" s="129"/>
      <c r="AKJ150" s="129"/>
      <c r="AKK150" s="129"/>
      <c r="AKL150" s="129"/>
      <c r="AKM150" s="129"/>
      <c r="AKN150" s="129"/>
      <c r="AKO150" s="129"/>
      <c r="AKP150" s="129"/>
      <c r="AKQ150" s="129"/>
      <c r="AKR150" s="129"/>
      <c r="AKS150" s="129"/>
      <c r="AKT150" s="129"/>
      <c r="AKU150" s="129"/>
      <c r="AKV150" s="129"/>
      <c r="AKW150" s="129"/>
      <c r="AKX150" s="129"/>
      <c r="AKY150" s="129"/>
      <c r="AKZ150" s="129"/>
      <c r="ALA150" s="129"/>
      <c r="ALB150" s="129"/>
      <c r="ALC150" s="129"/>
      <c r="ALD150" s="129"/>
      <c r="ALE150" s="129"/>
      <c r="ALF150" s="129"/>
      <c r="ALG150" s="129"/>
      <c r="ALH150" s="129"/>
      <c r="ALI150" s="129"/>
      <c r="ALJ150" s="129"/>
      <c r="ALK150" s="129"/>
      <c r="ALL150" s="129"/>
      <c r="ALM150" s="129"/>
      <c r="ALN150" s="129"/>
      <c r="ALO150" s="129"/>
      <c r="ALP150" s="129"/>
      <c r="ALQ150" s="129"/>
      <c r="ALR150" s="129"/>
      <c r="ALS150" s="129"/>
      <c r="ALT150" s="129"/>
      <c r="ALU150" s="129"/>
      <c r="ALV150" s="129"/>
      <c r="ALW150" s="129"/>
      <c r="ALX150" s="129"/>
      <c r="ALY150" s="129"/>
      <c r="ALZ150" s="129"/>
      <c r="AMA150" s="129"/>
      <c r="AMB150" s="129"/>
      <c r="AMC150" s="129"/>
      <c r="AMD150" s="129"/>
      <c r="AME150" s="129"/>
      <c r="AMF150" s="129"/>
      <c r="AMG150" s="129"/>
      <c r="AMH150" s="129"/>
      <c r="AMI150" s="129"/>
      <c r="AMJ150" s="129"/>
      <c r="AMK150" s="129"/>
      <c r="AML150" s="129"/>
      <c r="AMM150" s="129"/>
      <c r="AMN150" s="129"/>
      <c r="AMO150" s="129"/>
      <c r="AMP150" s="129"/>
    </row>
    <row r="151" spans="1:1030" x14ac:dyDescent="0.2">
      <c r="A151" s="3" t="str">
        <f t="shared" si="839"/>
        <v>ccr5_human__wt</v>
      </c>
      <c r="B151" s="3" t="s">
        <v>173</v>
      </c>
      <c r="C151" s="3" t="s">
        <v>100</v>
      </c>
      <c r="D151" s="3" t="str">
        <f>IFERROR(MID(VLOOKUP($B151,Seqs!$A:$B,2,0),E151,1),"")</f>
        <v>K</v>
      </c>
      <c r="E151" s="3">
        <v>22</v>
      </c>
      <c r="F151" s="3" t="str">
        <f>IFERROR(MID(VLOOKUP($B151,Seqs!$A:$B,2,0),G151,1),"")</f>
        <v>C</v>
      </c>
      <c r="G151" s="3">
        <v>58</v>
      </c>
      <c r="H151" s="3" t="str">
        <f>IFERROR(MID(VLOOKUP($B151,Seqs!$A:$B,2,0),I151,1),"")</f>
        <v>K</v>
      </c>
      <c r="I151" s="23">
        <v>59</v>
      </c>
      <c r="J151" s="3" t="str">
        <f>IFERROR(MID(VLOOKUP($B151,Seqs!$A:$B,2,0),K151,1),"")</f>
        <v>K</v>
      </c>
      <c r="K151" s="23">
        <v>62</v>
      </c>
      <c r="L151" s="3" t="str">
        <f>IFERROR(MID(VLOOKUP($B151,Seqs!$A:$B,2,0),M151,1),"")</f>
        <v>S</v>
      </c>
      <c r="M151" s="3">
        <v>63</v>
      </c>
      <c r="N151" s="3" t="str">
        <f>IFERROR(MID(VLOOKUP($B151,Seqs!$A:$B,2,0),O151,1),"")</f>
        <v>A</v>
      </c>
      <c r="O151" s="3">
        <v>92</v>
      </c>
      <c r="P151" s="3" t="str">
        <f>IFERROR(MID(VLOOKUP($B151,Seqs!$A:$B,2,0),Q151,1),"")</f>
        <v>Q</v>
      </c>
      <c r="Q151" s="3">
        <v>93</v>
      </c>
      <c r="R151" s="3" t="str">
        <f>IFERROR(MID(VLOOKUP($B151,Seqs!$A:$B,2,0),S151,1),"")</f>
        <v>F</v>
      </c>
      <c r="S151" s="3">
        <v>96</v>
      </c>
      <c r="T151" s="3" t="str">
        <f>IFERROR(MID(VLOOKUP($B151,Seqs!$A:$B,2,0),U151,1),"")</f>
        <v>G</v>
      </c>
      <c r="U151" s="3">
        <v>97</v>
      </c>
      <c r="V151" s="3" t="str">
        <f>IFERROR(MID(VLOOKUP($B151,Seqs!$A:$B,2,0),W151,1),"")</f>
        <v>H</v>
      </c>
      <c r="W151" s="3">
        <v>132</v>
      </c>
      <c r="X151" s="3" t="str">
        <f>IFERROR(MID(VLOOKUP($B151,Seqs!$A:$B,2,0),Y151,1),"")</f>
        <v>A</v>
      </c>
      <c r="Y151" s="3">
        <v>133</v>
      </c>
      <c r="Z151" s="3" t="str">
        <f>IFERROR(MID(VLOOKUP($B151,Seqs!$A:$B,2,0),AA151,1),"")</f>
        <v>R</v>
      </c>
      <c r="AA151" s="3">
        <v>140</v>
      </c>
      <c r="AB151" s="3" t="str">
        <f>IFERROR(MID(VLOOKUP($B151,Seqs!$A:$B,2,0),AC151,1),"")</f>
        <v>T</v>
      </c>
      <c r="AC151" s="9">
        <v>141</v>
      </c>
      <c r="AD151" s="3" t="str">
        <f>IFERROR(MID(VLOOKUP($B151,Seqs!$A:$B,2,0),AE151,1),"")</f>
        <v>T</v>
      </c>
      <c r="AE151" s="3">
        <v>167</v>
      </c>
      <c r="AF151" s="3" t="str">
        <f>IFERROR(MID(VLOOKUP($B151,Seqs!$A:$B,2,0),AG151,1),"")</f>
        <v>C</v>
      </c>
      <c r="AG151" s="3">
        <v>178</v>
      </c>
      <c r="AH151" s="3" t="str">
        <f>IFERROR(MID(VLOOKUP($B151,Seqs!$A:$B,2,0),AI151,1),"")</f>
        <v>S</v>
      </c>
      <c r="AI151" s="3">
        <v>180</v>
      </c>
      <c r="AJ151" s="3" t="str">
        <f>IFERROR(MID(VLOOKUP($B151,Seqs!$A:$B,2,0),AK151,1),"")</f>
        <v>Q</v>
      </c>
      <c r="AK151" s="3">
        <v>186</v>
      </c>
      <c r="AL151" s="3" t="str">
        <f>IFERROR(MID(VLOOKUP($B151,Seqs!$A:$B,2,0),AM151,1),"")</f>
        <v>C</v>
      </c>
      <c r="AM151" s="3">
        <v>224</v>
      </c>
      <c r="AN151" s="3" t="str">
        <f>IFERROR(MID(VLOOKUP($B151,Seqs!$A:$B,2,0),AO151,1),"")</f>
        <v>K</v>
      </c>
      <c r="AO151" s="3">
        <v>228</v>
      </c>
      <c r="AP151" s="3" t="str">
        <f>IFERROR(MID(VLOOKUP($B151,Seqs!$A:$B,2,0),AQ151,1),"")</f>
        <v>G</v>
      </c>
      <c r="AQ151" s="3">
        <v>265</v>
      </c>
      <c r="AR151" s="3" t="str">
        <f>IFERROR(MID(VLOOKUP($B151,Seqs!$A:$B,2,0),AS151,1),"")</f>
        <v>N</v>
      </c>
      <c r="AS151" s="3">
        <v>268</v>
      </c>
      <c r="AT151" s="3" t="str">
        <f>IFERROR(MID(VLOOKUP($B151,Seqs!$A:$B,2,0),AU151,1),"")</f>
        <v>V</v>
      </c>
      <c r="AU151" s="3">
        <v>300</v>
      </c>
      <c r="AV151" s="3" t="str">
        <f>IFERROR(MID(VLOOKUP($B151,Seqs!$A:$B,2,0),AW151,1),"")</f>
        <v>G</v>
      </c>
      <c r="AW151" s="3">
        <v>301</v>
      </c>
      <c r="AX151" s="3" t="str">
        <f>IFERROR(MID(VLOOKUP($B151,Seqs!$A:$B,2,0),AY151,1),"")</f>
        <v>Q</v>
      </c>
      <c r="AY151" s="3">
        <v>313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840"/>
        <v>1</v>
      </c>
      <c r="BC151" s="23">
        <f t="shared" si="617"/>
        <v>272</v>
      </c>
      <c r="BD151" s="34" t="s">
        <v>23</v>
      </c>
      <c r="BE151" s="3" t="s">
        <v>23</v>
      </c>
      <c r="BF151" s="119" t="s">
        <v>23</v>
      </c>
      <c r="BG151" s="49" t="s">
        <v>1373</v>
      </c>
      <c r="BH151" s="49" t="s">
        <v>1378</v>
      </c>
      <c r="BI151" s="1"/>
      <c r="BJ151" s="70" t="s">
        <v>1288</v>
      </c>
      <c r="BK151" s="57" t="s">
        <v>1288</v>
      </c>
      <c r="BL151" s="57" t="s">
        <v>1288</v>
      </c>
      <c r="BM151" s="57" t="s">
        <v>1288</v>
      </c>
      <c r="BN151" s="57" t="s">
        <v>1288</v>
      </c>
      <c r="BO151" s="57" t="s">
        <v>1288</v>
      </c>
      <c r="BP151" s="57" t="s">
        <v>1288</v>
      </c>
      <c r="BQ151" s="57" t="s">
        <v>1288</v>
      </c>
      <c r="BR151" s="57" t="s">
        <v>1288</v>
      </c>
      <c r="BS151" s="57" t="s">
        <v>1288</v>
      </c>
      <c r="BT151" s="57" t="s">
        <v>1288</v>
      </c>
      <c r="BU151" s="57" t="s">
        <v>1288</v>
      </c>
      <c r="BV151" s="70">
        <f t="shared" si="618"/>
        <v>22</v>
      </c>
      <c r="BW151" s="71">
        <f t="shared" si="619"/>
        <v>59</v>
      </c>
      <c r="BX151" s="72">
        <f t="shared" si="620"/>
        <v>63</v>
      </c>
      <c r="BY151" s="71">
        <f t="shared" si="621"/>
        <v>93</v>
      </c>
      <c r="BZ151" s="72">
        <f t="shared" si="622"/>
        <v>97</v>
      </c>
      <c r="CA151" s="71">
        <f t="shared" si="623"/>
        <v>133</v>
      </c>
      <c r="CB151" s="72">
        <f t="shared" si="624"/>
        <v>141</v>
      </c>
      <c r="CC151" s="71">
        <f t="shared" si="625"/>
        <v>178</v>
      </c>
      <c r="CD151" s="72">
        <f t="shared" si="626"/>
        <v>186</v>
      </c>
      <c r="CE151" s="71">
        <f t="shared" si="627"/>
        <v>228</v>
      </c>
      <c r="CF151" s="72">
        <f t="shared" si="628"/>
        <v>268</v>
      </c>
      <c r="CG151" s="71">
        <f t="shared" si="629"/>
        <v>301</v>
      </c>
      <c r="CH151" s="70">
        <f t="shared" si="630"/>
        <v>58</v>
      </c>
      <c r="CI151" s="71">
        <f t="shared" si="631"/>
        <v>62</v>
      </c>
      <c r="CJ151" s="72">
        <f t="shared" si="632"/>
        <v>92</v>
      </c>
      <c r="CK151" s="72">
        <f t="shared" si="633"/>
        <v>96</v>
      </c>
      <c r="CL151" s="72">
        <f t="shared" si="634"/>
        <v>132</v>
      </c>
      <c r="CM151" s="72">
        <f t="shared" si="635"/>
        <v>140</v>
      </c>
      <c r="CN151" s="72">
        <f t="shared" si="636"/>
        <v>167</v>
      </c>
      <c r="CO151" s="72">
        <f t="shared" si="637"/>
        <v>180</v>
      </c>
      <c r="CP151" s="72">
        <f t="shared" si="638"/>
        <v>224</v>
      </c>
      <c r="CQ151" s="72">
        <f t="shared" si="639"/>
        <v>265</v>
      </c>
      <c r="CR151" s="72">
        <f t="shared" si="640"/>
        <v>300</v>
      </c>
      <c r="CS151" s="72">
        <f t="shared" si="641"/>
        <v>313</v>
      </c>
      <c r="CT151" s="23">
        <f t="shared" si="642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839"/>
        <v>ccr5_human_4MBS</v>
      </c>
      <c r="B152" s="3" t="s">
        <v>173</v>
      </c>
      <c r="C152" s="3" t="s">
        <v>74</v>
      </c>
      <c r="D152" s="3" t="str">
        <f>IFERROR(MID(VLOOKUP($B152,Seqs!$A:$B,2,0),E152,1),"")</f>
        <v>V</v>
      </c>
      <c r="E152" s="3">
        <v>25</v>
      </c>
      <c r="F152" s="3" t="str">
        <f>IFERROR(MID(VLOOKUP($B152,Seqs!$A:$B,2,0),G152,1),"")</f>
        <v>C</v>
      </c>
      <c r="G152" s="3">
        <v>58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63</v>
      </c>
      <c r="N152" s="3" t="str">
        <f>IFERROR(MID(VLOOKUP($B152,Seqs!$A:$B,2,0),O152,1),"")</f>
        <v>A</v>
      </c>
      <c r="O152" s="3">
        <v>92</v>
      </c>
      <c r="P152" s="3" t="str">
        <f>IFERROR(MID(VLOOKUP($B152,Seqs!$A:$B,2,0),Q152,1),"")</f>
        <v>Q</v>
      </c>
      <c r="Q152" s="3">
        <v>93</v>
      </c>
      <c r="R152" s="3" t="str">
        <f>IFERROR(MID(VLOOKUP($B152,Seqs!$A:$B,2,0),S152,1),"")</f>
        <v>F</v>
      </c>
      <c r="S152" s="3">
        <v>96</v>
      </c>
      <c r="T152" s="3" t="str">
        <f>IFERROR(MID(VLOOKUP($B152,Seqs!$A:$B,2,0),U152,1),"")</f>
        <v>G</v>
      </c>
      <c r="U152" s="3">
        <v>97</v>
      </c>
      <c r="V152" s="3" t="str">
        <f>IFERROR(MID(VLOOKUP($B152,Seqs!$A:$B,2,0),W152,1),"")</f>
        <v>H</v>
      </c>
      <c r="W152" s="3">
        <v>132</v>
      </c>
      <c r="X152" s="3" t="str">
        <f>IFERROR(MID(VLOOKUP($B152,Seqs!$A:$B,2,0),Y152,1),"")</f>
        <v>A</v>
      </c>
      <c r="Y152" s="3">
        <v>133</v>
      </c>
      <c r="Z152" s="3" t="str">
        <f>IFERROR(MID(VLOOKUP($B152,Seqs!$A:$B,2,0),AA152,1),"")</f>
        <v>R</v>
      </c>
      <c r="AA152" s="3">
        <v>140</v>
      </c>
      <c r="AB152" s="3" t="str">
        <f>IFERROR(MID(VLOOKUP($B152,Seqs!$A:$B,2,0),AC152,1),"")</f>
        <v>T</v>
      </c>
      <c r="AC152" s="9">
        <v>141</v>
      </c>
      <c r="AD152" s="3" t="str">
        <f>IFERROR(MID(VLOOKUP($B152,Seqs!$A:$B,2,0),AE152,1),"")</f>
        <v>T</v>
      </c>
      <c r="AE152" s="3">
        <v>167</v>
      </c>
      <c r="AF152" s="3" t="str">
        <f>IFERROR(MID(VLOOKUP($B152,Seqs!$A:$B,2,0),AG152,1),"")</f>
        <v>C</v>
      </c>
      <c r="AG152" s="3">
        <v>178</v>
      </c>
      <c r="AH152" s="3" t="str">
        <f>IFERROR(MID(VLOOKUP($B152,Seqs!$A:$B,2,0),AI152,1),"")</f>
        <v>S</v>
      </c>
      <c r="AI152" s="3">
        <v>180</v>
      </c>
      <c r="AJ152" s="3" t="str">
        <f>IFERROR(MID(VLOOKUP($B152,Seqs!$A:$B,2,0),AK152,1),"")</f>
        <v>Q</v>
      </c>
      <c r="AK152" s="3">
        <v>186</v>
      </c>
      <c r="AL152" s="3" t="str">
        <f>IFERROR(MID(VLOOKUP($B152,Seqs!$A:$B,2,0),AM152,1),"")</f>
        <v>R</v>
      </c>
      <c r="AM152" s="3">
        <v>223</v>
      </c>
      <c r="AN152" s="3" t="str">
        <f>IFERROR(MID(VLOOKUP($B152,Seqs!$A:$B,2,0),AO152,1),"")</f>
        <v>K</v>
      </c>
      <c r="AO152" s="3">
        <v>228</v>
      </c>
      <c r="AP152" s="3" t="str">
        <f>IFERROR(MID(VLOOKUP($B152,Seqs!$A:$B,2,0),AQ152,1),"")</f>
        <v>G</v>
      </c>
      <c r="AQ152" s="3">
        <v>265</v>
      </c>
      <c r="AR152" s="3" t="str">
        <f>IFERROR(MID(VLOOKUP($B152,Seqs!$A:$B,2,0),AS152,1),"")</f>
        <v>N</v>
      </c>
      <c r="AS152" s="3">
        <v>268</v>
      </c>
      <c r="AT152" s="3" t="str">
        <f>IFERROR(MID(VLOOKUP($B152,Seqs!$A:$B,2,0),AU152,1),"")</f>
        <v>V</v>
      </c>
      <c r="AU152" s="3">
        <v>300</v>
      </c>
      <c r="AV152" s="3" t="str">
        <f>IFERROR(MID(VLOOKUP($B152,Seqs!$A:$B,2,0),AW152,1),"")</f>
        <v>G</v>
      </c>
      <c r="AW152" s="3">
        <v>301</v>
      </c>
      <c r="AX152" s="3" t="str">
        <f>IFERROR(MID(VLOOKUP($B152,Seqs!$A:$B,2,0),AY152,1),"")</f>
        <v>Q</v>
      </c>
      <c r="AY152" s="3">
        <v>313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840"/>
        <v>1</v>
      </c>
      <c r="BC152" s="23">
        <f t="shared" si="617"/>
        <v>265</v>
      </c>
      <c r="BD152" s="2" t="s">
        <v>23</v>
      </c>
      <c r="BE152" s="3" t="s">
        <v>1375</v>
      </c>
      <c r="BF152" s="119">
        <v>2.71</v>
      </c>
      <c r="BG152" s="49" t="s">
        <v>1378</v>
      </c>
      <c r="BH152" s="49" t="s">
        <v>1378</v>
      </c>
      <c r="BI152" s="1"/>
      <c r="BJ152" s="70" t="s">
        <v>1288</v>
      </c>
      <c r="BK152" s="57" t="s">
        <v>1288</v>
      </c>
      <c r="BL152" s="57" t="s">
        <v>1288</v>
      </c>
      <c r="BM152" s="57" t="s">
        <v>1288</v>
      </c>
      <c r="BN152" s="57" t="s">
        <v>1288</v>
      </c>
      <c r="BO152" s="57" t="s">
        <v>1288</v>
      </c>
      <c r="BP152" s="57" t="s">
        <v>1288</v>
      </c>
      <c r="BQ152" s="57" t="s">
        <v>1288</v>
      </c>
      <c r="BR152" s="57" t="s">
        <v>1288</v>
      </c>
      <c r="BS152" s="57" t="s">
        <v>1288</v>
      </c>
      <c r="BT152" s="57" t="s">
        <v>1288</v>
      </c>
      <c r="BU152" s="57" t="s">
        <v>1288</v>
      </c>
      <c r="BV152" s="70">
        <f t="shared" si="618"/>
        <v>25</v>
      </c>
      <c r="BW152" s="71" t="str">
        <f t="shared" si="619"/>
        <v>-</v>
      </c>
      <c r="BX152" s="72">
        <f t="shared" si="620"/>
        <v>63</v>
      </c>
      <c r="BY152" s="71">
        <f t="shared" si="621"/>
        <v>93</v>
      </c>
      <c r="BZ152" s="72">
        <f t="shared" si="622"/>
        <v>97</v>
      </c>
      <c r="CA152" s="71">
        <f t="shared" si="623"/>
        <v>133</v>
      </c>
      <c r="CB152" s="72">
        <f t="shared" si="624"/>
        <v>141</v>
      </c>
      <c r="CC152" s="71">
        <f t="shared" si="625"/>
        <v>178</v>
      </c>
      <c r="CD152" s="72">
        <f t="shared" si="626"/>
        <v>186</v>
      </c>
      <c r="CE152" s="71">
        <f t="shared" si="627"/>
        <v>228</v>
      </c>
      <c r="CF152" s="72">
        <f t="shared" si="628"/>
        <v>268</v>
      </c>
      <c r="CG152" s="71">
        <f t="shared" si="629"/>
        <v>301</v>
      </c>
      <c r="CH152" s="70">
        <f t="shared" si="630"/>
        <v>58</v>
      </c>
      <c r="CI152" s="71" t="str">
        <f t="shared" si="631"/>
        <v>-</v>
      </c>
      <c r="CJ152" s="72">
        <f t="shared" si="632"/>
        <v>92</v>
      </c>
      <c r="CK152" s="72">
        <f t="shared" si="633"/>
        <v>96</v>
      </c>
      <c r="CL152" s="72">
        <f t="shared" si="634"/>
        <v>132</v>
      </c>
      <c r="CM152" s="72">
        <f t="shared" si="635"/>
        <v>140</v>
      </c>
      <c r="CN152" s="72">
        <f t="shared" si="636"/>
        <v>167</v>
      </c>
      <c r="CO152" s="72">
        <f t="shared" si="637"/>
        <v>180</v>
      </c>
      <c r="CP152" s="72">
        <f t="shared" si="638"/>
        <v>223</v>
      </c>
      <c r="CQ152" s="72">
        <f t="shared" si="639"/>
        <v>265</v>
      </c>
      <c r="CR152" s="72">
        <f t="shared" si="640"/>
        <v>300</v>
      </c>
      <c r="CS152" s="72">
        <f t="shared" si="641"/>
        <v>313</v>
      </c>
      <c r="CT152" s="23" t="e">
        <f t="shared" si="64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>CONCATENATE(B153,"_",C153)</f>
        <v>ccr5_human_5UIW</v>
      </c>
      <c r="B153" s="3" t="s">
        <v>173</v>
      </c>
      <c r="C153" s="3" t="s">
        <v>1424</v>
      </c>
      <c r="D153" s="3" t="str">
        <f>IFERROR(MID(VLOOKUP($B153,Seqs!$A:$B,2,0),E153,1),"")</f>
        <v>K</v>
      </c>
      <c r="E153" s="3">
        <v>22</v>
      </c>
      <c r="F153" s="3" t="str">
        <f>IFERROR(MID(VLOOKUP($B153,Seqs!$A:$B,2,0),G153,1),"")</f>
        <v>C</v>
      </c>
      <c r="G153" s="3">
        <v>58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63</v>
      </c>
      <c r="N153" s="3" t="str">
        <f>IFERROR(MID(VLOOKUP($B153,Seqs!$A:$B,2,0),O153,1),"")</f>
        <v>A</v>
      </c>
      <c r="O153" s="3">
        <v>92</v>
      </c>
      <c r="P153" s="3" t="str">
        <f>IFERROR(MID(VLOOKUP($B153,Seqs!$A:$B,2,0),Q153,1),"")</f>
        <v>Q</v>
      </c>
      <c r="Q153" s="3">
        <v>93</v>
      </c>
      <c r="R153" s="3" t="str">
        <f>IFERROR(MID(VLOOKUP($B153,Seqs!$A:$B,2,0),S153,1),"")</f>
        <v>F</v>
      </c>
      <c r="S153" s="3">
        <v>96</v>
      </c>
      <c r="T153" s="3" t="str">
        <f>IFERROR(MID(VLOOKUP($B153,Seqs!$A:$B,2,0),U153,1),"")</f>
        <v>G</v>
      </c>
      <c r="U153" s="3">
        <v>97</v>
      </c>
      <c r="V153" s="3" t="str">
        <f>IFERROR(MID(VLOOKUP($B153,Seqs!$A:$B,2,0),W153,1),"")</f>
        <v>H</v>
      </c>
      <c r="W153" s="3">
        <v>132</v>
      </c>
      <c r="X153" s="3" t="str">
        <f>IFERROR(MID(VLOOKUP($B153,Seqs!$A:$B,2,0),Y153,1),"")</f>
        <v>A</v>
      </c>
      <c r="Y153" s="3">
        <v>133</v>
      </c>
      <c r="Z153" s="3" t="str">
        <f>IFERROR(MID(VLOOKUP($B153,Seqs!$A:$B,2,0),AA153,1),"")</f>
        <v>R</v>
      </c>
      <c r="AA153" s="3">
        <v>140</v>
      </c>
      <c r="AB153" s="3" t="str">
        <f>IFERROR(MID(VLOOKUP($B153,Seqs!$A:$B,2,0),AC153,1),"")</f>
        <v>T</v>
      </c>
      <c r="AC153" s="3">
        <v>141</v>
      </c>
      <c r="AD153" s="3" t="str">
        <f>IFERROR(MID(VLOOKUP($B153,Seqs!$A:$B,2,0),AE153,1),"")</f>
        <v>T</v>
      </c>
      <c r="AE153" s="3">
        <v>167</v>
      </c>
      <c r="AF153" s="3" t="str">
        <f>IFERROR(MID(VLOOKUP($B153,Seqs!$A:$B,2,0),AG153,1),"")</f>
        <v>C</v>
      </c>
      <c r="AG153" s="3">
        <v>178</v>
      </c>
      <c r="AH153" s="3" t="str">
        <f>IFERROR(MID(VLOOKUP($B153,Seqs!$A:$B,2,0),AI153,1),"")</f>
        <v>S</v>
      </c>
      <c r="AI153" s="3">
        <v>180</v>
      </c>
      <c r="AJ153" s="3" t="str">
        <f>IFERROR(MID(VLOOKUP($B153,Seqs!$A:$B,2,0),AK153,1),"")</f>
        <v>Q</v>
      </c>
      <c r="AK153" s="3">
        <v>186</v>
      </c>
      <c r="AL153" s="3" t="str">
        <f>IFERROR(MID(VLOOKUP($B153,Seqs!$A:$B,2,0),AM153,1),"")</f>
        <v>R</v>
      </c>
      <c r="AM153" s="3">
        <v>223</v>
      </c>
      <c r="AN153" s="3" t="str">
        <f>IFERROR(MID(VLOOKUP($B153,Seqs!$A:$B,2,0),AO153,1),"")</f>
        <v>E</v>
      </c>
      <c r="AO153" s="3">
        <v>227</v>
      </c>
      <c r="AP153" s="3" t="str">
        <f>IFERROR(MID(VLOOKUP($B153,Seqs!$A:$B,2,0),AQ153,1),"")</f>
        <v>Q</v>
      </c>
      <c r="AQ153" s="3">
        <v>261</v>
      </c>
      <c r="AR153" s="3" t="str">
        <f>IFERROR(MID(VLOOKUP($B153,Seqs!$A:$B,2,0),AS153,1),"")</f>
        <v>N</v>
      </c>
      <c r="AS153" s="3">
        <v>268</v>
      </c>
      <c r="AT153" s="3" t="str">
        <f>IFERROR(MID(VLOOKUP($B153,Seqs!$A:$B,2,0),AU153,1),"")</f>
        <v>V</v>
      </c>
      <c r="AU153" s="3">
        <v>300</v>
      </c>
      <c r="AV153" s="3" t="str">
        <f>IFERROR(MID(VLOOKUP($B153,Seqs!$A:$B,2,0),AW153,1),"")</f>
        <v>G</v>
      </c>
      <c r="AW153" s="3">
        <v>301</v>
      </c>
      <c r="AX153" s="3" t="str">
        <f>IFERROR(MID(VLOOKUP($B153,Seqs!$A:$B,2,0),AY153,1),"")</f>
        <v>I</v>
      </c>
      <c r="AY153" s="3">
        <v>316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268</v>
      </c>
      <c r="BD153" s="2" t="s">
        <v>1377</v>
      </c>
      <c r="BE153" s="3" t="s">
        <v>1375</v>
      </c>
      <c r="BF153" s="119">
        <v>2.2000000000000002</v>
      </c>
      <c r="BG153" s="49" t="s">
        <v>1378</v>
      </c>
      <c r="BH153" s="49" t="s">
        <v>1378</v>
      </c>
      <c r="BI153" s="1"/>
      <c r="BJ153" s="70" t="s">
        <v>1288</v>
      </c>
      <c r="BK153" s="57" t="s">
        <v>1288</v>
      </c>
      <c r="BL153" s="57" t="s">
        <v>1288</v>
      </c>
      <c r="BM153" s="57" t="s">
        <v>1288</v>
      </c>
      <c r="BN153" s="57" t="s">
        <v>1288</v>
      </c>
      <c r="BO153" s="57" t="s">
        <v>1288</v>
      </c>
      <c r="BP153" s="57" t="s">
        <v>1288</v>
      </c>
      <c r="BQ153" s="57" t="s">
        <v>1288</v>
      </c>
      <c r="BR153" s="57" t="s">
        <v>1288</v>
      </c>
      <c r="BS153" s="57" t="s">
        <v>1288</v>
      </c>
      <c r="BT153" s="57" t="s">
        <v>1288</v>
      </c>
      <c r="BU153" s="57" t="s">
        <v>1288</v>
      </c>
      <c r="BV153" s="70">
        <f>E153</f>
        <v>22</v>
      </c>
      <c r="BW153" s="71" t="str">
        <f>I153</f>
        <v>-</v>
      </c>
      <c r="BX153" s="72">
        <f>M153</f>
        <v>63</v>
      </c>
      <c r="BY153" s="71">
        <f>Q153</f>
        <v>93</v>
      </c>
      <c r="BZ153" s="72">
        <f>U153</f>
        <v>97</v>
      </c>
      <c r="CA153" s="71">
        <f>Y153</f>
        <v>133</v>
      </c>
      <c r="CB153" s="72">
        <f>AC153</f>
        <v>141</v>
      </c>
      <c r="CC153" s="71">
        <f>AG153</f>
        <v>178</v>
      </c>
      <c r="CD153" s="72">
        <f>AK153</f>
        <v>186</v>
      </c>
      <c r="CE153" s="71">
        <f>AO153</f>
        <v>227</v>
      </c>
      <c r="CF153" s="72">
        <f>AS153</f>
        <v>268</v>
      </c>
      <c r="CG153" s="71">
        <f>AW153</f>
        <v>301</v>
      </c>
      <c r="CH153" s="70">
        <f>G153</f>
        <v>58</v>
      </c>
      <c r="CI153" s="71" t="str">
        <f>K153</f>
        <v>-</v>
      </c>
      <c r="CJ153" s="72">
        <f>O153</f>
        <v>92</v>
      </c>
      <c r="CK153" s="72">
        <f>S153</f>
        <v>96</v>
      </c>
      <c r="CL153" s="72">
        <f>W153</f>
        <v>132</v>
      </c>
      <c r="CM153" s="72">
        <f>AA153</f>
        <v>140</v>
      </c>
      <c r="CN153" s="72">
        <f>AE153</f>
        <v>167</v>
      </c>
      <c r="CO153" s="72">
        <f>AI153</f>
        <v>180</v>
      </c>
      <c r="CP153" s="72">
        <f>AM153</f>
        <v>223</v>
      </c>
      <c r="CQ153" s="72">
        <f>AQ153</f>
        <v>261</v>
      </c>
      <c r="CR153" s="72">
        <f>AU153</f>
        <v>300</v>
      </c>
      <c r="CS153" s="72">
        <f>AY153</f>
        <v>316</v>
      </c>
      <c r="CT153" s="23" t="e">
        <f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s="12" customFormat="1" x14ac:dyDescent="0.2">
      <c r="A154" s="9" t="str">
        <f>CONCATENATE(B154,"_",C154)</f>
        <v>ccr5_human_6AKX</v>
      </c>
      <c r="B154" s="9" t="s">
        <v>173</v>
      </c>
      <c r="C154" s="9" t="s">
        <v>1525</v>
      </c>
      <c r="D154" s="9" t="str">
        <f>IFERROR(MID(VLOOKUP($B154,Seqs!$A:$B,2,0),E154,1),"")</f>
        <v>V</v>
      </c>
      <c r="E154" s="9">
        <v>25</v>
      </c>
      <c r="F154" s="9" t="str">
        <f>IFERROR(MID(VLOOKUP($B154,Seqs!$A:$B,2,0),G154,1),"")</f>
        <v>C</v>
      </c>
      <c r="G154" s="9">
        <v>58</v>
      </c>
      <c r="H154" s="9" t="str">
        <f>IFERROR(MID(VLOOKUP($B154,Seqs!$A:$B,2,0),I154,1),"")</f>
        <v/>
      </c>
      <c r="I154" s="109" t="s">
        <v>23</v>
      </c>
      <c r="J154" s="9" t="str">
        <f>IFERROR(MID(VLOOKUP($B154,Seqs!$A:$B,2,0),K154,1),"")</f>
        <v/>
      </c>
      <c r="K154" s="109" t="s">
        <v>23</v>
      </c>
      <c r="L154" s="9" t="str">
        <f>IFERROR(MID(VLOOKUP($B154,Seqs!$A:$B,2,0),M154,1),"")</f>
        <v>S</v>
      </c>
      <c r="M154" s="9">
        <v>63</v>
      </c>
      <c r="N154" s="9" t="str">
        <f>IFERROR(MID(VLOOKUP($B154,Seqs!$A:$B,2,0),O154,1),"")</f>
        <v>A</v>
      </c>
      <c r="O154" s="9">
        <v>92</v>
      </c>
      <c r="P154" s="9" t="str">
        <f>IFERROR(MID(VLOOKUP($B154,Seqs!$A:$B,2,0),Q154,1),"")</f>
        <v>Q</v>
      </c>
      <c r="Q154" s="9">
        <v>93</v>
      </c>
      <c r="R154" s="9" t="str">
        <f>IFERROR(MID(VLOOKUP($B154,Seqs!$A:$B,2,0),S154,1),"")</f>
        <v>F</v>
      </c>
      <c r="S154" s="9">
        <v>96</v>
      </c>
      <c r="T154" s="9" t="str">
        <f>IFERROR(MID(VLOOKUP($B154,Seqs!$A:$B,2,0),U154,1),"")</f>
        <v>G</v>
      </c>
      <c r="U154" s="9">
        <v>97</v>
      </c>
      <c r="V154" s="9" t="str">
        <f>IFERROR(MID(VLOOKUP($B154,Seqs!$A:$B,2,0),W154,1),"")</f>
        <v>H</v>
      </c>
      <c r="W154" s="9">
        <v>132</v>
      </c>
      <c r="X154" s="9" t="str">
        <f>IFERROR(MID(VLOOKUP($B154,Seqs!$A:$B,2,0),Y154,1),"")</f>
        <v>A</v>
      </c>
      <c r="Y154" s="9">
        <v>133</v>
      </c>
      <c r="Z154" s="9" t="str">
        <f>IFERROR(MID(VLOOKUP($B154,Seqs!$A:$B,2,0),AA154,1),"")</f>
        <v>R</v>
      </c>
      <c r="AA154" s="9">
        <v>140</v>
      </c>
      <c r="AB154" s="9" t="str">
        <f>IFERROR(MID(VLOOKUP($B154,Seqs!$A:$B,2,0),AC154,1),"")</f>
        <v>T</v>
      </c>
      <c r="AC154" s="9">
        <v>141</v>
      </c>
      <c r="AD154" s="9" t="str">
        <f>IFERROR(MID(VLOOKUP($B154,Seqs!$A:$B,2,0),AE154,1),"")</f>
        <v>T</v>
      </c>
      <c r="AE154" s="9">
        <v>167</v>
      </c>
      <c r="AF154" s="9" t="str">
        <f>IFERROR(MID(VLOOKUP($B154,Seqs!$A:$B,2,0),AG154,1),"")</f>
        <v>C</v>
      </c>
      <c r="AG154" s="9">
        <v>178</v>
      </c>
      <c r="AH154" s="9" t="str">
        <f>IFERROR(MID(VLOOKUP($B154,Seqs!$A:$B,2,0),AI154,1),"")</f>
        <v>S</v>
      </c>
      <c r="AI154" s="9">
        <v>180</v>
      </c>
      <c r="AJ154" s="9" t="str">
        <f>IFERROR(MID(VLOOKUP($B154,Seqs!$A:$B,2,0),AK154,1),"")</f>
        <v>Q</v>
      </c>
      <c r="AK154" s="9">
        <v>186</v>
      </c>
      <c r="AL154" s="9" t="str">
        <f>IFERROR(MID(VLOOKUP($B154,Seqs!$A:$B,2,0),AM154,1),"")</f>
        <v>R</v>
      </c>
      <c r="AM154" s="9">
        <v>223</v>
      </c>
      <c r="AN154" s="9" t="str">
        <f>IFERROR(MID(VLOOKUP($B154,Seqs!$A:$B,2,0),AO154,1),"")</f>
        <v>K</v>
      </c>
      <c r="AO154" s="9">
        <v>228</v>
      </c>
      <c r="AP154" s="9" t="str">
        <f>IFERROR(MID(VLOOKUP($B154,Seqs!$A:$B,2,0),AQ154,1),"")</f>
        <v>G</v>
      </c>
      <c r="AQ154" s="9">
        <v>265</v>
      </c>
      <c r="AR154" s="9" t="str">
        <f>IFERROR(MID(VLOOKUP($B154,Seqs!$A:$B,2,0),AS154,1),"")</f>
        <v>N</v>
      </c>
      <c r="AS154" s="9">
        <v>268</v>
      </c>
      <c r="AT154" s="9" t="str">
        <f>IFERROR(MID(VLOOKUP($B154,Seqs!$A:$B,2,0),AU154,1),"")</f>
        <v>V</v>
      </c>
      <c r="AU154" s="9">
        <v>300</v>
      </c>
      <c r="AV154" s="9" t="str">
        <f>IFERROR(MID(VLOOKUP($B154,Seqs!$A:$B,2,0),AW154,1),"")</f>
        <v>G</v>
      </c>
      <c r="AW154" s="9">
        <v>301</v>
      </c>
      <c r="AX154" s="9" t="str">
        <f>IFERROR(MID(VLOOKUP($B154,Seqs!$A:$B,2,0),AY154,1),"")</f>
        <v>Q</v>
      </c>
      <c r="AY154" s="9">
        <v>313</v>
      </c>
      <c r="AZ154" s="110" t="str">
        <f>VLOOKUP(B154,Classification!A:D,2,0)</f>
        <v>A</v>
      </c>
      <c r="BA154" s="98" t="str">
        <f>VLOOKUP(B154,Classification!A:D,4,0)</f>
        <v>Chemokine</v>
      </c>
      <c r="BB154" s="36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109">
        <f>_xlfn.AGGREGATE(9,6,CH154:CS154)-_xlfn.AGGREGATE(9,6,BV154:CG154)+12</f>
        <v>265</v>
      </c>
      <c r="BD154" s="40" t="s">
        <v>23</v>
      </c>
      <c r="BE154" s="9" t="s">
        <v>1375</v>
      </c>
      <c r="BF154" s="120">
        <v>2.8</v>
      </c>
      <c r="BG154" s="51" t="s">
        <v>1282</v>
      </c>
      <c r="BH154" s="51" t="s">
        <v>1282</v>
      </c>
      <c r="BJ154" s="111" t="s">
        <v>1288</v>
      </c>
      <c r="BK154" s="112" t="s">
        <v>1288</v>
      </c>
      <c r="BL154" s="112" t="s">
        <v>1288</v>
      </c>
      <c r="BM154" s="112" t="s">
        <v>1288</v>
      </c>
      <c r="BN154" s="112" t="s">
        <v>1288</v>
      </c>
      <c r="BO154" s="112" t="s">
        <v>1288</v>
      </c>
      <c r="BP154" s="112" t="s">
        <v>1288</v>
      </c>
      <c r="BQ154" s="112" t="s">
        <v>1288</v>
      </c>
      <c r="BR154" s="112" t="s">
        <v>1288</v>
      </c>
      <c r="BS154" s="112" t="s">
        <v>1288</v>
      </c>
      <c r="BT154" s="112" t="s">
        <v>1288</v>
      </c>
      <c r="BU154" s="112" t="s">
        <v>1288</v>
      </c>
      <c r="BV154" s="111">
        <f>E154</f>
        <v>25</v>
      </c>
      <c r="BW154" s="113" t="str">
        <f>I154</f>
        <v>-</v>
      </c>
      <c r="BX154" s="114">
        <f>M154</f>
        <v>63</v>
      </c>
      <c r="BY154" s="113">
        <f>Q154</f>
        <v>93</v>
      </c>
      <c r="BZ154" s="114">
        <f>U154</f>
        <v>97</v>
      </c>
      <c r="CA154" s="113">
        <f>Y154</f>
        <v>133</v>
      </c>
      <c r="CB154" s="114">
        <f>AC154</f>
        <v>141</v>
      </c>
      <c r="CC154" s="113">
        <f>AG154</f>
        <v>178</v>
      </c>
      <c r="CD154" s="114">
        <f>AK154</f>
        <v>186</v>
      </c>
      <c r="CE154" s="113">
        <f>AO154</f>
        <v>228</v>
      </c>
      <c r="CF154" s="114">
        <f>AS154</f>
        <v>268</v>
      </c>
      <c r="CG154" s="113">
        <f>AW154</f>
        <v>301</v>
      </c>
      <c r="CH154" s="111">
        <f>G154</f>
        <v>58</v>
      </c>
      <c r="CI154" s="113" t="str">
        <f>K154</f>
        <v>-</v>
      </c>
      <c r="CJ154" s="114">
        <f>O154</f>
        <v>92</v>
      </c>
      <c r="CK154" s="114">
        <f>S154</f>
        <v>96</v>
      </c>
      <c r="CL154" s="114">
        <f>W154</f>
        <v>132</v>
      </c>
      <c r="CM154" s="114">
        <f>AA154</f>
        <v>140</v>
      </c>
      <c r="CN154" s="114">
        <f>AE154</f>
        <v>167</v>
      </c>
      <c r="CO154" s="114">
        <f>AI154</f>
        <v>180</v>
      </c>
      <c r="CP154" s="114">
        <f>AM154</f>
        <v>223</v>
      </c>
      <c r="CQ154" s="114">
        <f>AQ154</f>
        <v>265</v>
      </c>
      <c r="CR154" s="114">
        <f>AU154</f>
        <v>300</v>
      </c>
      <c r="CS154" s="114">
        <f>AY154</f>
        <v>313</v>
      </c>
      <c r="CT154" s="109" t="e">
        <f>M154-K154</f>
        <v>#VALUE!</v>
      </c>
    </row>
    <row r="155" spans="1:1030" s="12" customFormat="1" x14ac:dyDescent="0.2">
      <c r="A155" s="9" t="str">
        <f>CONCATENATE(B155,"_",C155)</f>
        <v>ccr5_human_6AKY</v>
      </c>
      <c r="B155" s="9" t="s">
        <v>173</v>
      </c>
      <c r="C155" s="9" t="s">
        <v>1526</v>
      </c>
      <c r="D155" s="9" t="str">
        <f>IFERROR(MID(VLOOKUP($B155,Seqs!$A:$B,2,0),E155,1),"")</f>
        <v>V</v>
      </c>
      <c r="E155" s="9">
        <v>25</v>
      </c>
      <c r="F155" s="9" t="str">
        <f>IFERROR(MID(VLOOKUP($B155,Seqs!$A:$B,2,0),G155,1),"")</f>
        <v>C</v>
      </c>
      <c r="G155" s="9">
        <v>58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S</v>
      </c>
      <c r="M155" s="9">
        <v>63</v>
      </c>
      <c r="N155" s="9" t="str">
        <f>IFERROR(MID(VLOOKUP($B155,Seqs!$A:$B,2,0),O155,1),"")</f>
        <v>A</v>
      </c>
      <c r="O155" s="9">
        <v>92</v>
      </c>
      <c r="P155" s="9" t="str">
        <f>IFERROR(MID(VLOOKUP($B155,Seqs!$A:$B,2,0),Q155,1),"")</f>
        <v>Q</v>
      </c>
      <c r="Q155" s="9">
        <v>93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A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T</v>
      </c>
      <c r="AE155" s="9">
        <v>167</v>
      </c>
      <c r="AF155" s="9" t="str">
        <f>IFERROR(MID(VLOOKUP($B155,Seqs!$A:$B,2,0),AG155,1),"")</f>
        <v>C</v>
      </c>
      <c r="AG155" s="9">
        <v>178</v>
      </c>
      <c r="AH155" s="9" t="str">
        <f>IFERROR(MID(VLOOKUP($B155,Seqs!$A:$B,2,0),AI155,1),"")</f>
        <v>S</v>
      </c>
      <c r="AI155" s="9">
        <v>180</v>
      </c>
      <c r="AJ155" s="9" t="str">
        <f>IFERROR(MID(VLOOKUP($B155,Seqs!$A:$B,2,0),AK155,1),"")</f>
        <v>Q</v>
      </c>
      <c r="AK155" s="9">
        <v>186</v>
      </c>
      <c r="AL155" s="9" t="str">
        <f>IFERROR(MID(VLOOKUP($B155,Seqs!$A:$B,2,0),AM155,1),"")</f>
        <v>R</v>
      </c>
      <c r="AM155" s="9">
        <v>223</v>
      </c>
      <c r="AN155" s="9" t="str">
        <f>IFERROR(MID(VLOOKUP($B155,Seqs!$A:$B,2,0),AO155,1),"")</f>
        <v>H</v>
      </c>
      <c r="AO155" s="9">
        <v>231</v>
      </c>
      <c r="AP155" s="9" t="str">
        <f>IFERROR(MID(VLOOKUP($B155,Seqs!$A:$B,2,0),AQ155,1),"")</f>
        <v>F</v>
      </c>
      <c r="AQ155" s="9">
        <v>260</v>
      </c>
      <c r="AR155" s="9" t="str">
        <f>IFERROR(MID(VLOOKUP($B155,Seqs!$A:$B,2,0),AS155,1),"")</f>
        <v>N</v>
      </c>
      <c r="AS155" s="9">
        <v>268</v>
      </c>
      <c r="AT155" s="9" t="str">
        <f>IFERROR(MID(VLOOKUP($B155,Seqs!$A:$B,2,0),AU155,1),"")</f>
        <v>V</v>
      </c>
      <c r="AU155" s="9">
        <v>300</v>
      </c>
      <c r="AV155" s="9" t="str">
        <f>IFERROR(MID(VLOOKUP($B155,Seqs!$A:$B,2,0),AW155,1),"")</f>
        <v>G</v>
      </c>
      <c r="AW155" s="9">
        <v>301</v>
      </c>
      <c r="AX155" s="9" t="str">
        <f>IFERROR(MID(VLOOKUP($B155,Seqs!$A:$B,2,0),AY155,1),"")</f>
        <v>L</v>
      </c>
      <c r="AY155" s="9">
        <v>308</v>
      </c>
      <c r="AZ155" s="110" t="str">
        <f>VLOOKUP(B155,Classification!A:D,2,0)</f>
        <v>A</v>
      </c>
      <c r="BA155" s="98" t="str">
        <f>VLOOKUP(B155,Classification!A:D,4,0)</f>
        <v>Chemokine</v>
      </c>
      <c r="BB155" s="36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>_xlfn.AGGREGATE(9,6,CH155:CS155)-_xlfn.AGGREGATE(9,6,BV155:CG155)+12</f>
        <v>252</v>
      </c>
      <c r="BD155" s="40" t="s">
        <v>23</v>
      </c>
      <c r="BE155" s="9" t="s">
        <v>1375</v>
      </c>
      <c r="BF155" s="120">
        <v>2.8</v>
      </c>
      <c r="BG155" s="51" t="s">
        <v>1282</v>
      </c>
      <c r="BH155" s="51" t="s">
        <v>1282</v>
      </c>
      <c r="BJ155" s="111" t="s">
        <v>1288</v>
      </c>
      <c r="BK155" s="112" t="s">
        <v>1288</v>
      </c>
      <c r="BL155" s="112" t="s">
        <v>1288</v>
      </c>
      <c r="BM155" s="112" t="s">
        <v>1288</v>
      </c>
      <c r="BN155" s="112" t="s">
        <v>1288</v>
      </c>
      <c r="BO155" s="112" t="s">
        <v>1288</v>
      </c>
      <c r="BP155" s="112" t="s">
        <v>1288</v>
      </c>
      <c r="BQ155" s="112" t="s">
        <v>1288</v>
      </c>
      <c r="BR155" s="112" t="s">
        <v>1288</v>
      </c>
      <c r="BS155" s="112" t="s">
        <v>1288</v>
      </c>
      <c r="BT155" s="112" t="s">
        <v>1288</v>
      </c>
      <c r="BU155" s="112" t="s">
        <v>1288</v>
      </c>
      <c r="BV155" s="111">
        <f>E155</f>
        <v>25</v>
      </c>
      <c r="BW155" s="113" t="str">
        <f>I155</f>
        <v>-</v>
      </c>
      <c r="BX155" s="114">
        <f>M155</f>
        <v>63</v>
      </c>
      <c r="BY155" s="113">
        <f>Q155</f>
        <v>93</v>
      </c>
      <c r="BZ155" s="114">
        <f>U155</f>
        <v>97</v>
      </c>
      <c r="CA155" s="113">
        <f>Y155</f>
        <v>133</v>
      </c>
      <c r="CB155" s="114">
        <f>AC155</f>
        <v>141</v>
      </c>
      <c r="CC155" s="113">
        <f>AG155</f>
        <v>178</v>
      </c>
      <c r="CD155" s="114">
        <f>AK155</f>
        <v>186</v>
      </c>
      <c r="CE155" s="113">
        <f>AO155</f>
        <v>231</v>
      </c>
      <c r="CF155" s="114">
        <f>AS155</f>
        <v>268</v>
      </c>
      <c r="CG155" s="113">
        <f>AW155</f>
        <v>301</v>
      </c>
      <c r="CH155" s="111">
        <f>G155</f>
        <v>58</v>
      </c>
      <c r="CI155" s="113" t="str">
        <f>K155</f>
        <v>-</v>
      </c>
      <c r="CJ155" s="114">
        <f>O155</f>
        <v>92</v>
      </c>
      <c r="CK155" s="114">
        <f>S155</f>
        <v>96</v>
      </c>
      <c r="CL155" s="114">
        <f>W155</f>
        <v>132</v>
      </c>
      <c r="CM155" s="114">
        <f>AA155</f>
        <v>140</v>
      </c>
      <c r="CN155" s="114">
        <f>AE155</f>
        <v>167</v>
      </c>
      <c r="CO155" s="114">
        <f>AI155</f>
        <v>180</v>
      </c>
      <c r="CP155" s="114">
        <f>AM155</f>
        <v>223</v>
      </c>
      <c r="CQ155" s="114">
        <f>AQ155</f>
        <v>260</v>
      </c>
      <c r="CR155" s="114">
        <f>AU155</f>
        <v>300</v>
      </c>
      <c r="CS155" s="114">
        <f>AY155</f>
        <v>308</v>
      </c>
      <c r="CT155" s="109" t="e">
        <f>M155-K155</f>
        <v>#VALUE!</v>
      </c>
    </row>
    <row r="156" spans="1:1030" s="12" customFormat="1" x14ac:dyDescent="0.2">
      <c r="A156" s="9" t="str">
        <f>CONCATENATE(B156,"_",C156)</f>
        <v>ccr5_human_6MEO</v>
      </c>
      <c r="B156" s="9" t="s">
        <v>173</v>
      </c>
      <c r="C156" s="9" t="s">
        <v>1542</v>
      </c>
      <c r="D156" s="9" t="str">
        <f>IFERROR(MID(VLOOKUP($B156,Seqs!$A:$B,2,0),E156,1),"")</f>
        <v>K</v>
      </c>
      <c r="E156" s="9">
        <v>26</v>
      </c>
      <c r="F156" s="9" t="str">
        <f>IFERROR(MID(VLOOKUP($B156,Seqs!$A:$B,2,0),G156,1),"")</f>
        <v>R</v>
      </c>
      <c r="G156" s="9">
        <v>60</v>
      </c>
      <c r="H156" s="9" t="str">
        <f>IFERROR(MID(VLOOKUP($B156,Seqs!$A:$B,2,0),I156,1),"")</f>
        <v/>
      </c>
      <c r="I156" s="109" t="s">
        <v>23</v>
      </c>
      <c r="J156" s="9" t="str">
        <f>IFERROR(MID(VLOOKUP($B156,Seqs!$A:$B,2,0),K156,1),"")</f>
        <v/>
      </c>
      <c r="K156" s="109" t="s">
        <v>23</v>
      </c>
      <c r="L156" s="9" t="str">
        <f>IFERROR(MID(VLOOKUP($B156,Seqs!$A:$B,2,0),M156,1),"")</f>
        <v>S</v>
      </c>
      <c r="M156" s="9">
        <v>63</v>
      </c>
      <c r="N156" s="9" t="str">
        <f>IFERROR(MID(VLOOKUP($B156,Seqs!$A:$B,2,0),O156,1),"")</f>
        <v>A</v>
      </c>
      <c r="O156" s="9">
        <v>90</v>
      </c>
      <c r="P156" s="9" t="str">
        <f>IFERROR(MID(VLOOKUP($B156,Seqs!$A:$B,2,0),Q156,1),"")</f>
        <v>Q</v>
      </c>
      <c r="Q156" s="9">
        <v>93</v>
      </c>
      <c r="R156" s="9" t="str">
        <f>IFERROR(MID(VLOOKUP($B156,Seqs!$A:$B,2,0),S156,1),"")</f>
        <v>F</v>
      </c>
      <c r="S156" s="9">
        <v>96</v>
      </c>
      <c r="T156" s="9" t="str">
        <f>IFERROR(MID(VLOOKUP($B156,Seqs!$A:$B,2,0),U156,1),"")</f>
        <v>M</v>
      </c>
      <c r="U156" s="9">
        <v>100</v>
      </c>
      <c r="V156" s="9" t="str">
        <f>IFERROR(MID(VLOOKUP($B156,Seqs!$A:$B,2,0),W156,1),"")</f>
        <v>H</v>
      </c>
      <c r="W156" s="9">
        <v>132</v>
      </c>
      <c r="X156" s="9" t="str">
        <f>IFERROR(MID(VLOOKUP($B156,Seqs!$A:$B,2,0),Y156,1),"")</f>
        <v>A</v>
      </c>
      <c r="Y156" s="9">
        <v>133</v>
      </c>
      <c r="Z156" s="9" t="str">
        <f>IFERROR(MID(VLOOKUP($B156,Seqs!$A:$B,2,0),AA156,1),"")</f>
        <v>R</v>
      </c>
      <c r="AA156" s="9">
        <v>140</v>
      </c>
      <c r="AB156" s="9" t="str">
        <f>IFERROR(MID(VLOOKUP($B156,Seqs!$A:$B,2,0),AC156,1),"")</f>
        <v>T</v>
      </c>
      <c r="AC156" s="9">
        <v>141</v>
      </c>
      <c r="AD156" s="9" t="str">
        <f>IFERROR(MID(VLOOKUP($B156,Seqs!$A:$B,2,0),AE156,1),"")</f>
        <v>I</v>
      </c>
      <c r="AE156" s="9">
        <v>165</v>
      </c>
      <c r="AF156" s="9" t="str">
        <f>IFERROR(MID(VLOOKUP($B156,Seqs!$A:$B,2,0),AG156,1),"")</f>
        <v>C</v>
      </c>
      <c r="AG156" s="9">
        <v>178</v>
      </c>
      <c r="AH156" s="9" t="str">
        <f>IFERROR(MID(VLOOKUP($B156,Seqs!$A:$B,2,0),AI156,1),"")</f>
        <v>S</v>
      </c>
      <c r="AI156" s="9">
        <v>180</v>
      </c>
      <c r="AJ156" s="9" t="str">
        <f>IFERROR(MID(VLOOKUP($B156,Seqs!$A:$B,2,0),AK156,1),"")</f>
        <v>Q</v>
      </c>
      <c r="AK156" s="9">
        <v>186</v>
      </c>
      <c r="AL156" s="9" t="str">
        <f>IFERROR(MID(VLOOKUP($B156,Seqs!$A:$B,2,0),AM156,1),"")</f>
        <v>C</v>
      </c>
      <c r="AM156" s="9">
        <v>224</v>
      </c>
      <c r="AN156" s="9" t="str">
        <f>IFERROR(MID(VLOOKUP($B156,Seqs!$A:$B,2,0),AO156,1),"")</f>
        <v>K</v>
      </c>
      <c r="AO156" s="9">
        <v>228</v>
      </c>
      <c r="AP156" s="9" t="str">
        <f>IFERROR(MID(VLOOKUP($B156,Seqs!$A:$B,2,0),AQ156,1),"")</f>
        <v>F</v>
      </c>
      <c r="AQ156" s="9">
        <v>260</v>
      </c>
      <c r="AR156" s="9" t="str">
        <f>IFERROR(MID(VLOOKUP($B156,Seqs!$A:$B,2,0),AS156,1),"")</f>
        <v>N</v>
      </c>
      <c r="AS156" s="9">
        <v>268</v>
      </c>
      <c r="AT156" s="9" t="str">
        <f>IFERROR(MID(VLOOKUP($B156,Seqs!$A:$B,2,0),AU156,1),"")</f>
        <v>V</v>
      </c>
      <c r="AU156" s="9">
        <v>300</v>
      </c>
      <c r="AV156" s="9" t="str">
        <f>IFERROR(MID(VLOOKUP($B156,Seqs!$A:$B,2,0),AW156,1),"")</f>
        <v/>
      </c>
      <c r="AW156" s="9" t="s">
        <v>23</v>
      </c>
      <c r="AX156" s="9" t="str">
        <f>IFERROR(MID(VLOOKUP($B156,Seqs!$A:$B,2,0),AY156,1),"")</f>
        <v/>
      </c>
      <c r="AY156" s="9" t="s">
        <v>23</v>
      </c>
      <c r="AZ156" s="110" t="str">
        <f>VLOOKUP(B156,Classification!A:D,2,0)</f>
        <v>A</v>
      </c>
      <c r="BA156" s="98" t="str">
        <f>VLOOKUP(B156,Classification!A:D,4,0)</f>
        <v>Chemokine</v>
      </c>
      <c r="BB156" s="36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109">
        <f>_xlfn.AGGREGATE(9,6,CH156:CS156)-_xlfn.AGGREGATE(9,6,BV156:CG156)+12</f>
        <v>243</v>
      </c>
      <c r="BD156" s="40" t="s">
        <v>23</v>
      </c>
      <c r="BE156" s="9" t="s">
        <v>1375</v>
      </c>
      <c r="BF156" s="120">
        <v>3.9</v>
      </c>
      <c r="BG156" s="51" t="s">
        <v>1282</v>
      </c>
      <c r="BH156" s="51" t="s">
        <v>1282</v>
      </c>
      <c r="BJ156" s="111" t="s">
        <v>1288</v>
      </c>
      <c r="BK156" s="112" t="s">
        <v>1288</v>
      </c>
      <c r="BL156" s="112" t="s">
        <v>1288</v>
      </c>
      <c r="BM156" s="112" t="s">
        <v>1288</v>
      </c>
      <c r="BN156" s="112" t="s">
        <v>1288</v>
      </c>
      <c r="BO156" s="112" t="s">
        <v>1288</v>
      </c>
      <c r="BP156" s="112" t="s">
        <v>1288</v>
      </c>
      <c r="BQ156" s="112" t="s">
        <v>1288</v>
      </c>
      <c r="BR156" s="112" t="s">
        <v>1288</v>
      </c>
      <c r="BS156" s="112" t="s">
        <v>1288</v>
      </c>
      <c r="BT156" s="112" t="s">
        <v>1288</v>
      </c>
      <c r="BU156" s="112" t="s">
        <v>1288</v>
      </c>
      <c r="BV156" s="111">
        <f>E156</f>
        <v>26</v>
      </c>
      <c r="BW156" s="113" t="str">
        <f>I156</f>
        <v>-</v>
      </c>
      <c r="BX156" s="114">
        <f>M156</f>
        <v>63</v>
      </c>
      <c r="BY156" s="113">
        <f>Q156</f>
        <v>93</v>
      </c>
      <c r="BZ156" s="114">
        <f>U156</f>
        <v>100</v>
      </c>
      <c r="CA156" s="113">
        <f>Y156</f>
        <v>133</v>
      </c>
      <c r="CB156" s="114">
        <f>AC156</f>
        <v>141</v>
      </c>
      <c r="CC156" s="113">
        <f>AG156</f>
        <v>178</v>
      </c>
      <c r="CD156" s="114">
        <f>AK156</f>
        <v>186</v>
      </c>
      <c r="CE156" s="113">
        <f>AO156</f>
        <v>228</v>
      </c>
      <c r="CF156" s="114">
        <f>AS156</f>
        <v>268</v>
      </c>
      <c r="CG156" s="113" t="str">
        <f>AW156</f>
        <v>-</v>
      </c>
      <c r="CH156" s="111">
        <f>G156</f>
        <v>60</v>
      </c>
      <c r="CI156" s="113" t="str">
        <f>K156</f>
        <v>-</v>
      </c>
      <c r="CJ156" s="114">
        <f>O156</f>
        <v>90</v>
      </c>
      <c r="CK156" s="114">
        <f>S156</f>
        <v>96</v>
      </c>
      <c r="CL156" s="114">
        <f>W156</f>
        <v>132</v>
      </c>
      <c r="CM156" s="114">
        <f>AA156</f>
        <v>140</v>
      </c>
      <c r="CN156" s="114">
        <f>AE156</f>
        <v>165</v>
      </c>
      <c r="CO156" s="114">
        <f>AI156</f>
        <v>180</v>
      </c>
      <c r="CP156" s="114">
        <f>AM156</f>
        <v>224</v>
      </c>
      <c r="CQ156" s="114">
        <f>AQ156</f>
        <v>260</v>
      </c>
      <c r="CR156" s="114">
        <f>AU156</f>
        <v>300</v>
      </c>
      <c r="CS156" s="114" t="str">
        <f>AY156</f>
        <v>-</v>
      </c>
      <c r="CT156" s="109" t="e">
        <f>M156-K156</f>
        <v>#VALUE!</v>
      </c>
    </row>
    <row r="157" spans="1:1030" s="12" customFormat="1" x14ac:dyDescent="0.2">
      <c r="A157" s="9" t="str">
        <f>CONCATENATE(B157,"_",C157)</f>
        <v>ccr5_human_6MET</v>
      </c>
      <c r="B157" s="9" t="s">
        <v>173</v>
      </c>
      <c r="C157" s="9" t="s">
        <v>1541</v>
      </c>
      <c r="D157" s="9" t="str">
        <f>IFERROR(MID(VLOOKUP($B157,Seqs!$A:$B,2,0),E157,1),"")</f>
        <v>K</v>
      </c>
      <c r="E157" s="9">
        <v>26</v>
      </c>
      <c r="F157" s="9" t="str">
        <f>IFERROR(MID(VLOOKUP($B157,Seqs!$A:$B,2,0),G157,1),"")</f>
        <v>R</v>
      </c>
      <c r="G157" s="9">
        <v>60</v>
      </c>
      <c r="H157" s="9" t="str">
        <f>IFERROR(MID(VLOOKUP($B157,Seqs!$A:$B,2,0),I157,1),"")</f>
        <v/>
      </c>
      <c r="I157" s="109" t="s">
        <v>23</v>
      </c>
      <c r="J157" s="9" t="str">
        <f>IFERROR(MID(VLOOKUP($B157,Seqs!$A:$B,2,0),K157,1),"")</f>
        <v/>
      </c>
      <c r="K157" s="109" t="s">
        <v>23</v>
      </c>
      <c r="L157" s="9" t="str">
        <f>IFERROR(MID(VLOOKUP($B157,Seqs!$A:$B,2,0),M157,1),"")</f>
        <v>S</v>
      </c>
      <c r="M157" s="9">
        <v>63</v>
      </c>
      <c r="N157" s="9" t="str">
        <f>IFERROR(MID(VLOOKUP($B157,Seqs!$A:$B,2,0),O157,1),"")</f>
        <v>A</v>
      </c>
      <c r="O157" s="9">
        <v>90</v>
      </c>
      <c r="P157" s="9" t="str">
        <f>IFERROR(MID(VLOOKUP($B157,Seqs!$A:$B,2,0),Q157,1),"")</f>
        <v>Q</v>
      </c>
      <c r="Q157" s="9">
        <v>93</v>
      </c>
      <c r="R157" s="9" t="str">
        <f>IFERROR(MID(VLOOKUP($B157,Seqs!$A:$B,2,0),S157,1),"")</f>
        <v>F</v>
      </c>
      <c r="S157" s="9">
        <v>96</v>
      </c>
      <c r="T157" s="9" t="str">
        <f>IFERROR(MID(VLOOKUP($B157,Seqs!$A:$B,2,0),U157,1),"")</f>
        <v>M</v>
      </c>
      <c r="U157" s="9">
        <v>100</v>
      </c>
      <c r="V157" s="9" t="str">
        <f>IFERROR(MID(VLOOKUP($B157,Seqs!$A:$B,2,0),W157,1),"")</f>
        <v>H</v>
      </c>
      <c r="W157" s="9">
        <v>132</v>
      </c>
      <c r="X157" s="9" t="str">
        <f>IFERROR(MID(VLOOKUP($B157,Seqs!$A:$B,2,0),Y157,1),"")</f>
        <v>A</v>
      </c>
      <c r="Y157" s="9">
        <v>133</v>
      </c>
      <c r="Z157" s="9" t="str">
        <f>IFERROR(MID(VLOOKUP($B157,Seqs!$A:$B,2,0),AA157,1),"")</f>
        <v>R</v>
      </c>
      <c r="AA157" s="9">
        <v>140</v>
      </c>
      <c r="AB157" s="9" t="str">
        <f>IFERROR(MID(VLOOKUP($B157,Seqs!$A:$B,2,0),AC157,1),"")</f>
        <v>T</v>
      </c>
      <c r="AC157" s="9">
        <v>141</v>
      </c>
      <c r="AD157" s="9" t="str">
        <f>IFERROR(MID(VLOOKUP($B157,Seqs!$A:$B,2,0),AE157,1),"")</f>
        <v>I</v>
      </c>
      <c r="AE157" s="9">
        <v>165</v>
      </c>
      <c r="AF157" s="9" t="str">
        <f>IFERROR(MID(VLOOKUP($B157,Seqs!$A:$B,2,0),AG157,1),"")</f>
        <v>C</v>
      </c>
      <c r="AG157" s="9">
        <v>178</v>
      </c>
      <c r="AH157" s="9" t="str">
        <f>IFERROR(MID(VLOOKUP($B157,Seqs!$A:$B,2,0),AI157,1),"")</f>
        <v>S</v>
      </c>
      <c r="AI157" s="9">
        <v>180</v>
      </c>
      <c r="AJ157" s="9" t="str">
        <f>IFERROR(MID(VLOOKUP($B157,Seqs!$A:$B,2,0),AK157,1),"")</f>
        <v>Q</v>
      </c>
      <c r="AK157" s="9">
        <v>186</v>
      </c>
      <c r="AL157" s="9" t="str">
        <f>IFERROR(MID(VLOOKUP($B157,Seqs!$A:$B,2,0),AM157,1),"")</f>
        <v>C</v>
      </c>
      <c r="AM157" s="9">
        <v>224</v>
      </c>
      <c r="AN157" s="9" t="str">
        <f>IFERROR(MID(VLOOKUP($B157,Seqs!$A:$B,2,0),AO157,1),"")</f>
        <v>K</v>
      </c>
      <c r="AO157" s="9">
        <v>228</v>
      </c>
      <c r="AP157" s="9" t="str">
        <f>IFERROR(MID(VLOOKUP($B157,Seqs!$A:$B,2,0),AQ157,1),"")</f>
        <v>F</v>
      </c>
      <c r="AQ157" s="9">
        <v>260</v>
      </c>
      <c r="AR157" s="9" t="str">
        <f>IFERROR(MID(VLOOKUP($B157,Seqs!$A:$B,2,0),AS157,1),"")</f>
        <v>N</v>
      </c>
      <c r="AS157" s="9">
        <v>268</v>
      </c>
      <c r="AT157" s="9" t="str">
        <f>IFERROR(MID(VLOOKUP($B157,Seqs!$A:$B,2,0),AU157,1),"")</f>
        <v>V</v>
      </c>
      <c r="AU157" s="9">
        <v>300</v>
      </c>
      <c r="AV157" s="9" t="str">
        <f>IFERROR(MID(VLOOKUP($B157,Seqs!$A:$B,2,0),AW157,1),"")</f>
        <v/>
      </c>
      <c r="AW157" s="9" t="s">
        <v>23</v>
      </c>
      <c r="AX157" s="9" t="str">
        <f>IFERROR(MID(VLOOKUP($B157,Seqs!$A:$B,2,0),AY157,1),"")</f>
        <v/>
      </c>
      <c r="AY157" s="9" t="s">
        <v>23</v>
      </c>
      <c r="AZ157" s="110" t="str">
        <f>VLOOKUP(B157,Classification!A:D,2,0)</f>
        <v>A</v>
      </c>
      <c r="BA157" s="98" t="str">
        <f>VLOOKUP(B157,Classification!A:D,4,0)</f>
        <v>Chemokine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243</v>
      </c>
      <c r="BD157" s="40" t="s">
        <v>23</v>
      </c>
      <c r="BE157" s="9" t="s">
        <v>1375</v>
      </c>
      <c r="BF157" s="120">
        <v>4.5</v>
      </c>
      <c r="BG157" s="51" t="s">
        <v>1282</v>
      </c>
      <c r="BH157" s="51" t="s">
        <v>1282</v>
      </c>
      <c r="BJ157" s="111" t="s">
        <v>1288</v>
      </c>
      <c r="BK157" s="112" t="s">
        <v>1288</v>
      </c>
      <c r="BL157" s="112" t="s">
        <v>1288</v>
      </c>
      <c r="BM157" s="112" t="s">
        <v>1288</v>
      </c>
      <c r="BN157" s="112" t="s">
        <v>1288</v>
      </c>
      <c r="BO157" s="112" t="s">
        <v>1288</v>
      </c>
      <c r="BP157" s="112" t="s">
        <v>1288</v>
      </c>
      <c r="BQ157" s="112" t="s">
        <v>1288</v>
      </c>
      <c r="BR157" s="112" t="s">
        <v>1288</v>
      </c>
      <c r="BS157" s="112" t="s">
        <v>1288</v>
      </c>
      <c r="BT157" s="112" t="s">
        <v>1288</v>
      </c>
      <c r="BU157" s="112" t="s">
        <v>1288</v>
      </c>
      <c r="BV157" s="111">
        <f>E157</f>
        <v>26</v>
      </c>
      <c r="BW157" s="113" t="str">
        <f>I157</f>
        <v>-</v>
      </c>
      <c r="BX157" s="114">
        <f>M157</f>
        <v>63</v>
      </c>
      <c r="BY157" s="113">
        <f>Q157</f>
        <v>93</v>
      </c>
      <c r="BZ157" s="114">
        <f>U157</f>
        <v>100</v>
      </c>
      <c r="CA157" s="113">
        <f>Y157</f>
        <v>133</v>
      </c>
      <c r="CB157" s="114">
        <f>AC157</f>
        <v>141</v>
      </c>
      <c r="CC157" s="113">
        <f>AG157</f>
        <v>178</v>
      </c>
      <c r="CD157" s="114">
        <f>AK157</f>
        <v>186</v>
      </c>
      <c r="CE157" s="113">
        <f>AO157</f>
        <v>228</v>
      </c>
      <c r="CF157" s="114">
        <f>AS157</f>
        <v>268</v>
      </c>
      <c r="CG157" s="113" t="str">
        <f>AW157</f>
        <v>-</v>
      </c>
      <c r="CH157" s="111">
        <f>G157</f>
        <v>60</v>
      </c>
      <c r="CI157" s="113" t="str">
        <f>K157</f>
        <v>-</v>
      </c>
      <c r="CJ157" s="114">
        <f>O157</f>
        <v>90</v>
      </c>
      <c r="CK157" s="114">
        <f>S157</f>
        <v>96</v>
      </c>
      <c r="CL157" s="114">
        <f>W157</f>
        <v>132</v>
      </c>
      <c r="CM157" s="114">
        <f>AA157</f>
        <v>140</v>
      </c>
      <c r="CN157" s="114">
        <f>AE157</f>
        <v>165</v>
      </c>
      <c r="CO157" s="114">
        <f>AI157</f>
        <v>180</v>
      </c>
      <c r="CP157" s="114">
        <f>AM157</f>
        <v>224</v>
      </c>
      <c r="CQ157" s="114">
        <f>AQ157</f>
        <v>260</v>
      </c>
      <c r="CR157" s="114">
        <f>AU157</f>
        <v>300</v>
      </c>
      <c r="CS157" s="114" t="str">
        <f>AY157</f>
        <v>-</v>
      </c>
      <c r="CT157" s="109" t="e">
        <f>M157-K157</f>
        <v>#VALUE!</v>
      </c>
    </row>
    <row r="158" spans="1:1030" x14ac:dyDescent="0.2">
      <c r="A158" s="3" t="str">
        <f t="shared" si="839"/>
        <v>ccr9_human__wt</v>
      </c>
      <c r="B158" s="3" t="s">
        <v>177</v>
      </c>
      <c r="C158" s="3" t="s">
        <v>100</v>
      </c>
      <c r="D158" s="3" t="str">
        <f>IFERROR(MID(VLOOKUP($B158,Seqs!$A:$B,2,0),E158,1),"")</f>
        <v>V</v>
      </c>
      <c r="E158" s="3">
        <v>43</v>
      </c>
      <c r="F158" s="3" t="str">
        <f>IFERROR(MID(VLOOKUP($B158,Seqs!$A:$B,2,0),G158,1),"")</f>
        <v>C</v>
      </c>
      <c r="G158" s="3">
        <v>76</v>
      </c>
      <c r="H158" s="3" t="str">
        <f>IFERROR(MID(VLOOKUP($B158,Seqs!$A:$B,2,0),I158,1),"")</f>
        <v>T</v>
      </c>
      <c r="I158" s="23">
        <v>77</v>
      </c>
      <c r="J158" s="3" t="str">
        <f>IFERROR(MID(VLOOKUP($B158,Seqs!$A:$B,2,0),K158,1),"")</f>
        <v>K</v>
      </c>
      <c r="K158" s="23">
        <v>80</v>
      </c>
      <c r="L158" s="3" t="str">
        <f>IFERROR(MID(VLOOKUP($B158,Seqs!$A:$B,2,0),M158,1),"")</f>
        <v>T</v>
      </c>
      <c r="M158" s="3">
        <v>81</v>
      </c>
      <c r="N158" s="3" t="str">
        <f>IFERROR(MID(VLOOKUP($B158,Seqs!$A:$B,2,0),O158,1),"")</f>
        <v>D</v>
      </c>
      <c r="O158" s="3">
        <v>110</v>
      </c>
      <c r="P158" s="3" t="str">
        <f>IFERROR(MID(VLOOKUP($B158,Seqs!$A:$B,2,0),Q158,1),"")</f>
        <v>Q</v>
      </c>
      <c r="Q158" s="3">
        <v>111</v>
      </c>
      <c r="R158" s="3" t="str">
        <f>IFERROR(MID(VLOOKUP($B158,Seqs!$A:$B,2,0),S158,1),"")</f>
        <v>F</v>
      </c>
      <c r="S158" s="3">
        <v>114</v>
      </c>
      <c r="T158" s="3" t="str">
        <f>IFERROR(MID(VLOOKUP($B158,Seqs!$A:$B,2,0),U158,1),"")</f>
        <v>Q</v>
      </c>
      <c r="U158" s="3">
        <v>115</v>
      </c>
      <c r="V158" s="3" t="str">
        <f>IFERROR(MID(VLOOKUP($B158,Seqs!$A:$B,2,0),W158,1),"")</f>
        <v>Q</v>
      </c>
      <c r="W158" s="3">
        <v>150</v>
      </c>
      <c r="X158" s="3" t="str">
        <f>IFERROR(MID(VLOOKUP($B158,Seqs!$A:$B,2,0),Y158,1),"")</f>
        <v>A</v>
      </c>
      <c r="Y158" s="3">
        <v>151</v>
      </c>
      <c r="Z158" s="3" t="str">
        <f>IFERROR(MID(VLOOKUP($B158,Seqs!$A:$B,2,0),AA158,1),"")</f>
        <v>W</v>
      </c>
      <c r="AA158" s="3">
        <v>157</v>
      </c>
      <c r="AB158" s="3" t="str">
        <f>IFERROR(MID(VLOOKUP($B158,Seqs!$A:$B,2,0),AC158,1),"")</f>
        <v>R</v>
      </c>
      <c r="AC158" s="9">
        <v>158</v>
      </c>
      <c r="AD158" s="3" t="str">
        <f>IFERROR(MID(VLOOKUP($B158,Seqs!$A:$B,2,0),AE158,1),"")</f>
        <v>S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M</v>
      </c>
      <c r="AI158" s="3">
        <v>200</v>
      </c>
      <c r="AJ158" s="3" t="str">
        <f>IFERROR(MID(VLOOKUP($B158,Seqs!$A:$B,2,0),AK158,1),"")</f>
        <v>K</v>
      </c>
      <c r="AK158" s="3">
        <v>209</v>
      </c>
      <c r="AL158" s="3" t="str">
        <f>IFERROR(MID(VLOOKUP($B158,Seqs!$A:$B,2,0),AM158,1),"")</f>
        <v>A</v>
      </c>
      <c r="AM158" s="3">
        <v>244</v>
      </c>
      <c r="AN158" s="3" t="str">
        <f>IFERROR(MID(VLOOKUP($B158,Seqs!$A:$B,2,0),AO158,1),"")</f>
        <v>S</v>
      </c>
      <c r="AO158" s="3">
        <v>247</v>
      </c>
      <c r="AP158" s="3" t="str">
        <f>IFERROR(MID(VLOOKUP($B158,Seqs!$A:$B,2,0),AQ158,1),"")</f>
        <v>M</v>
      </c>
      <c r="AQ158" s="3">
        <v>284</v>
      </c>
      <c r="AR158" s="3" t="str">
        <f>IFERROR(MID(VLOOKUP($B158,Seqs!$A:$B,2,0),AS158,1),"")</f>
        <v>N</v>
      </c>
      <c r="AS158" s="3">
        <v>288</v>
      </c>
      <c r="AT158" s="3" t="str">
        <f>IFERROR(MID(VLOOKUP($B158,Seqs!$A:$B,2,0),AU158,1),"")</f>
        <v>V</v>
      </c>
      <c r="AU158" s="3">
        <v>320</v>
      </c>
      <c r="AV158" s="3" t="str">
        <f>IFERROR(MID(VLOOKUP($B158,Seqs!$A:$B,2,0),AW158,1),"")</f>
        <v>G</v>
      </c>
      <c r="AW158" s="3">
        <v>321</v>
      </c>
      <c r="AX158" s="3" t="str">
        <f>IFERROR(MID(VLOOKUP($B158,Seqs!$A:$B,2,0),AY158,1),"")</f>
        <v>A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Chemokine</v>
      </c>
      <c r="BB158" s="27" t="b">
        <f t="shared" si="840"/>
        <v>1</v>
      </c>
      <c r="BC158" s="23">
        <f t="shared" si="617"/>
        <v>276</v>
      </c>
      <c r="BD158" s="56" t="s">
        <v>23</v>
      </c>
      <c r="BE158" s="3" t="s">
        <v>23</v>
      </c>
      <c r="BF158" s="119" t="s">
        <v>23</v>
      </c>
      <c r="BG158" s="49" t="s">
        <v>1373</v>
      </c>
      <c r="BH158" s="49" t="s">
        <v>1378</v>
      </c>
      <c r="BI158" s="1"/>
      <c r="BJ158" s="70" t="s">
        <v>1288</v>
      </c>
      <c r="BK158" s="57" t="s">
        <v>1288</v>
      </c>
      <c r="BL158" s="57" t="s">
        <v>1288</v>
      </c>
      <c r="BM158" s="57" t="s">
        <v>1288</v>
      </c>
      <c r="BN158" s="57" t="s">
        <v>1288</v>
      </c>
      <c r="BO158" s="57" t="s">
        <v>1288</v>
      </c>
      <c r="BP158" s="57" t="s">
        <v>1288</v>
      </c>
      <c r="BQ158" s="57" t="s">
        <v>1288</v>
      </c>
      <c r="BR158" s="57" t="s">
        <v>1288</v>
      </c>
      <c r="BS158" s="57" t="s">
        <v>1288</v>
      </c>
      <c r="BT158" s="57" t="s">
        <v>1288</v>
      </c>
      <c r="BU158" s="57" t="s">
        <v>1288</v>
      </c>
      <c r="BV158" s="70">
        <f t="shared" si="618"/>
        <v>43</v>
      </c>
      <c r="BW158" s="71">
        <f t="shared" si="619"/>
        <v>77</v>
      </c>
      <c r="BX158" s="72">
        <f t="shared" si="620"/>
        <v>81</v>
      </c>
      <c r="BY158" s="71">
        <f t="shared" si="621"/>
        <v>111</v>
      </c>
      <c r="BZ158" s="72">
        <f t="shared" si="622"/>
        <v>115</v>
      </c>
      <c r="CA158" s="71">
        <f t="shared" si="623"/>
        <v>151</v>
      </c>
      <c r="CB158" s="72">
        <f t="shared" si="624"/>
        <v>158</v>
      </c>
      <c r="CC158" s="71">
        <f t="shared" si="625"/>
        <v>198</v>
      </c>
      <c r="CD158" s="72">
        <f t="shared" si="626"/>
        <v>209</v>
      </c>
      <c r="CE158" s="71">
        <f t="shared" si="627"/>
        <v>247</v>
      </c>
      <c r="CF158" s="72">
        <f t="shared" si="628"/>
        <v>288</v>
      </c>
      <c r="CG158" s="71">
        <f t="shared" si="629"/>
        <v>321</v>
      </c>
      <c r="CH158" s="70">
        <f t="shared" si="630"/>
        <v>76</v>
      </c>
      <c r="CI158" s="71">
        <f t="shared" si="631"/>
        <v>80</v>
      </c>
      <c r="CJ158" s="72">
        <f t="shared" si="632"/>
        <v>110</v>
      </c>
      <c r="CK158" s="72">
        <f t="shared" si="633"/>
        <v>114</v>
      </c>
      <c r="CL158" s="72">
        <f t="shared" si="634"/>
        <v>150</v>
      </c>
      <c r="CM158" s="72">
        <f t="shared" si="635"/>
        <v>157</v>
      </c>
      <c r="CN158" s="72">
        <f t="shared" si="636"/>
        <v>187</v>
      </c>
      <c r="CO158" s="72">
        <f t="shared" si="637"/>
        <v>200</v>
      </c>
      <c r="CP158" s="72">
        <f t="shared" si="638"/>
        <v>244</v>
      </c>
      <c r="CQ158" s="72">
        <f t="shared" si="639"/>
        <v>284</v>
      </c>
      <c r="CR158" s="72">
        <f t="shared" si="640"/>
        <v>320</v>
      </c>
      <c r="CS158" s="72">
        <f t="shared" si="641"/>
        <v>341</v>
      </c>
      <c r="CT158" s="23">
        <f t="shared" si="642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839"/>
        <v>ccr9_human_5LWE</v>
      </c>
      <c r="B159" s="3" t="s">
        <v>177</v>
      </c>
      <c r="C159" s="3" t="s">
        <v>1366</v>
      </c>
      <c r="D159" s="3" t="str">
        <f>IFERROR(MID(VLOOKUP($B159,Seqs!$A:$B,2,0),E159,1),"")</f>
        <v>V</v>
      </c>
      <c r="E159" s="3">
        <v>43</v>
      </c>
      <c r="F159" s="3" t="str">
        <f>IFERROR(MID(VLOOKUP($B159,Seqs!$A:$B,2,0),G159,1),"")</f>
        <v>C</v>
      </c>
      <c r="G159" s="3">
        <v>76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81</v>
      </c>
      <c r="N159" s="3" t="str">
        <f>IFERROR(MID(VLOOKUP($B159,Seqs!$A:$B,2,0),O159,1),"")</f>
        <v>A</v>
      </c>
      <c r="O159" s="3">
        <v>108</v>
      </c>
      <c r="P159" s="3" t="str">
        <f>IFERROR(MID(VLOOKUP($B159,Seqs!$A:$B,2,0),Q159,1),"")</f>
        <v/>
      </c>
      <c r="Q159" s="3" t="s">
        <v>23</v>
      </c>
      <c r="R159" s="3" t="str">
        <f>IFERROR(MID(VLOOKUP($B159,Seqs!$A:$B,2,0),S159,1),"")</f>
        <v/>
      </c>
      <c r="S159" s="3" t="s">
        <v>23</v>
      </c>
      <c r="T159" s="3" t="str">
        <f>IFERROR(MID(VLOOKUP($B159,Seqs!$A:$B,2,0),U159,1),"")</f>
        <v>C</v>
      </c>
      <c r="U159" s="3">
        <v>119</v>
      </c>
      <c r="V159" s="3" t="str">
        <f>IFERROR(MID(VLOOKUP($B159,Seqs!$A:$B,2,0),W159,1),"")</f>
        <v>Q</v>
      </c>
      <c r="W159" s="3">
        <v>150</v>
      </c>
      <c r="X159" s="3" t="str">
        <f>IFERROR(MID(VLOOKUP($B159,Seqs!$A:$B,2,0),Y159,1),"")</f>
        <v>A</v>
      </c>
      <c r="Y159" s="3">
        <v>151</v>
      </c>
      <c r="Z159" s="3" t="str">
        <f>IFERROR(MID(VLOOKUP($B159,Seqs!$A:$B,2,0),AA159,1),"")</f>
        <v>W</v>
      </c>
      <c r="AA159" s="3">
        <v>157</v>
      </c>
      <c r="AB159" s="3" t="str">
        <f>IFERROR(MID(VLOOKUP($B159,Seqs!$A:$B,2,0),AC159,1),"")</f>
        <v>R</v>
      </c>
      <c r="AC159" s="9">
        <v>158</v>
      </c>
      <c r="AD159" s="3" t="str">
        <f>IFERROR(MID(VLOOKUP($B159,Seqs!$A:$B,2,0),AE159,1),"")</f>
        <v>I</v>
      </c>
      <c r="AE159" s="3">
        <v>184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/>
      </c>
      <c r="AK159" s="3" t="s">
        <v>23</v>
      </c>
      <c r="AL159" s="3" t="str">
        <f>IFERROR(MID(VLOOKUP($B159,Seqs!$A:$B,2,0),AM159,1),"")</f>
        <v/>
      </c>
      <c r="AM159" s="3" t="s">
        <v>23</v>
      </c>
      <c r="AN159" s="3" t="str">
        <f>IFERROR(MID(VLOOKUP($B159,Seqs!$A:$B,2,0),AO159,1),"")</f>
        <v>S</v>
      </c>
      <c r="AO159" s="3">
        <v>247</v>
      </c>
      <c r="AP159" s="3" t="str">
        <f>IFERROR(MID(VLOOKUP($B159,Seqs!$A:$B,2,0),AQ159,1),"")</f>
        <v>M</v>
      </c>
      <c r="AQ159" s="3">
        <v>284</v>
      </c>
      <c r="AR159" s="3" t="str">
        <f>IFERROR(MID(VLOOKUP($B159,Seqs!$A:$B,2,0),AS159,1),"")</f>
        <v>N</v>
      </c>
      <c r="AS159" s="3">
        <v>288</v>
      </c>
      <c r="AT159" s="3" t="str">
        <f>IFERROR(MID(VLOOKUP($B159,Seqs!$A:$B,2,0),AU159,1),"")</f>
        <v>V</v>
      </c>
      <c r="AU159" s="3">
        <v>320</v>
      </c>
      <c r="AV159" s="3" t="str">
        <f>IFERROR(MID(VLOOKUP($B159,Seqs!$A:$B,2,0),AW159,1),"")</f>
        <v>G</v>
      </c>
      <c r="AW159" s="3">
        <v>321</v>
      </c>
      <c r="AX159" s="3" t="str">
        <f>IFERROR(MID(VLOOKUP($B159,Seqs!$A:$B,2,0),AY159,1),"")</f>
        <v>A</v>
      </c>
      <c r="AY159" s="3">
        <v>341</v>
      </c>
      <c r="AZ159" s="77" t="str">
        <f>VLOOKUP(B159,Classification!A:D,2,0)</f>
        <v>A</v>
      </c>
      <c r="BA159" s="94" t="str">
        <f>VLOOKUP(B159,Classification!A:D,4,0)</f>
        <v>Chemokine</v>
      </c>
      <c r="BB159" s="27" t="b">
        <f t="shared" si="840"/>
        <v>0</v>
      </c>
      <c r="BC159" s="23">
        <f t="shared" si="617"/>
        <v>224</v>
      </c>
      <c r="BD159" s="16" t="s">
        <v>1377</v>
      </c>
      <c r="BE159" s="3" t="s">
        <v>1375</v>
      </c>
      <c r="BF159" s="119">
        <v>2.8</v>
      </c>
      <c r="BG159" s="49" t="s">
        <v>1378</v>
      </c>
      <c r="BH159" s="49" t="s">
        <v>1378</v>
      </c>
      <c r="BI159" s="1"/>
      <c r="BJ159" s="70" t="s">
        <v>1288</v>
      </c>
      <c r="BK159" s="57" t="s">
        <v>1288</v>
      </c>
      <c r="BL159" s="57" t="s">
        <v>1288</v>
      </c>
      <c r="BM159" s="57" t="s">
        <v>1288</v>
      </c>
      <c r="BN159" s="57" t="s">
        <v>1288</v>
      </c>
      <c r="BO159" s="57" t="s">
        <v>1288</v>
      </c>
      <c r="BP159" s="57" t="s">
        <v>1288</v>
      </c>
      <c r="BQ159" s="57" t="s">
        <v>1288</v>
      </c>
      <c r="BR159" s="57" t="s">
        <v>1288</v>
      </c>
      <c r="BS159" s="57" t="s">
        <v>1288</v>
      </c>
      <c r="BT159" s="57" t="s">
        <v>1288</v>
      </c>
      <c r="BU159" s="57" t="s">
        <v>1288</v>
      </c>
      <c r="BV159" s="70">
        <f t="shared" si="618"/>
        <v>43</v>
      </c>
      <c r="BW159" s="71" t="str">
        <f t="shared" si="619"/>
        <v>-</v>
      </c>
      <c r="BX159" s="72">
        <f t="shared" si="620"/>
        <v>81</v>
      </c>
      <c r="BY159" s="71" t="str">
        <f t="shared" si="621"/>
        <v>-</v>
      </c>
      <c r="BZ159" s="72">
        <f t="shared" si="622"/>
        <v>119</v>
      </c>
      <c r="CA159" s="71">
        <f t="shared" si="623"/>
        <v>151</v>
      </c>
      <c r="CB159" s="72">
        <f t="shared" si="624"/>
        <v>158</v>
      </c>
      <c r="CC159" s="71" t="str">
        <f t="shared" si="625"/>
        <v>-</v>
      </c>
      <c r="CD159" s="72" t="str">
        <f t="shared" si="626"/>
        <v>-</v>
      </c>
      <c r="CE159" s="71">
        <f t="shared" si="627"/>
        <v>247</v>
      </c>
      <c r="CF159" s="72">
        <f t="shared" si="628"/>
        <v>288</v>
      </c>
      <c r="CG159" s="71">
        <f t="shared" si="629"/>
        <v>321</v>
      </c>
      <c r="CH159" s="70">
        <f t="shared" si="630"/>
        <v>76</v>
      </c>
      <c r="CI159" s="71" t="str">
        <f t="shared" si="631"/>
        <v>-</v>
      </c>
      <c r="CJ159" s="72">
        <f t="shared" si="632"/>
        <v>108</v>
      </c>
      <c r="CK159" s="72" t="str">
        <f t="shared" si="633"/>
        <v>-</v>
      </c>
      <c r="CL159" s="72">
        <f t="shared" si="634"/>
        <v>150</v>
      </c>
      <c r="CM159" s="72">
        <f t="shared" si="635"/>
        <v>157</v>
      </c>
      <c r="CN159" s="72">
        <f t="shared" si="636"/>
        <v>184</v>
      </c>
      <c r="CO159" s="72" t="str">
        <f t="shared" si="637"/>
        <v>-</v>
      </c>
      <c r="CP159" s="72" t="str">
        <f t="shared" si="638"/>
        <v>-</v>
      </c>
      <c r="CQ159" s="72">
        <f t="shared" si="639"/>
        <v>284</v>
      </c>
      <c r="CR159" s="72">
        <f t="shared" si="640"/>
        <v>320</v>
      </c>
      <c r="CS159" s="72">
        <f t="shared" si="641"/>
        <v>341</v>
      </c>
      <c r="CT159" s="23" t="e">
        <f t="shared" si="642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>CONCATENATE(B160,"_",C160)</f>
        <v>ccr9_human_5LWE_dist</v>
      </c>
      <c r="B160" s="3" t="s">
        <v>177</v>
      </c>
      <c r="C160" s="3" t="s">
        <v>1385</v>
      </c>
      <c r="D160" s="3" t="str">
        <f>IFERROR(MID(VLOOKUP($B160,Seqs!$A:$B,2,0),E160,1),"")</f>
        <v>V</v>
      </c>
      <c r="E160" s="3">
        <v>43</v>
      </c>
      <c r="F160" s="3" t="str">
        <f>IFERROR(MID(VLOOKUP($B160,Seqs!$A:$B,2,0),G160,1),"")</f>
        <v>C</v>
      </c>
      <c r="G160" s="3">
        <v>76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T</v>
      </c>
      <c r="M160" s="3">
        <v>81</v>
      </c>
      <c r="N160" s="3" t="str">
        <f>IFERROR(MID(VLOOKUP($B160,Seqs!$A:$B,2,0),O160,1),"")</f>
        <v>A</v>
      </c>
      <c r="O160" s="3">
        <v>108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C</v>
      </c>
      <c r="U160" s="3">
        <v>119</v>
      </c>
      <c r="V160" s="3" t="str">
        <f>IFERROR(MID(VLOOKUP($B160,Seqs!$A:$B,2,0),W160,1),"")</f>
        <v>Q</v>
      </c>
      <c r="W160" s="3">
        <v>150</v>
      </c>
      <c r="X160" s="3" t="str">
        <f>IFERROR(MID(VLOOKUP($B160,Seqs!$A:$B,2,0),Y160,1),"")</f>
        <v>A</v>
      </c>
      <c r="Y160" s="3">
        <v>151</v>
      </c>
      <c r="Z160" s="3" t="str">
        <f>IFERROR(MID(VLOOKUP($B160,Seqs!$A:$B,2,0),AA160,1),"")</f>
        <v>W</v>
      </c>
      <c r="AA160" s="3">
        <v>157</v>
      </c>
      <c r="AB160" s="3" t="str">
        <f>IFERROR(MID(VLOOKUP($B160,Seqs!$A:$B,2,0),AC160,1),"")</f>
        <v>R</v>
      </c>
      <c r="AC160" s="9">
        <v>158</v>
      </c>
      <c r="AD160" s="3" t="str">
        <f>IFERROR(MID(VLOOKUP($B160,Seqs!$A:$B,2,0),AE160,1),"")</f>
        <v>I</v>
      </c>
      <c r="AE160" s="3">
        <v>184</v>
      </c>
      <c r="AF160" s="3" t="str">
        <f>IFERROR(MID(VLOOKUP($B160,Seqs!$A:$B,2,0),AG160,1),"")</f>
        <v/>
      </c>
      <c r="AG160" s="3" t="s">
        <v>23</v>
      </c>
      <c r="AH160" s="3" t="str">
        <f>IFERROR(MID(VLOOKUP($B160,Seqs!$A:$B,2,0),AI160,1),"")</f>
        <v/>
      </c>
      <c r="AI160" s="3" t="s">
        <v>23</v>
      </c>
      <c r="AJ160" s="3" t="str">
        <f>IFERROR(MID(VLOOKUP($B160,Seqs!$A:$B,2,0),AK160,1),"")</f>
        <v>K</v>
      </c>
      <c r="AK160" s="3">
        <v>209</v>
      </c>
      <c r="AL160" s="3" t="str">
        <f>IFERROR(MID(VLOOKUP($B160,Seqs!$A:$B,2,0),AM160,1),"")</f>
        <v>A</v>
      </c>
      <c r="AM160" s="3">
        <v>244</v>
      </c>
      <c r="AN160" s="3" t="str">
        <f>IFERROR(MID(VLOOKUP($B160,Seqs!$A:$B,2,0),AO160,1),"")</f>
        <v>S</v>
      </c>
      <c r="AO160" s="3">
        <v>247</v>
      </c>
      <c r="AP160" s="3" t="str">
        <f>IFERROR(MID(VLOOKUP($B160,Seqs!$A:$B,2,0),AQ160,1),"")</f>
        <v>M</v>
      </c>
      <c r="AQ160" s="3">
        <v>284</v>
      </c>
      <c r="AR160" s="3" t="str">
        <f>IFERROR(MID(VLOOKUP($B160,Seqs!$A:$B,2,0),AS160,1),"")</f>
        <v>N</v>
      </c>
      <c r="AS160" s="3">
        <v>288</v>
      </c>
      <c r="AT160" s="3" t="str">
        <f>IFERROR(MID(VLOOKUP($B160,Seqs!$A:$B,2,0),AU160,1),"")</f>
        <v>V</v>
      </c>
      <c r="AU160" s="3">
        <v>320</v>
      </c>
      <c r="AV160" s="3" t="str">
        <f>IFERROR(MID(VLOOKUP($B160,Seqs!$A:$B,2,0),AW160,1),"")</f>
        <v>G</v>
      </c>
      <c r="AW160" s="3">
        <v>321</v>
      </c>
      <c r="AX160" s="3" t="str">
        <f>IFERROR(MID(VLOOKUP($B160,Seqs!$A:$B,2,0),AY160,1),"")</f>
        <v>A</v>
      </c>
      <c r="AY160" s="3">
        <v>341</v>
      </c>
      <c r="AZ160" s="77" t="str">
        <f>VLOOKUP(B160,Classification!A:D,2,0)</f>
        <v>A</v>
      </c>
      <c r="BA160" s="94" t="str">
        <f>VLOOKUP(B160,Classification!A:D,4,0)</f>
        <v>Chemokine</v>
      </c>
      <c r="BB160" s="27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>_xlfn.AGGREGATE(9,6,CH160:CS160)-_xlfn.AGGREGATE(9,6,BV160:CG160)+12</f>
        <v>259</v>
      </c>
      <c r="BD160" s="16" t="s">
        <v>23</v>
      </c>
      <c r="BE160" s="3" t="s">
        <v>1375</v>
      </c>
      <c r="BF160" s="119">
        <v>2.8</v>
      </c>
      <c r="BG160" s="49" t="s">
        <v>1378</v>
      </c>
      <c r="BH160" s="49" t="s">
        <v>1378</v>
      </c>
      <c r="BI160" s="1"/>
      <c r="BJ160" s="70" t="s">
        <v>1288</v>
      </c>
      <c r="BK160" s="57" t="s">
        <v>1288</v>
      </c>
      <c r="BL160" s="57" t="s">
        <v>1288</v>
      </c>
      <c r="BM160" s="57" t="s">
        <v>1288</v>
      </c>
      <c r="BN160" s="57" t="s">
        <v>1288</v>
      </c>
      <c r="BO160" s="57" t="s">
        <v>1288</v>
      </c>
      <c r="BP160" s="57" t="s">
        <v>1288</v>
      </c>
      <c r="BQ160" s="57" t="s">
        <v>1288</v>
      </c>
      <c r="BR160" s="57" t="s">
        <v>1288</v>
      </c>
      <c r="BS160" s="57" t="s">
        <v>1288</v>
      </c>
      <c r="BT160" s="57" t="s">
        <v>1288</v>
      </c>
      <c r="BU160" s="57" t="s">
        <v>1288</v>
      </c>
      <c r="BV160" s="70">
        <f>E160</f>
        <v>43</v>
      </c>
      <c r="BW160" s="71" t="str">
        <f>I160</f>
        <v>-</v>
      </c>
      <c r="BX160" s="72">
        <f>M160</f>
        <v>81</v>
      </c>
      <c r="BY160" s="71" t="str">
        <f>Q160</f>
        <v>-</v>
      </c>
      <c r="BZ160" s="72">
        <f>U160</f>
        <v>119</v>
      </c>
      <c r="CA160" s="71">
        <f>Y160</f>
        <v>151</v>
      </c>
      <c r="CB160" s="72">
        <f>AC160</f>
        <v>158</v>
      </c>
      <c r="CC160" s="71" t="str">
        <f>AG160</f>
        <v>-</v>
      </c>
      <c r="CD160" s="72">
        <f>AK160</f>
        <v>209</v>
      </c>
      <c r="CE160" s="71">
        <f>AO160</f>
        <v>247</v>
      </c>
      <c r="CF160" s="72">
        <f>AS160</f>
        <v>288</v>
      </c>
      <c r="CG160" s="71">
        <f>AW160</f>
        <v>321</v>
      </c>
      <c r="CH160" s="70">
        <f>G160</f>
        <v>76</v>
      </c>
      <c r="CI160" s="71" t="str">
        <f>K160</f>
        <v>-</v>
      </c>
      <c r="CJ160" s="72">
        <f>O160</f>
        <v>108</v>
      </c>
      <c r="CK160" s="72" t="str">
        <f>S160</f>
        <v>-</v>
      </c>
      <c r="CL160" s="72">
        <f>W160</f>
        <v>150</v>
      </c>
      <c r="CM160" s="72">
        <f>AA160</f>
        <v>157</v>
      </c>
      <c r="CN160" s="72">
        <f>AE160</f>
        <v>184</v>
      </c>
      <c r="CO160" s="72" t="str">
        <f>AI160</f>
        <v>-</v>
      </c>
      <c r="CP160" s="72">
        <f>AM160</f>
        <v>244</v>
      </c>
      <c r="CQ160" s="72">
        <f>AQ160</f>
        <v>284</v>
      </c>
      <c r="CR160" s="72">
        <f>AU160</f>
        <v>320</v>
      </c>
      <c r="CS160" s="72">
        <f>AY160</f>
        <v>341</v>
      </c>
      <c r="CT160" s="23" t="e">
        <f>M160-K160</f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839"/>
        <v>cnr1_human__wt</v>
      </c>
      <c r="B161" s="3" t="s">
        <v>182</v>
      </c>
      <c r="C161" s="3" t="s">
        <v>100</v>
      </c>
      <c r="D161" s="3" t="str">
        <f>IFERROR(MID(VLOOKUP($B161,Seqs!$A:$B,2,0),E161,1),"")</f>
        <v>N</v>
      </c>
      <c r="E161" s="3">
        <v>112</v>
      </c>
      <c r="F161" s="3" t="str">
        <f>IFERROR(MID(VLOOKUP($B161,Seqs!$A:$B,2,0),G161,1),"")</f>
        <v>S</v>
      </c>
      <c r="G161" s="3">
        <v>144</v>
      </c>
      <c r="H161" s="3" t="str">
        <f>IFERROR(MID(VLOOKUP($B161,Seqs!$A:$B,2,0),I161,1),"")</f>
        <v>R</v>
      </c>
      <c r="I161" s="23">
        <v>145</v>
      </c>
      <c r="J161" s="3" t="str">
        <f>IFERROR(MID(VLOOKUP($B161,Seqs!$A:$B,2,0),K161,1),"")</f>
        <v>R</v>
      </c>
      <c r="K161" s="23">
        <v>148</v>
      </c>
      <c r="L161" s="3" t="str">
        <f>IFERROR(MID(VLOOKUP($B161,Seqs!$A:$B,2,0),M161,1),"")</f>
        <v>R</v>
      </c>
      <c r="M161" s="3">
        <v>150</v>
      </c>
      <c r="N161" s="3" t="str">
        <f>IFERROR(MID(VLOOKUP($B161,Seqs!$A:$B,2,0),O161,1),"")</f>
        <v>V</v>
      </c>
      <c r="O161" s="3">
        <v>179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S</v>
      </c>
      <c r="U161" s="3">
        <v>185</v>
      </c>
      <c r="V161" s="3" t="str">
        <f>IFERROR(MID(VLOOKUP($B161,Seqs!$A:$B,2,0),W161,1),"")</f>
        <v>R</v>
      </c>
      <c r="W161" s="3">
        <v>220</v>
      </c>
      <c r="X161" s="3" t="str">
        <f>IFERROR(MID(VLOOKUP($B161,Seqs!$A:$B,2,0),Y161,1),"")</f>
        <v>P</v>
      </c>
      <c r="Y161" s="3">
        <v>221</v>
      </c>
      <c r="Z161" s="3" t="str">
        <f>IFERROR(MID(VLOOKUP($B161,Seqs!$A:$B,2,0),AA161,1),"")</f>
        <v>V</v>
      </c>
      <c r="AA161" s="3">
        <v>228</v>
      </c>
      <c r="AB161" s="3" t="str">
        <f>IFERROR(MID(VLOOKUP($B161,Seqs!$A:$B,2,0),AC161,1),"")</f>
        <v>T</v>
      </c>
      <c r="AC161" s="9">
        <v>229</v>
      </c>
      <c r="AD161" s="3" t="str">
        <f>IFERROR(MID(VLOOKUP($B161,Seqs!$A:$B,2,0),AE161,1),"")</f>
        <v>G</v>
      </c>
      <c r="AE161" s="3">
        <v>254</v>
      </c>
      <c r="AF161" s="3" t="str">
        <f>IFERROR(MID(VLOOKUP($B161,Seqs!$A:$B,2,0),AG161,1),"")</f>
        <v/>
      </c>
      <c r="AG161" s="3" t="s">
        <v>23</v>
      </c>
      <c r="AH161" s="3" t="str">
        <f>IFERROR(MID(VLOOKUP($B161,Seqs!$A:$B,2,0),AI161,1),"")</f>
        <v/>
      </c>
      <c r="AI161" s="3" t="s">
        <v>23</v>
      </c>
      <c r="AJ161" s="3" t="str">
        <f>IFERROR(MID(VLOOKUP($B161,Seqs!$A:$B,2,0),AK161,1),"")</f>
        <v>D</v>
      </c>
      <c r="AK161" s="3">
        <v>272</v>
      </c>
      <c r="AL161" s="3" t="str">
        <f>IFERROR(MID(VLOOKUP($B161,Seqs!$A:$B,2,0),AM161,1),"")</f>
        <v>G</v>
      </c>
      <c r="AM161" s="3">
        <v>312</v>
      </c>
      <c r="AN161" s="3" t="str">
        <f>IFERROR(MID(VLOOKUP($B161,Seqs!$A:$B,2,0),AO161,1),"")</f>
        <v>P</v>
      </c>
      <c r="AO161" s="3">
        <v>332</v>
      </c>
      <c r="AP161" s="3" t="str">
        <f>IFERROR(MID(VLOOKUP($B161,Seqs!$A:$B,2,0),AQ161,1),"")</f>
        <v>G</v>
      </c>
      <c r="AQ161" s="3">
        <v>369</v>
      </c>
      <c r="AR161" s="3" t="str">
        <f>IFERROR(MID(VLOOKUP($B161,Seqs!$A:$B,2,0),AS161,1),"")</f>
        <v>N</v>
      </c>
      <c r="AS161" s="3">
        <v>372</v>
      </c>
      <c r="AT161" s="3" t="str">
        <f>IFERROR(MID(VLOOKUP($B161,Seqs!$A:$B,2,0),AU161,1),"")</f>
        <v>R</v>
      </c>
      <c r="AU161" s="3">
        <v>400</v>
      </c>
      <c r="AV161" s="3" t="str">
        <f>IFERROR(MID(VLOOKUP($B161,Seqs!$A:$B,2,0),AW161,1),"")</f>
        <v>S</v>
      </c>
      <c r="AW161" s="3">
        <v>401</v>
      </c>
      <c r="AX161" s="3" t="str">
        <f>IFERROR(MID(VLOOKUP($B161,Seqs!$A:$B,2,0),AY161,1),"")</f>
        <v>P</v>
      </c>
      <c r="AY161" s="3">
        <v>413</v>
      </c>
      <c r="AZ161" s="77" t="str">
        <f>VLOOKUP(B161,Classification!A:D,2,0)</f>
        <v>A</v>
      </c>
      <c r="BA161" s="94" t="str">
        <f>VLOOKUP(B161,Classification!A:D,4,0)</f>
        <v>Cannabinoid</v>
      </c>
      <c r="BB161" s="27" t="b">
        <f t="shared" si="840"/>
        <v>1</v>
      </c>
      <c r="BC161" s="23">
        <f t="shared" si="617"/>
        <v>260</v>
      </c>
      <c r="BD161" s="56" t="s">
        <v>23</v>
      </c>
      <c r="BE161" s="3" t="s">
        <v>23</v>
      </c>
      <c r="BF161" s="119" t="s">
        <v>23</v>
      </c>
      <c r="BG161" s="49" t="s">
        <v>1373</v>
      </c>
      <c r="BH161" s="49" t="s">
        <v>1378</v>
      </c>
      <c r="BJ161" s="70" t="s">
        <v>1288</v>
      </c>
      <c r="BK161" s="57" t="s">
        <v>1288</v>
      </c>
      <c r="BL161" s="57" t="s">
        <v>1288</v>
      </c>
      <c r="BM161" s="57" t="s">
        <v>1288</v>
      </c>
      <c r="BN161" s="57" t="s">
        <v>1288</v>
      </c>
      <c r="BO161" s="57" t="s">
        <v>1288</v>
      </c>
      <c r="BP161" s="57" t="s">
        <v>1288</v>
      </c>
      <c r="BQ161" s="57" t="s">
        <v>1288</v>
      </c>
      <c r="BR161" s="57" t="s">
        <v>1288</v>
      </c>
      <c r="BS161" s="57" t="s">
        <v>1288</v>
      </c>
      <c r="BT161" s="57" t="s">
        <v>1288</v>
      </c>
      <c r="BU161" s="57" t="s">
        <v>1288</v>
      </c>
      <c r="BV161" s="70">
        <f t="shared" si="618"/>
        <v>112</v>
      </c>
      <c r="BW161" s="71">
        <f t="shared" si="619"/>
        <v>145</v>
      </c>
      <c r="BX161" s="72">
        <f t="shared" si="620"/>
        <v>150</v>
      </c>
      <c r="BY161" s="71" t="str">
        <f t="shared" si="621"/>
        <v>-</v>
      </c>
      <c r="BZ161" s="72">
        <f t="shared" si="622"/>
        <v>185</v>
      </c>
      <c r="CA161" s="71">
        <f t="shared" si="623"/>
        <v>221</v>
      </c>
      <c r="CB161" s="72">
        <f t="shared" si="624"/>
        <v>229</v>
      </c>
      <c r="CC161" s="71" t="str">
        <f t="shared" si="625"/>
        <v>-</v>
      </c>
      <c r="CD161" s="72">
        <f t="shared" si="626"/>
        <v>272</v>
      </c>
      <c r="CE161" s="71">
        <f t="shared" si="627"/>
        <v>332</v>
      </c>
      <c r="CF161" s="72">
        <f t="shared" si="628"/>
        <v>372</v>
      </c>
      <c r="CG161" s="71">
        <f t="shared" si="629"/>
        <v>401</v>
      </c>
      <c r="CH161" s="70">
        <f t="shared" si="630"/>
        <v>144</v>
      </c>
      <c r="CI161" s="71">
        <f t="shared" si="631"/>
        <v>148</v>
      </c>
      <c r="CJ161" s="72">
        <f t="shared" si="632"/>
        <v>179</v>
      </c>
      <c r="CK161" s="72" t="str">
        <f t="shared" si="633"/>
        <v>-</v>
      </c>
      <c r="CL161" s="72">
        <f t="shared" si="634"/>
        <v>220</v>
      </c>
      <c r="CM161" s="72">
        <f t="shared" si="635"/>
        <v>228</v>
      </c>
      <c r="CN161" s="72">
        <f t="shared" si="636"/>
        <v>254</v>
      </c>
      <c r="CO161" s="72" t="str">
        <f t="shared" si="637"/>
        <v>-</v>
      </c>
      <c r="CP161" s="72">
        <f t="shared" si="638"/>
        <v>312</v>
      </c>
      <c r="CQ161" s="72">
        <f t="shared" si="639"/>
        <v>369</v>
      </c>
      <c r="CR161" s="72">
        <f t="shared" si="640"/>
        <v>400</v>
      </c>
      <c r="CS161" s="72">
        <f t="shared" si="641"/>
        <v>413</v>
      </c>
      <c r="CT161" s="23">
        <f t="shared" si="642"/>
        <v>2</v>
      </c>
    </row>
    <row r="162" spans="1:1030" s="3" customFormat="1" x14ac:dyDescent="0.2">
      <c r="A162" s="3" t="str">
        <f t="shared" si="839"/>
        <v>cnr1_human_5TGZ</v>
      </c>
      <c r="B162" s="3" t="s">
        <v>182</v>
      </c>
      <c r="C162" s="3" t="s">
        <v>1360</v>
      </c>
      <c r="D162" s="3" t="str">
        <f>IFERROR(MID(VLOOKUP($B162,Seqs!$A:$B,2,0),E162,1),"")</f>
        <v>P</v>
      </c>
      <c r="E162" s="3">
        <v>113</v>
      </c>
      <c r="F162" s="3" t="str">
        <f>IFERROR(MID(VLOOKUP($B162,Seqs!$A:$B,2,0),G162,1),"")</f>
        <v>S</v>
      </c>
      <c r="G162" s="3">
        <v>144</v>
      </c>
      <c r="H162" s="3" t="str">
        <f>IFERROR(MID(VLOOKUP($B162,Seqs!$A:$B,2,0),I162,1),"")</f>
        <v>R</v>
      </c>
      <c r="I162" s="23">
        <v>145</v>
      </c>
      <c r="J162" s="3" t="str">
        <f>IFERROR(MID(VLOOKUP($B162,Seqs!$A:$B,2,0),K162,1),"")</f>
        <v>R</v>
      </c>
      <c r="K162" s="23">
        <v>148</v>
      </c>
      <c r="L162" s="3" t="str">
        <f>IFERROR(MID(VLOOKUP($B162,Seqs!$A:$B,2,0),M162,1),"")</f>
        <v>R</v>
      </c>
      <c r="M162" s="3">
        <v>150</v>
      </c>
      <c r="N162" s="3" t="str">
        <f>IFERROR(MID(VLOOKUP($B162,Seqs!$A:$B,2,0),O162,1),"")</f>
        <v>V</v>
      </c>
      <c r="O162" s="3">
        <v>179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S</v>
      </c>
      <c r="U162" s="3">
        <v>185</v>
      </c>
      <c r="V162" s="3" t="str">
        <f>IFERROR(MID(VLOOKUP($B162,Seqs!$A:$B,2,0),W162,1),"")</f>
        <v>R</v>
      </c>
      <c r="W162" s="3">
        <v>220</v>
      </c>
      <c r="X162" s="3" t="str">
        <f>IFERROR(MID(VLOOKUP($B162,Seqs!$A:$B,2,0),Y162,1),"")</f>
        <v>P</v>
      </c>
      <c r="Y162" s="3">
        <v>221</v>
      </c>
      <c r="Z162" s="3" t="str">
        <f>IFERROR(MID(VLOOKUP($B162,Seqs!$A:$B,2,0),AA162,1),"")</f>
        <v>V</v>
      </c>
      <c r="AA162" s="3">
        <v>228</v>
      </c>
      <c r="AB162" s="3" t="str">
        <f>IFERROR(MID(VLOOKUP($B162,Seqs!$A:$B,2,0),AC162,1),"")</f>
        <v>T</v>
      </c>
      <c r="AC162" s="9">
        <v>229</v>
      </c>
      <c r="AD162" s="3" t="str">
        <f>IFERROR(MID(VLOOKUP($B162,Seqs!$A:$B,2,0),AE162,1),"")</f>
        <v>G</v>
      </c>
      <c r="AE162" s="3">
        <v>254</v>
      </c>
      <c r="AF162" s="3" t="str">
        <f>IFERROR(MID(VLOOKUP($B162,Seqs!$A:$B,2,0),AG162,1),"")</f>
        <v/>
      </c>
      <c r="AG162" s="3" t="s">
        <v>23</v>
      </c>
      <c r="AH162" s="3" t="str">
        <f>IFERROR(MID(VLOOKUP($B162,Seqs!$A:$B,2,0),AI162,1),"")</f>
        <v/>
      </c>
      <c r="AI162" s="3" t="s">
        <v>23</v>
      </c>
      <c r="AJ162" s="3" t="str">
        <f>IFERROR(MID(VLOOKUP($B162,Seqs!$A:$B,2,0),AK162,1),"")</f>
        <v>D</v>
      </c>
      <c r="AK162" s="3">
        <v>272</v>
      </c>
      <c r="AL162" s="3" t="str">
        <f>IFERROR(MID(VLOOKUP($B162,Seqs!$A:$B,2,0),AM162,1),"")</f>
        <v>H</v>
      </c>
      <c r="AM162" s="3">
        <v>304</v>
      </c>
      <c r="AN162" s="3" t="str">
        <f>IFERROR(MID(VLOOKUP($B162,Seqs!$A:$B,2,0),AO162,1),"")</f>
        <v>P</v>
      </c>
      <c r="AO162" s="3">
        <v>332</v>
      </c>
      <c r="AP162" s="3" t="str">
        <f>IFERROR(MID(VLOOKUP($B162,Seqs!$A:$B,2,0),AQ162,1),"")</f>
        <v>F</v>
      </c>
      <c r="AQ162" s="3">
        <v>368</v>
      </c>
      <c r="AR162" s="3" t="str">
        <f>IFERROR(MID(VLOOKUP($B162,Seqs!$A:$B,2,0),AS162,1),"")</f>
        <v>N</v>
      </c>
      <c r="AS162" s="3">
        <v>372</v>
      </c>
      <c r="AT162" s="3" t="str">
        <f>IFERROR(MID(VLOOKUP($B162,Seqs!$A:$B,2,0),AU162,1),"")</f>
        <v>R</v>
      </c>
      <c r="AU162" s="3">
        <v>400</v>
      </c>
      <c r="AV162" s="3" t="str">
        <f>IFERROR(MID(VLOOKUP($B162,Seqs!$A:$B,2,0),AW162,1),"")</f>
        <v>S</v>
      </c>
      <c r="AW162" s="3">
        <v>401</v>
      </c>
      <c r="AX162" s="3" t="str">
        <f>IFERROR(MID(VLOOKUP($B162,Seqs!$A:$B,2,0),AY162,1),"")</f>
        <v>M</v>
      </c>
      <c r="AY162" s="3">
        <v>411</v>
      </c>
      <c r="AZ162" s="77" t="str">
        <f>VLOOKUP(B162,Classification!A:D,2,0)</f>
        <v>A</v>
      </c>
      <c r="BA162" s="94" t="str">
        <f>VLOOKUP(B162,Classification!A:D,4,0)</f>
        <v>Cannabinoid</v>
      </c>
      <c r="BB162" s="27" t="b">
        <f t="shared" si="840"/>
        <v>1</v>
      </c>
      <c r="BC162" s="23">
        <f t="shared" si="617"/>
        <v>248</v>
      </c>
      <c r="BD162" s="16" t="s">
        <v>1377</v>
      </c>
      <c r="BE162" s="3" t="s">
        <v>1375</v>
      </c>
      <c r="BF162" s="119">
        <v>2.8</v>
      </c>
      <c r="BG162" s="49" t="s">
        <v>1378</v>
      </c>
      <c r="BH162" s="49" t="s">
        <v>1378</v>
      </c>
      <c r="BJ162" s="70" t="s">
        <v>1288</v>
      </c>
      <c r="BK162" s="57" t="s">
        <v>1288</v>
      </c>
      <c r="BL162" s="57" t="s">
        <v>1288</v>
      </c>
      <c r="BM162" s="57" t="s">
        <v>1288</v>
      </c>
      <c r="BN162" s="57" t="s">
        <v>1288</v>
      </c>
      <c r="BO162" s="57" t="s">
        <v>1288</v>
      </c>
      <c r="BP162" s="57" t="s">
        <v>1288</v>
      </c>
      <c r="BQ162" s="57" t="s">
        <v>1288</v>
      </c>
      <c r="BR162" s="57" t="s">
        <v>1288</v>
      </c>
      <c r="BS162" s="57" t="s">
        <v>1288</v>
      </c>
      <c r="BT162" s="57" t="s">
        <v>1288</v>
      </c>
      <c r="BU162" s="57" t="s">
        <v>1288</v>
      </c>
      <c r="BV162" s="70">
        <f t="shared" si="618"/>
        <v>113</v>
      </c>
      <c r="BW162" s="71">
        <f t="shared" si="619"/>
        <v>145</v>
      </c>
      <c r="BX162" s="72">
        <f t="shared" si="620"/>
        <v>150</v>
      </c>
      <c r="BY162" s="71" t="str">
        <f t="shared" si="621"/>
        <v>-</v>
      </c>
      <c r="BZ162" s="72">
        <f t="shared" si="622"/>
        <v>185</v>
      </c>
      <c r="CA162" s="71">
        <f t="shared" si="623"/>
        <v>221</v>
      </c>
      <c r="CB162" s="72">
        <f t="shared" si="624"/>
        <v>229</v>
      </c>
      <c r="CC162" s="71" t="str">
        <f t="shared" si="625"/>
        <v>-</v>
      </c>
      <c r="CD162" s="72">
        <f t="shared" si="626"/>
        <v>272</v>
      </c>
      <c r="CE162" s="71">
        <f t="shared" si="627"/>
        <v>332</v>
      </c>
      <c r="CF162" s="72">
        <f t="shared" si="628"/>
        <v>372</v>
      </c>
      <c r="CG162" s="71">
        <f t="shared" si="629"/>
        <v>401</v>
      </c>
      <c r="CH162" s="70">
        <f t="shared" si="630"/>
        <v>144</v>
      </c>
      <c r="CI162" s="71">
        <f t="shared" si="631"/>
        <v>148</v>
      </c>
      <c r="CJ162" s="72">
        <f t="shared" si="632"/>
        <v>179</v>
      </c>
      <c r="CK162" s="72" t="str">
        <f t="shared" si="633"/>
        <v>-</v>
      </c>
      <c r="CL162" s="72">
        <f t="shared" si="634"/>
        <v>220</v>
      </c>
      <c r="CM162" s="72">
        <f t="shared" si="635"/>
        <v>228</v>
      </c>
      <c r="CN162" s="72">
        <f t="shared" si="636"/>
        <v>254</v>
      </c>
      <c r="CO162" s="72" t="str">
        <f t="shared" si="637"/>
        <v>-</v>
      </c>
      <c r="CP162" s="72">
        <f t="shared" si="638"/>
        <v>304</v>
      </c>
      <c r="CQ162" s="72">
        <f t="shared" si="639"/>
        <v>368</v>
      </c>
      <c r="CR162" s="72">
        <f t="shared" si="640"/>
        <v>400</v>
      </c>
      <c r="CS162" s="72">
        <f t="shared" si="641"/>
        <v>411</v>
      </c>
      <c r="CT162" s="23">
        <f t="shared" si="642"/>
        <v>2</v>
      </c>
      <c r="AMP162" s="1"/>
    </row>
    <row r="163" spans="1:1030" x14ac:dyDescent="0.2">
      <c r="A163" s="3" t="str">
        <f t="shared" si="839"/>
        <v>cnr1_human_5U09</v>
      </c>
      <c r="B163" s="3" t="s">
        <v>182</v>
      </c>
      <c r="C163" s="3" t="s">
        <v>1365</v>
      </c>
      <c r="D163" s="3" t="str">
        <f>IFERROR(MID(VLOOKUP($B163,Seqs!$A:$B,2,0),E163,1),"")</f>
        <v>N</v>
      </c>
      <c r="E163" s="3">
        <v>112</v>
      </c>
      <c r="F163" s="3" t="str">
        <f>IFERROR(MID(VLOOKUP($B163,Seqs!$A:$B,2,0),G163,1),"")</f>
        <v>S</v>
      </c>
      <c r="G163" s="3">
        <v>144</v>
      </c>
      <c r="H163" s="3" t="str">
        <f>IFERROR(MID(VLOOKUP($B163,Seqs!$A:$B,2,0),I163,1),"")</f>
        <v>R</v>
      </c>
      <c r="I163" s="23">
        <v>145</v>
      </c>
      <c r="J163" s="3" t="str">
        <f>IFERROR(MID(VLOOKUP($B163,Seqs!$A:$B,2,0),K163,1),"")</f>
        <v>R</v>
      </c>
      <c r="K163" s="23">
        <v>148</v>
      </c>
      <c r="L163" s="3" t="str">
        <f>IFERROR(MID(VLOOKUP($B163,Seqs!$A:$B,2,0),M163,1),"")</f>
        <v>R</v>
      </c>
      <c r="M163" s="3">
        <v>150</v>
      </c>
      <c r="N163" s="3" t="str">
        <f>IFERROR(MID(VLOOKUP($B163,Seqs!$A:$B,2,0),O163,1),"")</f>
        <v>V</v>
      </c>
      <c r="O163" s="3">
        <v>179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S</v>
      </c>
      <c r="U163" s="3">
        <v>185</v>
      </c>
      <c r="V163" s="3" t="str">
        <f>IFERROR(MID(VLOOKUP($B163,Seqs!$A:$B,2,0),W163,1),"")</f>
        <v>R</v>
      </c>
      <c r="W163" s="3">
        <v>220</v>
      </c>
      <c r="X163" s="3" t="str">
        <f>IFERROR(MID(VLOOKUP($B163,Seqs!$A:$B,2,0),Y163,1),"")</f>
        <v>P</v>
      </c>
      <c r="Y163" s="3">
        <v>221</v>
      </c>
      <c r="Z163" s="3" t="str">
        <f>IFERROR(MID(VLOOKUP($B163,Seqs!$A:$B,2,0),AA163,1),"")</f>
        <v>V</v>
      </c>
      <c r="AA163" s="3">
        <v>228</v>
      </c>
      <c r="AB163" s="3" t="str">
        <f>IFERROR(MID(VLOOKUP($B163,Seqs!$A:$B,2,0),AC163,1),"")</f>
        <v>T</v>
      </c>
      <c r="AC163" s="9">
        <v>229</v>
      </c>
      <c r="AD163" s="3" t="str">
        <f>IFERROR(MID(VLOOKUP($B163,Seqs!$A:$B,2,0),AE163,1),"")</f>
        <v>G</v>
      </c>
      <c r="AE163" s="3">
        <v>254</v>
      </c>
      <c r="AF163" s="3" t="str">
        <f>IFERROR(MID(VLOOKUP($B163,Seqs!$A:$B,2,0),AG163,1),"")</f>
        <v/>
      </c>
      <c r="AG163" s="3" t="s">
        <v>23</v>
      </c>
      <c r="AH163" s="3" t="str">
        <f>IFERROR(MID(VLOOKUP($B163,Seqs!$A:$B,2,0),AI163,1),"")</f>
        <v/>
      </c>
      <c r="AI163" s="3" t="s">
        <v>23</v>
      </c>
      <c r="AJ163" s="3" t="str">
        <f>IFERROR(MID(VLOOKUP($B163,Seqs!$A:$B,2,0),AK163,1),"")</f>
        <v>D</v>
      </c>
      <c r="AK163" s="3">
        <v>272</v>
      </c>
      <c r="AL163" s="3" t="str">
        <f>IFERROR(MID(VLOOKUP($B163,Seqs!$A:$B,2,0),AM163,1),"")</f>
        <v>A</v>
      </c>
      <c r="AM163" s="3">
        <v>301</v>
      </c>
      <c r="AN163" s="3" t="str">
        <f>IFERROR(MID(VLOOKUP($B163,Seqs!$A:$B,2,0),AO163,1),"")</f>
        <v>D</v>
      </c>
      <c r="AO163" s="3">
        <v>333</v>
      </c>
      <c r="AP163" s="3" t="str">
        <f>IFERROR(MID(VLOOKUP($B163,Seqs!$A:$B,2,0),AQ163,1),"")</f>
        <v>F</v>
      </c>
      <c r="AQ163" s="3">
        <v>368</v>
      </c>
      <c r="AR163" s="3" t="str">
        <f>IFERROR(MID(VLOOKUP($B163,Seqs!$A:$B,2,0),AS163,1),"")</f>
        <v>L</v>
      </c>
      <c r="AS163" s="3">
        <v>374</v>
      </c>
      <c r="AT163" s="3" t="str">
        <f>IFERROR(MID(VLOOKUP($B163,Seqs!$A:$B,2,0),AU163,1),"")</f>
        <v>R</v>
      </c>
      <c r="AU163" s="3">
        <v>400</v>
      </c>
      <c r="AV163" s="3" t="str">
        <f>IFERROR(MID(VLOOKUP($B163,Seqs!$A:$B,2,0),AW163,1),"")</f>
        <v>S</v>
      </c>
      <c r="AW163" s="3">
        <v>401</v>
      </c>
      <c r="AX163" s="3" t="str">
        <f>IFERROR(MID(VLOOKUP($B163,Seqs!$A:$B,2,0),AY163,1),"")</f>
        <v>M</v>
      </c>
      <c r="AY163" s="3">
        <v>411</v>
      </c>
      <c r="AZ163" s="77" t="str">
        <f>VLOOKUP(B163,Classification!A:D,2,0)</f>
        <v>A</v>
      </c>
      <c r="BA163" s="94" t="str">
        <f>VLOOKUP(B163,Classification!A:D,4,0)</f>
        <v>Cannabinoid</v>
      </c>
      <c r="BB163" s="27" t="b">
        <f t="shared" si="840"/>
        <v>1</v>
      </c>
      <c r="BC163" s="23">
        <f t="shared" si="617"/>
        <v>243</v>
      </c>
      <c r="BD163" s="2" t="s">
        <v>23</v>
      </c>
      <c r="BE163" s="3" t="s">
        <v>1375</v>
      </c>
      <c r="BF163" s="119">
        <v>2.6</v>
      </c>
      <c r="BG163" s="49" t="s">
        <v>1378</v>
      </c>
      <c r="BH163" s="49" t="s">
        <v>1378</v>
      </c>
      <c r="BJ163" s="70" t="s">
        <v>1288</v>
      </c>
      <c r="BK163" s="57" t="s">
        <v>1288</v>
      </c>
      <c r="BL163" s="57" t="s">
        <v>1288</v>
      </c>
      <c r="BM163" s="57" t="s">
        <v>1288</v>
      </c>
      <c r="BN163" s="57" t="s">
        <v>1288</v>
      </c>
      <c r="BO163" s="57" t="s">
        <v>1288</v>
      </c>
      <c r="BP163" s="57" t="s">
        <v>1288</v>
      </c>
      <c r="BQ163" s="57" t="s">
        <v>1288</v>
      </c>
      <c r="BR163" s="57" t="s">
        <v>1288</v>
      </c>
      <c r="BS163" s="57" t="s">
        <v>1288</v>
      </c>
      <c r="BT163" s="57" t="s">
        <v>1288</v>
      </c>
      <c r="BU163" s="57" t="s">
        <v>1288</v>
      </c>
      <c r="BV163" s="70">
        <f t="shared" si="618"/>
        <v>112</v>
      </c>
      <c r="BW163" s="71">
        <f t="shared" si="619"/>
        <v>145</v>
      </c>
      <c r="BX163" s="72">
        <f t="shared" si="620"/>
        <v>150</v>
      </c>
      <c r="BY163" s="71" t="str">
        <f t="shared" si="621"/>
        <v>-</v>
      </c>
      <c r="BZ163" s="72">
        <f t="shared" si="622"/>
        <v>185</v>
      </c>
      <c r="CA163" s="71">
        <f t="shared" si="623"/>
        <v>221</v>
      </c>
      <c r="CB163" s="72">
        <f t="shared" si="624"/>
        <v>229</v>
      </c>
      <c r="CC163" s="71" t="str">
        <f t="shared" si="625"/>
        <v>-</v>
      </c>
      <c r="CD163" s="72">
        <f t="shared" si="626"/>
        <v>272</v>
      </c>
      <c r="CE163" s="71">
        <f t="shared" si="627"/>
        <v>333</v>
      </c>
      <c r="CF163" s="72">
        <f t="shared" si="628"/>
        <v>374</v>
      </c>
      <c r="CG163" s="71">
        <f t="shared" si="629"/>
        <v>401</v>
      </c>
      <c r="CH163" s="70">
        <f t="shared" si="630"/>
        <v>144</v>
      </c>
      <c r="CI163" s="71">
        <f t="shared" si="631"/>
        <v>148</v>
      </c>
      <c r="CJ163" s="72">
        <f t="shared" si="632"/>
        <v>179</v>
      </c>
      <c r="CK163" s="72" t="str">
        <f t="shared" si="633"/>
        <v>-</v>
      </c>
      <c r="CL163" s="72">
        <f t="shared" si="634"/>
        <v>220</v>
      </c>
      <c r="CM163" s="72">
        <f t="shared" si="635"/>
        <v>228</v>
      </c>
      <c r="CN163" s="72">
        <f t="shared" si="636"/>
        <v>254</v>
      </c>
      <c r="CO163" s="72" t="str">
        <f t="shared" si="637"/>
        <v>-</v>
      </c>
      <c r="CP163" s="72">
        <f t="shared" si="638"/>
        <v>301</v>
      </c>
      <c r="CQ163" s="72">
        <f t="shared" si="639"/>
        <v>368</v>
      </c>
      <c r="CR163" s="72">
        <f t="shared" si="640"/>
        <v>400</v>
      </c>
      <c r="CS163" s="72">
        <f t="shared" si="641"/>
        <v>411</v>
      </c>
      <c r="CT163" s="23">
        <f t="shared" si="642"/>
        <v>2</v>
      </c>
    </row>
    <row r="164" spans="1:1030" x14ac:dyDescent="0.2">
      <c r="A164" s="3" t="str">
        <f>CONCATENATE(B164,"_",C164)</f>
        <v>cnr1_human_5XR8</v>
      </c>
      <c r="B164" s="3" t="s">
        <v>182</v>
      </c>
      <c r="C164" s="3" t="s">
        <v>1425</v>
      </c>
      <c r="D164" s="3" t="str">
        <f>IFERROR(MID(VLOOKUP($B164,Seqs!$A:$B,2,0),E164,1),"")</f>
        <v>N</v>
      </c>
      <c r="E164" s="3">
        <v>112</v>
      </c>
      <c r="F164" s="3" t="str">
        <f>IFERROR(MID(VLOOKUP($B164,Seqs!$A:$B,2,0),G164,1),"")</f>
        <v>S</v>
      </c>
      <c r="G164" s="3">
        <v>146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Y</v>
      </c>
      <c r="M164" s="3">
        <v>153</v>
      </c>
      <c r="N164" s="3" t="str">
        <f>IFERROR(MID(VLOOKUP($B164,Seqs!$A:$B,2,0),O164,1),"")</f>
        <v>F</v>
      </c>
      <c r="O164" s="3">
        <v>180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S</v>
      </c>
      <c r="U164" s="3">
        <v>185</v>
      </c>
      <c r="V164" s="3" t="str">
        <f>IFERROR(MID(VLOOKUP($B164,Seqs!$A:$B,2,0),W164,1),"")</f>
        <v>R</v>
      </c>
      <c r="W164" s="3">
        <v>220</v>
      </c>
      <c r="X164" s="3" t="str">
        <f>IFERROR(MID(VLOOKUP($B164,Seqs!$A:$B,2,0),Y164,1),"")</f>
        <v>P</v>
      </c>
      <c r="Y164" s="3">
        <v>221</v>
      </c>
      <c r="Z164" s="3" t="str">
        <f>IFERROR(MID(VLOOKUP($B164,Seqs!$A:$B,2,0),AA164,1),"")</f>
        <v>V</v>
      </c>
      <c r="AA164" s="3">
        <v>228</v>
      </c>
      <c r="AB164" s="3" t="str">
        <f>IFERROR(MID(VLOOKUP($B164,Seqs!$A:$B,2,0),AC164,1),"")</f>
        <v>T</v>
      </c>
      <c r="AC164" s="3">
        <v>229</v>
      </c>
      <c r="AD164" s="3" t="str">
        <f>IFERROR(MID(VLOOKUP($B164,Seqs!$A:$B,2,0),AE164,1),"")</f>
        <v>G</v>
      </c>
      <c r="AE164" s="3">
        <v>254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D</v>
      </c>
      <c r="AK164" s="3">
        <v>272</v>
      </c>
      <c r="AL164" s="3" t="str">
        <f>IFERROR(MID(VLOOKUP($B164,Seqs!$A:$B,2,0),AM164,1),"")</f>
        <v>S</v>
      </c>
      <c r="AM164" s="3">
        <v>303</v>
      </c>
      <c r="AN164" s="3" t="str">
        <f>IFERROR(MID(VLOOKUP($B164,Seqs!$A:$B,2,0),AO164,1),"")</f>
        <v>D</v>
      </c>
      <c r="AO164" s="3">
        <v>338</v>
      </c>
      <c r="AP164" s="3" t="str">
        <f>IFERROR(MID(VLOOKUP($B164,Seqs!$A:$B,2,0),AQ164,1),"")</f>
        <v>F</v>
      </c>
      <c r="AQ164" s="3">
        <v>368</v>
      </c>
      <c r="AR164" s="3" t="str">
        <f>IFERROR(MID(VLOOKUP($B164,Seqs!$A:$B,2,0),AS164,1),"")</f>
        <v>N</v>
      </c>
      <c r="AS164" s="3">
        <v>372</v>
      </c>
      <c r="AT164" s="3" t="str">
        <f>IFERROR(MID(VLOOKUP($B164,Seqs!$A:$B,2,0),AU164,1),"")</f>
        <v>Y</v>
      </c>
      <c r="AU164" s="3">
        <v>397</v>
      </c>
      <c r="AV164" s="3" t="str">
        <f>IFERROR(MID(VLOOKUP($B164,Seqs!$A:$B,2,0),AW164,1),"")</f>
        <v>S</v>
      </c>
      <c r="AW164" s="3">
        <v>401</v>
      </c>
      <c r="AX164" s="3" t="str">
        <f>IFERROR(MID(VLOOKUP($B164,Seqs!$A:$B,2,0),AY164,1),"")</f>
        <v>F</v>
      </c>
      <c r="AY164" s="3">
        <v>412</v>
      </c>
      <c r="AZ164" s="77" t="str">
        <f>VLOOKUP(B164,Classification!A:D,2,0)</f>
        <v>A</v>
      </c>
      <c r="BA164" s="94" t="str">
        <f>VLOOKUP(B164,Classification!A:D,4,0)</f>
        <v>Cannabinoid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237</v>
      </c>
      <c r="BD164" s="2" t="s">
        <v>23</v>
      </c>
      <c r="BE164" s="3" t="s">
        <v>1292</v>
      </c>
      <c r="BF164" s="119">
        <v>2.95</v>
      </c>
      <c r="BG164" s="49" t="s">
        <v>1</v>
      </c>
      <c r="BH164" s="49" t="s">
        <v>1</v>
      </c>
      <c r="BJ164" s="70" t="s">
        <v>1288</v>
      </c>
      <c r="BK164" s="57" t="s">
        <v>1288</v>
      </c>
      <c r="BL164" s="57" t="s">
        <v>1288</v>
      </c>
      <c r="BM164" s="57" t="s">
        <v>1288</v>
      </c>
      <c r="BN164" s="57" t="s">
        <v>1288</v>
      </c>
      <c r="BO164" s="57" t="s">
        <v>1288</v>
      </c>
      <c r="BP164" s="57" t="s">
        <v>1288</v>
      </c>
      <c r="BQ164" s="57" t="s">
        <v>1288</v>
      </c>
      <c r="BR164" s="57" t="s">
        <v>1288</v>
      </c>
      <c r="BS164" s="57" t="s">
        <v>1288</v>
      </c>
      <c r="BT164" s="57" t="s">
        <v>1288</v>
      </c>
      <c r="BU164" s="57" t="s">
        <v>1288</v>
      </c>
      <c r="BV164" s="70">
        <f>E164</f>
        <v>112</v>
      </c>
      <c r="BW164" s="71" t="str">
        <f>I164</f>
        <v>-</v>
      </c>
      <c r="BX164" s="72">
        <f>M164</f>
        <v>153</v>
      </c>
      <c r="BY164" s="71" t="str">
        <f>Q164</f>
        <v>-</v>
      </c>
      <c r="BZ164" s="72">
        <f>U164</f>
        <v>185</v>
      </c>
      <c r="CA164" s="71">
        <f>Y164</f>
        <v>221</v>
      </c>
      <c r="CB164" s="72">
        <f>AC164</f>
        <v>229</v>
      </c>
      <c r="CC164" s="71" t="str">
        <f>AG164</f>
        <v>-</v>
      </c>
      <c r="CD164" s="72">
        <f>AK164</f>
        <v>272</v>
      </c>
      <c r="CE164" s="71">
        <f>AO164</f>
        <v>338</v>
      </c>
      <c r="CF164" s="72">
        <f>AS164</f>
        <v>372</v>
      </c>
      <c r="CG164" s="71">
        <f>AW164</f>
        <v>401</v>
      </c>
      <c r="CH164" s="70">
        <f>G164</f>
        <v>146</v>
      </c>
      <c r="CI164" s="71" t="str">
        <f>K164</f>
        <v>-</v>
      </c>
      <c r="CJ164" s="72">
        <f>O164</f>
        <v>180</v>
      </c>
      <c r="CK164" s="72" t="str">
        <f>S164</f>
        <v>-</v>
      </c>
      <c r="CL164" s="72">
        <f>W164</f>
        <v>220</v>
      </c>
      <c r="CM164" s="72">
        <f>AA164</f>
        <v>228</v>
      </c>
      <c r="CN164" s="72">
        <f>AE164</f>
        <v>254</v>
      </c>
      <c r="CO164" s="72" t="str">
        <f>AI164</f>
        <v>-</v>
      </c>
      <c r="CP164" s="72">
        <f>AM164</f>
        <v>303</v>
      </c>
      <c r="CQ164" s="72">
        <f>AQ164</f>
        <v>368</v>
      </c>
      <c r="CR164" s="72">
        <f>AU164</f>
        <v>397</v>
      </c>
      <c r="CS164" s="72">
        <f>AY164</f>
        <v>412</v>
      </c>
      <c r="CT164" s="23" t="e">
        <f>M164-K164</f>
        <v>#VALUE!</v>
      </c>
    </row>
    <row r="165" spans="1:1030" x14ac:dyDescent="0.2">
      <c r="A165" s="3" t="str">
        <f>CONCATENATE(B165,"_",C165)</f>
        <v>cnr1_human_5XRA</v>
      </c>
      <c r="B165" s="3" t="s">
        <v>182</v>
      </c>
      <c r="C165" s="3" t="s">
        <v>1426</v>
      </c>
      <c r="D165" s="3" t="str">
        <f>IFERROR(MID(VLOOKUP($B165,Seqs!$A:$B,2,0),E165,1),"")</f>
        <v>N</v>
      </c>
      <c r="E165" s="3">
        <v>112</v>
      </c>
      <c r="F165" s="3" t="str">
        <f>IFERROR(MID(VLOOKUP($B165,Seqs!$A:$B,2,0),G165,1),"")</f>
        <v>S</v>
      </c>
      <c r="G165" s="3">
        <v>146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Y</v>
      </c>
      <c r="M165" s="3">
        <v>153</v>
      </c>
      <c r="N165" s="3" t="str">
        <f>IFERROR(MID(VLOOKUP($B165,Seqs!$A:$B,2,0),O165,1),"")</f>
        <v>F</v>
      </c>
      <c r="O165" s="3">
        <v>180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S</v>
      </c>
      <c r="U165" s="3">
        <v>185</v>
      </c>
      <c r="V165" s="3" t="str">
        <f>IFERROR(MID(VLOOKUP($B165,Seqs!$A:$B,2,0),W165,1),"")</f>
        <v>R</v>
      </c>
      <c r="W165" s="3">
        <v>220</v>
      </c>
      <c r="X165" s="3" t="str">
        <f>IFERROR(MID(VLOOKUP($B165,Seqs!$A:$B,2,0),Y165,1),"")</f>
        <v>P</v>
      </c>
      <c r="Y165" s="3">
        <v>221</v>
      </c>
      <c r="Z165" s="3" t="str">
        <f>IFERROR(MID(VLOOKUP($B165,Seqs!$A:$B,2,0),AA165,1),"")</f>
        <v>V</v>
      </c>
      <c r="AA165" s="3">
        <v>228</v>
      </c>
      <c r="AB165" s="3" t="str">
        <f>IFERROR(MID(VLOOKUP($B165,Seqs!$A:$B,2,0),AC165,1),"")</f>
        <v>T</v>
      </c>
      <c r="AC165" s="3">
        <v>229</v>
      </c>
      <c r="AD165" s="3" t="str">
        <f>IFERROR(MID(VLOOKUP($B165,Seqs!$A:$B,2,0),AE165,1),"")</f>
        <v>G</v>
      </c>
      <c r="AE165" s="3">
        <v>254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D</v>
      </c>
      <c r="AK165" s="3">
        <v>272</v>
      </c>
      <c r="AL165" s="3" t="str">
        <f>IFERROR(MID(VLOOKUP($B165,Seqs!$A:$B,2,0),AM165,1),"")</f>
        <v>A</v>
      </c>
      <c r="AM165" s="3">
        <v>305</v>
      </c>
      <c r="AN165" s="3" t="str">
        <f>IFERROR(MID(VLOOKUP($B165,Seqs!$A:$B,2,0),AO165,1),"")</f>
        <v>D</v>
      </c>
      <c r="AO165" s="3">
        <v>338</v>
      </c>
      <c r="AP165" s="3" t="str">
        <f>IFERROR(MID(VLOOKUP($B165,Seqs!$A:$B,2,0),AQ165,1),"")</f>
        <v>G</v>
      </c>
      <c r="AQ165" s="3">
        <v>369</v>
      </c>
      <c r="AR165" s="3" t="str">
        <f>IFERROR(MID(VLOOKUP($B165,Seqs!$A:$B,2,0),AS165,1),"")</f>
        <v>N</v>
      </c>
      <c r="AS165" s="3">
        <v>372</v>
      </c>
      <c r="AT165" s="3" t="str">
        <f>IFERROR(MID(VLOOKUP($B165,Seqs!$A:$B,2,0),AU165,1),"")</f>
        <v>Y</v>
      </c>
      <c r="AU165" s="3">
        <v>397</v>
      </c>
      <c r="AV165" s="3" t="str">
        <f>IFERROR(MID(VLOOKUP($B165,Seqs!$A:$B,2,0),AW165,1),"")</f>
        <v>S</v>
      </c>
      <c r="AW165" s="3">
        <v>401</v>
      </c>
      <c r="AX165" s="3" t="str">
        <f>IFERROR(MID(VLOOKUP($B165,Seqs!$A:$B,2,0),AY165,1),"")</f>
        <v>F</v>
      </c>
      <c r="AY165" s="3">
        <v>412</v>
      </c>
      <c r="AZ165" s="77" t="str">
        <f>VLOOKUP(B165,Classification!A:D,2,0)</f>
        <v>A</v>
      </c>
      <c r="BA165" s="94" t="str">
        <f>VLOOKUP(B165,Classification!A:D,4,0)</f>
        <v>Cannabinoid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240</v>
      </c>
      <c r="BD165" s="2" t="s">
        <v>23</v>
      </c>
      <c r="BE165" s="3" t="s">
        <v>1292</v>
      </c>
      <c r="BF165" s="119">
        <v>2.8</v>
      </c>
      <c r="BG165" s="49" t="s">
        <v>1</v>
      </c>
      <c r="BH165" s="49" t="s">
        <v>1</v>
      </c>
      <c r="BJ165" s="70" t="s">
        <v>1288</v>
      </c>
      <c r="BK165" s="57" t="s">
        <v>1288</v>
      </c>
      <c r="BL165" s="57" t="s">
        <v>1288</v>
      </c>
      <c r="BM165" s="57" t="s">
        <v>1288</v>
      </c>
      <c r="BN165" s="57" t="s">
        <v>1288</v>
      </c>
      <c r="BO165" s="57" t="s">
        <v>1288</v>
      </c>
      <c r="BP165" s="57" t="s">
        <v>1288</v>
      </c>
      <c r="BQ165" s="57" t="s">
        <v>1288</v>
      </c>
      <c r="BR165" s="57" t="s">
        <v>1288</v>
      </c>
      <c r="BS165" s="57" t="s">
        <v>1288</v>
      </c>
      <c r="BT165" s="57" t="s">
        <v>1288</v>
      </c>
      <c r="BU165" s="57" t="s">
        <v>1288</v>
      </c>
      <c r="BV165" s="70">
        <f>E165</f>
        <v>112</v>
      </c>
      <c r="BW165" s="71" t="str">
        <f>I165</f>
        <v>-</v>
      </c>
      <c r="BX165" s="72">
        <f>M165</f>
        <v>153</v>
      </c>
      <c r="BY165" s="71" t="str">
        <f>Q165</f>
        <v>-</v>
      </c>
      <c r="BZ165" s="72">
        <f>U165</f>
        <v>185</v>
      </c>
      <c r="CA165" s="71">
        <f>Y165</f>
        <v>221</v>
      </c>
      <c r="CB165" s="72">
        <f>AC165</f>
        <v>229</v>
      </c>
      <c r="CC165" s="71" t="str">
        <f>AG165</f>
        <v>-</v>
      </c>
      <c r="CD165" s="72">
        <f>AK165</f>
        <v>272</v>
      </c>
      <c r="CE165" s="71">
        <f>AO165</f>
        <v>338</v>
      </c>
      <c r="CF165" s="72">
        <f>AS165</f>
        <v>372</v>
      </c>
      <c r="CG165" s="71">
        <f>AW165</f>
        <v>401</v>
      </c>
      <c r="CH165" s="70">
        <f>G165</f>
        <v>146</v>
      </c>
      <c r="CI165" s="71" t="str">
        <f>K165</f>
        <v>-</v>
      </c>
      <c r="CJ165" s="72">
        <f>O165</f>
        <v>180</v>
      </c>
      <c r="CK165" s="72" t="str">
        <f>S165</f>
        <v>-</v>
      </c>
      <c r="CL165" s="72">
        <f>W165</f>
        <v>220</v>
      </c>
      <c r="CM165" s="72">
        <f>AA165</f>
        <v>228</v>
      </c>
      <c r="CN165" s="72">
        <f>AE165</f>
        <v>254</v>
      </c>
      <c r="CO165" s="72" t="str">
        <f>AI165</f>
        <v>-</v>
      </c>
      <c r="CP165" s="72">
        <f>AM165</f>
        <v>305</v>
      </c>
      <c r="CQ165" s="72">
        <f>AQ165</f>
        <v>369</v>
      </c>
      <c r="CR165" s="72">
        <f>AU165</f>
        <v>397</v>
      </c>
      <c r="CS165" s="72">
        <f>AY165</f>
        <v>412</v>
      </c>
      <c r="CT165" s="23" t="e">
        <f>M165-K165</f>
        <v>#VALUE!</v>
      </c>
    </row>
    <row r="166" spans="1:1030" s="12" customFormat="1" x14ac:dyDescent="0.2">
      <c r="A166" s="9" t="str">
        <f>CONCATENATE(B166,"_",C166)</f>
        <v>cnr1_human_6N4B</v>
      </c>
      <c r="B166" s="9" t="s">
        <v>182</v>
      </c>
      <c r="C166" s="9" t="s">
        <v>1557</v>
      </c>
      <c r="D166" s="9" t="str">
        <f>IFERROR(MID(VLOOKUP($B166,Seqs!$A:$B,2,0),E166,1),"")</f>
        <v>N</v>
      </c>
      <c r="E166" s="9">
        <v>112</v>
      </c>
      <c r="F166" s="9" t="str">
        <f>IFERROR(MID(VLOOKUP($B166,Seqs!$A:$B,2,0),G166,1),"")</f>
        <v>H</v>
      </c>
      <c r="G166" s="9">
        <v>143</v>
      </c>
      <c r="H166" s="9" t="str">
        <f>IFERROR(MID(VLOOKUP($B166,Seqs!$A:$B,2,0),I166,1),"")</f>
        <v>R</v>
      </c>
      <c r="I166" s="109">
        <v>145</v>
      </c>
      <c r="J166" s="9" t="str">
        <f>IFERROR(MID(VLOOKUP($B166,Seqs!$A:$B,2,0),K166,1),"")</f>
        <v>R</v>
      </c>
      <c r="K166" s="109">
        <v>148</v>
      </c>
      <c r="L166" s="9" t="str">
        <f>IFERROR(MID(VLOOKUP($B166,Seqs!$A:$B,2,0),M166,1),"")</f>
        <v>Y</v>
      </c>
      <c r="M166" s="9">
        <v>153</v>
      </c>
      <c r="N166" s="9" t="str">
        <f>IFERROR(MID(VLOOKUP($B166,Seqs!$A:$B,2,0),O166,1),"")</f>
        <v>H</v>
      </c>
      <c r="O166" s="9">
        <v>178</v>
      </c>
      <c r="P166" s="9" t="str">
        <f>IFERROR(MID(VLOOKUP($B166,Seqs!$A:$B,2,0),Q166,1),"")</f>
        <v/>
      </c>
      <c r="Q166" s="9" t="s">
        <v>23</v>
      </c>
      <c r="R166" s="9" t="str">
        <f>IFERROR(MID(VLOOKUP($B166,Seqs!$A:$B,2,0),S166,1),"")</f>
        <v/>
      </c>
      <c r="S166" s="9" t="s">
        <v>23</v>
      </c>
      <c r="T166" s="9" t="str">
        <f>IFERROR(MID(VLOOKUP($B166,Seqs!$A:$B,2,0),U166,1),"")</f>
        <v>S</v>
      </c>
      <c r="U166" s="9">
        <v>185</v>
      </c>
      <c r="V166" s="9" t="str">
        <f>IFERROR(MID(VLOOKUP($B166,Seqs!$A:$B,2,0),W166,1),"")</f>
        <v>R</v>
      </c>
      <c r="W166" s="9">
        <v>220</v>
      </c>
      <c r="X166" s="9" t="str">
        <f>IFERROR(MID(VLOOKUP($B166,Seqs!$A:$B,2,0),Y166,1),"")</f>
        <v>P</v>
      </c>
      <c r="Y166" s="9">
        <v>221</v>
      </c>
      <c r="Z166" s="9" t="str">
        <f>IFERROR(MID(VLOOKUP($B166,Seqs!$A:$B,2,0),AA166,1),"")</f>
        <v>V</v>
      </c>
      <c r="AA166" s="9">
        <v>228</v>
      </c>
      <c r="AB166" s="9" t="str">
        <f>IFERROR(MID(VLOOKUP($B166,Seqs!$A:$B,2,0),AC166,1),"")</f>
        <v>T</v>
      </c>
      <c r="AC166" s="9">
        <v>229</v>
      </c>
      <c r="AD166" s="9" t="str">
        <f>IFERROR(MID(VLOOKUP($B166,Seqs!$A:$B,2,0),AE166,1),"")</f>
        <v>G</v>
      </c>
      <c r="AE166" s="9">
        <v>254</v>
      </c>
      <c r="AF166" s="9" t="str">
        <f>IFERROR(MID(VLOOKUP($B166,Seqs!$A:$B,2,0),AG166,1),"")</f>
        <v/>
      </c>
      <c r="AG166" s="9" t="s">
        <v>23</v>
      </c>
      <c r="AH166" s="9" t="str">
        <f>IFERROR(MID(VLOOKUP($B166,Seqs!$A:$B,2,0),AI166,1),"")</f>
        <v/>
      </c>
      <c r="AI166" s="9" t="s">
        <v>23</v>
      </c>
      <c r="AJ166" s="9" t="str">
        <f>IFERROR(MID(VLOOKUP($B166,Seqs!$A:$B,2,0),AK166,1),"")</f>
        <v>D</v>
      </c>
      <c r="AK166" s="9">
        <v>272</v>
      </c>
      <c r="AL166" s="9" t="str">
        <f>IFERROR(MID(VLOOKUP($B166,Seqs!$A:$B,2,0),AM166,1),"")</f>
        <v>R</v>
      </c>
      <c r="AM166" s="9">
        <v>311</v>
      </c>
      <c r="AN166" s="9" t="str">
        <f>IFERROR(MID(VLOOKUP($B166,Seqs!$A:$B,2,0),AO166,1),"")</f>
        <v>A</v>
      </c>
      <c r="AO166" s="9">
        <v>335</v>
      </c>
      <c r="AP166" s="9" t="str">
        <f>IFERROR(MID(VLOOKUP($B166,Seqs!$A:$B,2,0),AQ166,1),"")</f>
        <v>M</v>
      </c>
      <c r="AQ166" s="9">
        <v>363</v>
      </c>
      <c r="AR166" s="9" t="str">
        <f>IFERROR(MID(VLOOKUP($B166,Seqs!$A:$B,2,0),AS166,1),"")</f>
        <v>L</v>
      </c>
      <c r="AS166" s="9">
        <v>374</v>
      </c>
      <c r="AT166" s="9" t="str">
        <f>IFERROR(MID(VLOOKUP($B166,Seqs!$A:$B,2,0),AU166,1),"")</f>
        <v>R</v>
      </c>
      <c r="AU166" s="9">
        <v>400</v>
      </c>
      <c r="AV166" s="9" t="str">
        <f>IFERROR(MID(VLOOKUP($B166,Seqs!$A:$B,2,0),AW166,1),"")</f>
        <v>S</v>
      </c>
      <c r="AW166" s="9">
        <v>401</v>
      </c>
      <c r="AX166" s="9" t="str">
        <f>IFERROR(MID(VLOOKUP($B166,Seqs!$A:$B,2,0),AY166,1),"")</f>
        <v>M</v>
      </c>
      <c r="AY166" s="9">
        <v>411</v>
      </c>
      <c r="AZ166" s="110" t="str">
        <f>VLOOKUP(B166,Classification!A:D,2,0)</f>
        <v>A</v>
      </c>
      <c r="BA166" s="98" t="str">
        <f>VLOOKUP(B166,Classification!A:D,4,0)</f>
        <v>Cannabinoid</v>
      </c>
      <c r="BB166" s="36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09">
        <f>_xlfn.AGGREGATE(9,6,CH166:CS166)-_xlfn.AGGREGATE(9,6,BV166:CG166)+12</f>
        <v>241</v>
      </c>
      <c r="BD166" s="40" t="s">
        <v>1376</v>
      </c>
      <c r="BE166" s="9" t="s">
        <v>1292</v>
      </c>
      <c r="BF166" s="120">
        <v>3</v>
      </c>
      <c r="BG166" s="51" t="s">
        <v>1423</v>
      </c>
      <c r="BH166" s="51" t="s">
        <v>1423</v>
      </c>
      <c r="BI166" s="9"/>
      <c r="BJ166" s="111" t="s">
        <v>1288</v>
      </c>
      <c r="BK166" s="112" t="s">
        <v>1288</v>
      </c>
      <c r="BL166" s="112" t="s">
        <v>1288</v>
      </c>
      <c r="BM166" s="112" t="s">
        <v>1288</v>
      </c>
      <c r="BN166" s="112" t="s">
        <v>1288</v>
      </c>
      <c r="BO166" s="112" t="s">
        <v>1288</v>
      </c>
      <c r="BP166" s="112" t="s">
        <v>1288</v>
      </c>
      <c r="BQ166" s="112" t="s">
        <v>1288</v>
      </c>
      <c r="BR166" s="112" t="s">
        <v>1288</v>
      </c>
      <c r="BS166" s="112" t="s">
        <v>1288</v>
      </c>
      <c r="BT166" s="112" t="s">
        <v>1288</v>
      </c>
      <c r="BU166" s="112" t="s">
        <v>1288</v>
      </c>
      <c r="BV166" s="111">
        <f>E166</f>
        <v>112</v>
      </c>
      <c r="BW166" s="113">
        <f>I166</f>
        <v>145</v>
      </c>
      <c r="BX166" s="114">
        <f>M166</f>
        <v>153</v>
      </c>
      <c r="BY166" s="113" t="str">
        <f>Q166</f>
        <v>-</v>
      </c>
      <c r="BZ166" s="114">
        <f>U166</f>
        <v>185</v>
      </c>
      <c r="CA166" s="113">
        <f>Y166</f>
        <v>221</v>
      </c>
      <c r="CB166" s="114">
        <f>AC166</f>
        <v>229</v>
      </c>
      <c r="CC166" s="113" t="str">
        <f>AG166</f>
        <v>-</v>
      </c>
      <c r="CD166" s="114">
        <f>AK166</f>
        <v>272</v>
      </c>
      <c r="CE166" s="113">
        <f>AO166</f>
        <v>335</v>
      </c>
      <c r="CF166" s="114">
        <f>AS166</f>
        <v>374</v>
      </c>
      <c r="CG166" s="113">
        <f>AW166</f>
        <v>401</v>
      </c>
      <c r="CH166" s="111">
        <f>G166</f>
        <v>143</v>
      </c>
      <c r="CI166" s="113">
        <f>K166</f>
        <v>148</v>
      </c>
      <c r="CJ166" s="114">
        <f>O166</f>
        <v>178</v>
      </c>
      <c r="CK166" s="114" t="str">
        <f>S166</f>
        <v>-</v>
      </c>
      <c r="CL166" s="114">
        <f>W166</f>
        <v>220</v>
      </c>
      <c r="CM166" s="114">
        <f>AA166</f>
        <v>228</v>
      </c>
      <c r="CN166" s="114">
        <f>AE166</f>
        <v>254</v>
      </c>
      <c r="CO166" s="114" t="str">
        <f>AI166</f>
        <v>-</v>
      </c>
      <c r="CP166" s="114">
        <f>AM166</f>
        <v>311</v>
      </c>
      <c r="CQ166" s="114">
        <f>AQ166</f>
        <v>363</v>
      </c>
      <c r="CR166" s="114">
        <f>AU166</f>
        <v>400</v>
      </c>
      <c r="CS166" s="114">
        <f>AY166</f>
        <v>411</v>
      </c>
      <c r="CT166" s="109">
        <f>M166-K166</f>
        <v>5</v>
      </c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  <c r="AMO166" s="9"/>
    </row>
    <row r="167" spans="1:1030" s="12" customFormat="1" x14ac:dyDescent="0.2">
      <c r="A167" s="9" t="str">
        <f>CONCATENATE(B167,"_",C167)</f>
        <v>cnr2_human__wt</v>
      </c>
      <c r="B167" s="9" t="s">
        <v>183</v>
      </c>
      <c r="C167" s="9" t="s">
        <v>100</v>
      </c>
      <c r="D167" s="9" t="str">
        <f>IFERROR(MID(VLOOKUP($B167,Seqs!$A:$B,2,0),E167,1),"")</f>
        <v>S</v>
      </c>
      <c r="E167" s="9">
        <v>29</v>
      </c>
      <c r="F167" s="9" t="str">
        <f>IFERROR(MID(VLOOKUP($B167,Seqs!$A:$B,2,0),G167,1),"")</f>
        <v>S</v>
      </c>
      <c r="G167" s="9">
        <v>61</v>
      </c>
      <c r="H167" s="9" t="str">
        <f>IFERROR(MID(VLOOKUP($B167,Seqs!$A:$B,2,0),I167,1),"")</f>
        <v>H</v>
      </c>
      <c r="I167" s="109">
        <v>62</v>
      </c>
      <c r="J167" s="9" t="str">
        <f>IFERROR(MID(VLOOKUP($B167,Seqs!$A:$B,2,0),K167,1),"")</f>
        <v>R</v>
      </c>
      <c r="K167" s="109">
        <v>65</v>
      </c>
      <c r="L167" s="9" t="str">
        <f>IFERROR(MID(VLOOKUP($B167,Seqs!$A:$B,2,0),M167,1),"")</f>
        <v>K</v>
      </c>
      <c r="M167" s="9">
        <v>67</v>
      </c>
      <c r="N167" s="9" t="str">
        <f>IFERROR(MID(VLOOKUP($B167,Seqs!$A:$B,2,0),O167,1),"")</f>
        <v>V</v>
      </c>
      <c r="O167" s="9">
        <v>96</v>
      </c>
      <c r="P167" s="9" t="str">
        <f>IFERROR(MID(VLOOKUP($B167,Seqs!$A:$B,2,0),Q167,1),"")</f>
        <v/>
      </c>
      <c r="Q167" s="9" t="s">
        <v>23</v>
      </c>
      <c r="R167" s="9" t="str">
        <f>IFERROR(MID(VLOOKUP($B167,Seqs!$A:$B,2,0),S167,1),"")</f>
        <v/>
      </c>
      <c r="S167" s="9" t="s">
        <v>23</v>
      </c>
      <c r="T167" s="9" t="str">
        <f>IFERROR(MID(VLOOKUP($B167,Seqs!$A:$B,2,0),U167,1),"")</f>
        <v>S</v>
      </c>
      <c r="U167" s="9">
        <v>102</v>
      </c>
      <c r="V167" s="9" t="str">
        <f>IFERROR(MID(VLOOKUP($B167,Seqs!$A:$B,2,0),W167,1),"")</f>
        <v>Y</v>
      </c>
      <c r="W167" s="9">
        <v>137</v>
      </c>
      <c r="X167" s="9" t="str">
        <f>IFERROR(MID(VLOOKUP($B167,Seqs!$A:$B,2,0),Y167,1),"")</f>
        <v>P</v>
      </c>
      <c r="Y167" s="9">
        <v>138</v>
      </c>
      <c r="Z167" s="9" t="str">
        <f>IFERROR(MID(VLOOKUP($B167,Seqs!$A:$B,2,0),AA167,1),"")</f>
        <v>L</v>
      </c>
      <c r="AA167" s="9">
        <v>145</v>
      </c>
      <c r="AB167" s="9" t="str">
        <f>IFERROR(MID(VLOOKUP($B167,Seqs!$A:$B,2,0),AC167,1),"")</f>
        <v>T</v>
      </c>
      <c r="AC167" s="9">
        <v>146</v>
      </c>
      <c r="AD167" s="9" t="str">
        <f>IFERROR(MID(VLOOKUP($B167,Seqs!$A:$B,2,0),AE167,1),"")</f>
        <v>G</v>
      </c>
      <c r="AE167" s="9">
        <v>171</v>
      </c>
      <c r="AF167" s="9" t="str">
        <f>IFERROR(MID(VLOOKUP($B167,Seqs!$A:$B,2,0),AG167,1),"")</f>
        <v/>
      </c>
      <c r="AG167" s="9" t="s">
        <v>23</v>
      </c>
      <c r="AH167" s="9" t="str">
        <f>IFERROR(MID(VLOOKUP($B167,Seqs!$A:$B,2,0),AI167,1),"")</f>
        <v/>
      </c>
      <c r="AI167" s="9" t="s">
        <v>23</v>
      </c>
      <c r="AJ167" s="9" t="str">
        <f>IFERROR(MID(VLOOKUP($B167,Seqs!$A:$B,2,0),AK167,1),"")</f>
        <v>P</v>
      </c>
      <c r="AK167" s="9">
        <v>187</v>
      </c>
      <c r="AL167" s="9" t="str">
        <f>IFERROR(MID(VLOOKUP($B167,Seqs!$A:$B,2,0),AM167,1),"")</f>
        <v>G</v>
      </c>
      <c r="AM167" s="9">
        <v>225</v>
      </c>
      <c r="AN167" s="9" t="str">
        <f>IFERROR(MID(VLOOKUP($B167,Seqs!$A:$B,2,0),AO167,1),"")</f>
        <v>V</v>
      </c>
      <c r="AO167" s="9">
        <v>231</v>
      </c>
      <c r="AP167" s="9" t="str">
        <f>IFERROR(MID(VLOOKUP($B167,Seqs!$A:$B,2,0),AQ167,1),"")</f>
        <v>T</v>
      </c>
      <c r="AQ167" s="9">
        <v>271</v>
      </c>
      <c r="AR167" s="9" t="str">
        <f>IFERROR(MID(VLOOKUP($B167,Seqs!$A:$B,2,0),AS167,1),"")</f>
        <v>S</v>
      </c>
      <c r="AS167" s="9">
        <v>274</v>
      </c>
      <c r="AT167" s="9" t="str">
        <f>IFERROR(MID(VLOOKUP($B167,Seqs!$A:$B,2,0),AU167,1),"")</f>
        <v>R</v>
      </c>
      <c r="AU167" s="9">
        <v>302</v>
      </c>
      <c r="AV167" s="9" t="str">
        <f>IFERROR(MID(VLOOKUP($B167,Seqs!$A:$B,2,0),AW167,1),"")</f>
        <v>S</v>
      </c>
      <c r="AW167" s="9">
        <v>303</v>
      </c>
      <c r="AX167" s="9" t="str">
        <f>IFERROR(MID(VLOOKUP($B167,Seqs!$A:$B,2,0),AY167,1),"")</f>
        <v>K</v>
      </c>
      <c r="AY167" s="9">
        <v>319</v>
      </c>
      <c r="AZ167" s="110" t="str">
        <f>VLOOKUP(B167,Classification!A:D,2,0)</f>
        <v>A</v>
      </c>
      <c r="BA167" s="98" t="str">
        <f>VLOOKUP(B167,Classification!A:D,4,0)</f>
        <v>Cannabinoid</v>
      </c>
      <c r="BB167" s="36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09">
        <f>_xlfn.AGGREGATE(9,6,CH167:CS167)-_xlfn.AGGREGATE(9,6,BV167:CG167)+12</f>
        <v>265</v>
      </c>
      <c r="BD167" s="40" t="s">
        <v>23</v>
      </c>
      <c r="BE167" s="9" t="s">
        <v>23</v>
      </c>
      <c r="BF167" s="120" t="s">
        <v>23</v>
      </c>
      <c r="BG167" s="51" t="s">
        <v>23</v>
      </c>
      <c r="BH167" s="51" t="s">
        <v>23</v>
      </c>
      <c r="BI167" s="9"/>
      <c r="BJ167" s="111" t="s">
        <v>1288</v>
      </c>
      <c r="BK167" s="112" t="s">
        <v>1288</v>
      </c>
      <c r="BL167" s="112" t="s">
        <v>1288</v>
      </c>
      <c r="BM167" s="112" t="s">
        <v>1288</v>
      </c>
      <c r="BN167" s="112" t="s">
        <v>1288</v>
      </c>
      <c r="BO167" s="112" t="s">
        <v>1288</v>
      </c>
      <c r="BP167" s="112" t="s">
        <v>1288</v>
      </c>
      <c r="BQ167" s="112" t="s">
        <v>1288</v>
      </c>
      <c r="BR167" s="112" t="s">
        <v>1288</v>
      </c>
      <c r="BS167" s="112" t="s">
        <v>1288</v>
      </c>
      <c r="BT167" s="112" t="s">
        <v>1288</v>
      </c>
      <c r="BU167" s="112" t="s">
        <v>1288</v>
      </c>
      <c r="BV167" s="111">
        <f>E167</f>
        <v>29</v>
      </c>
      <c r="BW167" s="113">
        <f>I167</f>
        <v>62</v>
      </c>
      <c r="BX167" s="114">
        <f>M167</f>
        <v>67</v>
      </c>
      <c r="BY167" s="113" t="str">
        <f>Q167</f>
        <v>-</v>
      </c>
      <c r="BZ167" s="114">
        <f>U167</f>
        <v>102</v>
      </c>
      <c r="CA167" s="113">
        <f>Y167</f>
        <v>138</v>
      </c>
      <c r="CB167" s="114">
        <f>AC167</f>
        <v>146</v>
      </c>
      <c r="CC167" s="113" t="str">
        <f>AG167</f>
        <v>-</v>
      </c>
      <c r="CD167" s="114">
        <f>AK167</f>
        <v>187</v>
      </c>
      <c r="CE167" s="113">
        <f>AO167</f>
        <v>231</v>
      </c>
      <c r="CF167" s="114">
        <f>AS167</f>
        <v>274</v>
      </c>
      <c r="CG167" s="113">
        <f>AW167</f>
        <v>303</v>
      </c>
      <c r="CH167" s="111">
        <f>G167</f>
        <v>61</v>
      </c>
      <c r="CI167" s="113">
        <f>K167</f>
        <v>65</v>
      </c>
      <c r="CJ167" s="114">
        <f>O167</f>
        <v>96</v>
      </c>
      <c r="CK167" s="114" t="str">
        <f>S167</f>
        <v>-</v>
      </c>
      <c r="CL167" s="114">
        <f>W167</f>
        <v>137</v>
      </c>
      <c r="CM167" s="114">
        <f>AA167</f>
        <v>145</v>
      </c>
      <c r="CN167" s="114">
        <f>AE167</f>
        <v>171</v>
      </c>
      <c r="CO167" s="114" t="str">
        <f>AI167</f>
        <v>-</v>
      </c>
      <c r="CP167" s="114">
        <f>AM167</f>
        <v>225</v>
      </c>
      <c r="CQ167" s="114">
        <f>AQ167</f>
        <v>271</v>
      </c>
      <c r="CR167" s="114">
        <f>AU167</f>
        <v>302</v>
      </c>
      <c r="CS167" s="114">
        <f>AY167</f>
        <v>319</v>
      </c>
      <c r="CT167" s="109">
        <f>M167-K167</f>
        <v>2</v>
      </c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  <c r="AMO167" s="9"/>
    </row>
    <row r="168" spans="1:1030" s="12" customFormat="1" x14ac:dyDescent="0.2">
      <c r="A168" s="9" t="str">
        <f>CONCATENATE(B168,"_",C168)</f>
        <v>cnr2_human_5ZTY</v>
      </c>
      <c r="B168" s="9" t="s">
        <v>183</v>
      </c>
      <c r="C168" s="9" t="s">
        <v>1558</v>
      </c>
      <c r="D168" s="9" t="str">
        <f>IFERROR(MID(VLOOKUP($B168,Seqs!$A:$B,2,0),E168,1),"")</f>
        <v>S</v>
      </c>
      <c r="E168" s="9">
        <v>29</v>
      </c>
      <c r="F168" s="9" t="str">
        <f>IFERROR(MID(VLOOKUP($B168,Seqs!$A:$B,2,0),G168,1),"")</f>
        <v>S</v>
      </c>
      <c r="G168" s="9">
        <v>61</v>
      </c>
      <c r="H168" s="9" t="str">
        <f>IFERROR(MID(VLOOKUP($B168,Seqs!$A:$B,2,0),I168,1),"")</f>
        <v>H</v>
      </c>
      <c r="I168" s="109">
        <v>62</v>
      </c>
      <c r="J168" s="9" t="str">
        <f>IFERROR(MID(VLOOKUP($B168,Seqs!$A:$B,2,0),K168,1),"")</f>
        <v>R</v>
      </c>
      <c r="K168" s="109">
        <v>65</v>
      </c>
      <c r="L168" s="9" t="str">
        <f>IFERROR(MID(VLOOKUP($B168,Seqs!$A:$B,2,0),M168,1),"")</f>
        <v>K</v>
      </c>
      <c r="M168" s="9">
        <v>67</v>
      </c>
      <c r="N168" s="9" t="str">
        <f>IFERROR(MID(VLOOKUP($B168,Seqs!$A:$B,2,0),O168,1),"")</f>
        <v>V</v>
      </c>
      <c r="O168" s="9">
        <v>96</v>
      </c>
      <c r="P168" s="9" t="str">
        <f>IFERROR(MID(VLOOKUP($B168,Seqs!$A:$B,2,0),Q168,1),"")</f>
        <v/>
      </c>
      <c r="Q168" s="9" t="s">
        <v>23</v>
      </c>
      <c r="R168" s="9" t="str">
        <f>IFERROR(MID(VLOOKUP($B168,Seqs!$A:$B,2,0),S168,1),"")</f>
        <v/>
      </c>
      <c r="S168" s="9" t="s">
        <v>23</v>
      </c>
      <c r="T168" s="9" t="str">
        <f>IFERROR(MID(VLOOKUP($B168,Seqs!$A:$B,2,0),U168,1),"")</f>
        <v>S</v>
      </c>
      <c r="U168" s="9">
        <v>102</v>
      </c>
      <c r="V168" s="9" t="str">
        <f>IFERROR(MID(VLOOKUP($B168,Seqs!$A:$B,2,0),W168,1),"")</f>
        <v>Y</v>
      </c>
      <c r="W168" s="9">
        <v>137</v>
      </c>
      <c r="X168" s="9" t="str">
        <f>IFERROR(MID(VLOOKUP($B168,Seqs!$A:$B,2,0),Y168,1),"")</f>
        <v>P</v>
      </c>
      <c r="Y168" s="9">
        <v>138</v>
      </c>
      <c r="Z168" s="9" t="str">
        <f>IFERROR(MID(VLOOKUP($B168,Seqs!$A:$B,2,0),AA168,1),"")</f>
        <v>L</v>
      </c>
      <c r="AA168" s="9">
        <v>145</v>
      </c>
      <c r="AB168" s="9" t="str">
        <f>IFERROR(MID(VLOOKUP($B168,Seqs!$A:$B,2,0),AC168,1),"")</f>
        <v>T</v>
      </c>
      <c r="AC168" s="9">
        <v>146</v>
      </c>
      <c r="AD168" s="9" t="str">
        <f>IFERROR(MID(VLOOKUP($B168,Seqs!$A:$B,2,0),AE168,1),"")</f>
        <v>G</v>
      </c>
      <c r="AE168" s="9">
        <v>171</v>
      </c>
      <c r="AF168" s="9" t="str">
        <f>IFERROR(MID(VLOOKUP($B168,Seqs!$A:$B,2,0),AG168,1),"")</f>
        <v/>
      </c>
      <c r="AG168" s="9" t="s">
        <v>23</v>
      </c>
      <c r="AH168" s="9" t="str">
        <f>IFERROR(MID(VLOOKUP($B168,Seqs!$A:$B,2,0),AI168,1),"")</f>
        <v/>
      </c>
      <c r="AI168" s="9" t="s">
        <v>23</v>
      </c>
      <c r="AJ168" s="9" t="str">
        <f>IFERROR(MID(VLOOKUP($B168,Seqs!$A:$B,2,0),AK168,1),"")</f>
        <v>P</v>
      </c>
      <c r="AK168" s="9">
        <v>187</v>
      </c>
      <c r="AL168" s="9" t="str">
        <f>IFERROR(MID(VLOOKUP($B168,Seqs!$A:$B,2,0),AM168,1),"")</f>
        <v>V</v>
      </c>
      <c r="AM168" s="9">
        <v>220</v>
      </c>
      <c r="AN168" s="9" t="str">
        <f>IFERROR(MID(VLOOKUP($B168,Seqs!$A:$B,2,0),AO168,1),"")</f>
        <v>M</v>
      </c>
      <c r="AO168" s="9">
        <v>237</v>
      </c>
      <c r="AP168" s="9" t="str">
        <f>IFERROR(MID(VLOOKUP($B168,Seqs!$A:$B,2,0),AQ168,1),"")</f>
        <v>T</v>
      </c>
      <c r="AQ168" s="9">
        <v>271</v>
      </c>
      <c r="AR168" s="9" t="str">
        <f>IFERROR(MID(VLOOKUP($B168,Seqs!$A:$B,2,0),AS168,1),"")</f>
        <v>S</v>
      </c>
      <c r="AS168" s="9">
        <v>274</v>
      </c>
      <c r="AT168" s="9" t="str">
        <f>IFERROR(MID(VLOOKUP($B168,Seqs!$A:$B,2,0),AU168,1),"")</f>
        <v>R</v>
      </c>
      <c r="AU168" s="9">
        <v>302</v>
      </c>
      <c r="AV168" s="9" t="str">
        <f>IFERROR(MID(VLOOKUP($B168,Seqs!$A:$B,2,0),AW168,1),"")</f>
        <v>S</v>
      </c>
      <c r="AW168" s="9">
        <v>303</v>
      </c>
      <c r="AX168" s="9" t="str">
        <f>IFERROR(MID(VLOOKUP($B168,Seqs!$A:$B,2,0),AY168,1),"")</f>
        <v>K</v>
      </c>
      <c r="AY168" s="9">
        <v>319</v>
      </c>
      <c r="AZ168" s="110" t="str">
        <f>VLOOKUP(B168,Classification!A:D,2,0)</f>
        <v>A</v>
      </c>
      <c r="BA168" s="98" t="str">
        <f>VLOOKUP(B168,Classification!A:D,4,0)</f>
        <v>Cannabinoid</v>
      </c>
      <c r="BB168" s="36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109">
        <f>_xlfn.AGGREGATE(9,6,CH168:CS168)-_xlfn.AGGREGATE(9,6,BV168:CG168)+12</f>
        <v>254</v>
      </c>
      <c r="BD168" s="40" t="s">
        <v>1377</v>
      </c>
      <c r="BE168" s="9" t="s">
        <v>1375</v>
      </c>
      <c r="BF168" s="120">
        <v>2.8</v>
      </c>
      <c r="BG168" s="51" t="s">
        <v>1</v>
      </c>
      <c r="BH168" s="51" t="s">
        <v>1</v>
      </c>
      <c r="BI168" s="9"/>
      <c r="BJ168" s="111" t="s">
        <v>1288</v>
      </c>
      <c r="BK168" s="112" t="s">
        <v>1288</v>
      </c>
      <c r="BL168" s="112" t="s">
        <v>1288</v>
      </c>
      <c r="BM168" s="112" t="s">
        <v>1288</v>
      </c>
      <c r="BN168" s="112" t="s">
        <v>1288</v>
      </c>
      <c r="BO168" s="112" t="s">
        <v>1288</v>
      </c>
      <c r="BP168" s="112" t="s">
        <v>1288</v>
      </c>
      <c r="BQ168" s="112" t="s">
        <v>1288</v>
      </c>
      <c r="BR168" s="112" t="s">
        <v>1288</v>
      </c>
      <c r="BS168" s="112" t="s">
        <v>1288</v>
      </c>
      <c r="BT168" s="112" t="s">
        <v>1288</v>
      </c>
      <c r="BU168" s="112" t="s">
        <v>1288</v>
      </c>
      <c r="BV168" s="111">
        <f>E168</f>
        <v>29</v>
      </c>
      <c r="BW168" s="113">
        <f>I168</f>
        <v>62</v>
      </c>
      <c r="BX168" s="114">
        <f>M168</f>
        <v>67</v>
      </c>
      <c r="BY168" s="113" t="str">
        <f>Q168</f>
        <v>-</v>
      </c>
      <c r="BZ168" s="114">
        <f>U168</f>
        <v>102</v>
      </c>
      <c r="CA168" s="113">
        <f>Y168</f>
        <v>138</v>
      </c>
      <c r="CB168" s="114">
        <f>AC168</f>
        <v>146</v>
      </c>
      <c r="CC168" s="113" t="str">
        <f>AG168</f>
        <v>-</v>
      </c>
      <c r="CD168" s="114">
        <f>AK168</f>
        <v>187</v>
      </c>
      <c r="CE168" s="113">
        <f>AO168</f>
        <v>237</v>
      </c>
      <c r="CF168" s="114">
        <f>AS168</f>
        <v>274</v>
      </c>
      <c r="CG168" s="113">
        <f>AW168</f>
        <v>303</v>
      </c>
      <c r="CH168" s="111">
        <f>G168</f>
        <v>61</v>
      </c>
      <c r="CI168" s="113">
        <f>K168</f>
        <v>65</v>
      </c>
      <c r="CJ168" s="114">
        <f>O168</f>
        <v>96</v>
      </c>
      <c r="CK168" s="114" t="str">
        <f>S168</f>
        <v>-</v>
      </c>
      <c r="CL168" s="114">
        <f>W168</f>
        <v>137</v>
      </c>
      <c r="CM168" s="114">
        <f>AA168</f>
        <v>145</v>
      </c>
      <c r="CN168" s="114">
        <f>AE168</f>
        <v>171</v>
      </c>
      <c r="CO168" s="114" t="str">
        <f>AI168</f>
        <v>-</v>
      </c>
      <c r="CP168" s="114">
        <f>AM168</f>
        <v>220</v>
      </c>
      <c r="CQ168" s="114">
        <f>AQ168</f>
        <v>271</v>
      </c>
      <c r="CR168" s="114">
        <f>AU168</f>
        <v>302</v>
      </c>
      <c r="CS168" s="114">
        <f>AY168</f>
        <v>319</v>
      </c>
      <c r="CT168" s="109">
        <f>M168-K168</f>
        <v>2</v>
      </c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</row>
    <row r="169" spans="1:1030" x14ac:dyDescent="0.2">
      <c r="A169" s="3" t="str">
        <f t="shared" si="839"/>
        <v>cxcr4_human__wt</v>
      </c>
      <c r="B169" s="3" t="s">
        <v>1172</v>
      </c>
      <c r="C169" s="3" t="s">
        <v>100</v>
      </c>
      <c r="D169" s="3" t="str">
        <f>IFERROR(MID(VLOOKUP($B169,Seqs!$A:$B,2,0),E169,1),"")</f>
        <v>R</v>
      </c>
      <c r="E169" s="3">
        <v>30</v>
      </c>
      <c r="F169" s="3" t="str">
        <f>IFERROR(MID(VLOOKUP($B169,Seqs!$A:$B,2,0),G169,1),"")</f>
        <v>Q</v>
      </c>
      <c r="G169" s="3">
        <v>66</v>
      </c>
      <c r="H169" s="3" t="str">
        <f>IFERROR(MID(VLOOKUP($B169,Seqs!$A:$B,2,0),I169,1),"")</f>
        <v>K</v>
      </c>
      <c r="I169" s="23">
        <v>67</v>
      </c>
      <c r="J169" s="3" t="str">
        <f>IFERROR(MID(VLOOKUP($B169,Seqs!$A:$B,2,0),K169,1),"")</f>
        <v>R</v>
      </c>
      <c r="K169" s="23">
        <v>70</v>
      </c>
      <c r="L169" s="3" t="str">
        <f>IFERROR(MID(VLOOKUP($B169,Seqs!$A:$B,2,0),M169,1),"")</f>
        <v>S</v>
      </c>
      <c r="M169" s="3">
        <v>71</v>
      </c>
      <c r="N169" s="3" t="str">
        <f>IFERROR(MID(VLOOKUP($B169,Seqs!$A:$B,2,0),O169,1),"")</f>
        <v>A</v>
      </c>
      <c r="O169" s="3">
        <v>100</v>
      </c>
      <c r="P169" s="3" t="str">
        <f>IFERROR(MID(VLOOKUP($B169,Seqs!$A:$B,2,0),Q169,1),"")</f>
        <v>N</v>
      </c>
      <c r="Q169" s="3">
        <v>101</v>
      </c>
      <c r="R169" s="3" t="str">
        <f>IFERROR(MID(VLOOKUP($B169,Seqs!$A:$B,2,0),S169,1),"")</f>
        <v>F</v>
      </c>
      <c r="S169" s="3">
        <v>104</v>
      </c>
      <c r="T169" s="3" t="str">
        <f>IFERROR(MID(VLOOKUP($B169,Seqs!$A:$B,2,0),U169,1),"")</f>
        <v>G</v>
      </c>
      <c r="U169" s="3">
        <v>105</v>
      </c>
      <c r="V169" s="3" t="str">
        <f>IFERROR(MID(VLOOKUP($B169,Seqs!$A:$B,2,0),W169,1),"")</f>
        <v>H</v>
      </c>
      <c r="W169" s="3">
        <v>140</v>
      </c>
      <c r="X169" s="3" t="str">
        <f>IFERROR(MID(VLOOKUP($B169,Seqs!$A:$B,2,0),Y169,1),"")</f>
        <v>A</v>
      </c>
      <c r="Y169" s="3">
        <v>141</v>
      </c>
      <c r="Z169" s="3" t="str">
        <f>IFERROR(MID(VLOOKUP($B169,Seqs!$A:$B,2,0),AA169,1),"")</f>
        <v>R</v>
      </c>
      <c r="AA169" s="3">
        <v>148</v>
      </c>
      <c r="AB169" s="3" t="str">
        <f>IFERROR(MID(VLOOKUP($B169,Seqs!$A:$B,2,0),AC169,1),"")</f>
        <v>K</v>
      </c>
      <c r="AC169" s="9">
        <v>149</v>
      </c>
      <c r="AD169" s="3" t="str">
        <f>IFERROR(MID(VLOOKUP($B169,Seqs!$A:$B,2,0),AE169,1),"")</f>
        <v>A</v>
      </c>
      <c r="AE169" s="3">
        <v>175</v>
      </c>
      <c r="AF169" s="3" t="str">
        <f>IFERROR(MID(VLOOKUP($B169,Seqs!$A:$B,2,0),AG169,1),"")</f>
        <v>C</v>
      </c>
      <c r="AG169" s="3">
        <v>186</v>
      </c>
      <c r="AH169" s="3" t="str">
        <f>IFERROR(MID(VLOOKUP($B169,Seqs!$A:$B,2,0),AI169,1),"")</f>
        <v>R</v>
      </c>
      <c r="AI169" s="3">
        <v>188</v>
      </c>
      <c r="AJ169" s="3" t="str">
        <f>IFERROR(MID(VLOOKUP($B169,Seqs!$A:$B,2,0),AK169,1),"")</f>
        <v>D</v>
      </c>
      <c r="AK169" s="3">
        <v>193</v>
      </c>
      <c r="AL169" s="3" t="str">
        <f>IFERROR(MID(VLOOKUP($B169,Seqs!$A:$B,2,0),AM169,1),"")</f>
        <v>S</v>
      </c>
      <c r="AM169" s="3">
        <v>229</v>
      </c>
      <c r="AN169" s="3" t="str">
        <f>IFERROR(MID(VLOOKUP($B169,Seqs!$A:$B,2,0),AO169,1),"")</f>
        <v>K</v>
      </c>
      <c r="AO169" s="3">
        <v>234</v>
      </c>
      <c r="AP169" s="3" t="str">
        <f>IFERROR(MID(VLOOKUP($B169,Seqs!$A:$B,2,0),AQ169,1),"")</f>
        <v>E</v>
      </c>
      <c r="AQ169" s="3">
        <v>268</v>
      </c>
      <c r="AR169" s="3" t="str">
        <f>IFERROR(MID(VLOOKUP($B169,Seqs!$A:$B,2,0),AS169,1),"")</f>
        <v>G</v>
      </c>
      <c r="AS169" s="3">
        <v>273</v>
      </c>
      <c r="AT169" s="3" t="str">
        <f>IFERROR(MID(VLOOKUP($B169,Seqs!$A:$B,2,0),AU169,1),"")</f>
        <v>L</v>
      </c>
      <c r="AU169" s="3">
        <v>305</v>
      </c>
      <c r="AV169" s="3" t="str">
        <f>IFERROR(MID(VLOOKUP($B169,Seqs!$A:$B,2,0),AW169,1),"")</f>
        <v>G</v>
      </c>
      <c r="AW169" s="3">
        <v>306</v>
      </c>
      <c r="AX169" s="3" t="str">
        <f>IFERROR(MID(VLOOKUP($B169,Seqs!$A:$B,2,0),AY169,1),"")</f>
        <v>T</v>
      </c>
      <c r="AY169" s="3">
        <v>318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 t="shared" si="840"/>
        <v>1</v>
      </c>
      <c r="BC169" s="23">
        <f t="shared" ref="BC169:BC176" si="981">_xlfn.AGGREGATE(9,6,CH169:CS169)-_xlfn.AGGREGATE(9,6,BV169:CG169)+12</f>
        <v>267</v>
      </c>
      <c r="BD169" s="34" t="s">
        <v>23</v>
      </c>
      <c r="BE169" s="3" t="s">
        <v>23</v>
      </c>
      <c r="BF169" s="119" t="s">
        <v>23</v>
      </c>
      <c r="BG169" s="49" t="s">
        <v>1373</v>
      </c>
      <c r="BH169" s="49" t="s">
        <v>1378</v>
      </c>
      <c r="BI169" s="1"/>
      <c r="BJ169" s="70" t="s">
        <v>1288</v>
      </c>
      <c r="BK169" s="57" t="s">
        <v>1288</v>
      </c>
      <c r="BL169" s="57" t="s">
        <v>1288</v>
      </c>
      <c r="BM169" s="57" t="s">
        <v>1288</v>
      </c>
      <c r="BN169" s="57" t="s">
        <v>1288</v>
      </c>
      <c r="BO169" s="57" t="s">
        <v>1288</v>
      </c>
      <c r="BP169" s="57" t="s">
        <v>1288</v>
      </c>
      <c r="BQ169" s="57" t="s">
        <v>1288</v>
      </c>
      <c r="BR169" s="57" t="s">
        <v>1288</v>
      </c>
      <c r="BS169" s="57" t="s">
        <v>1288</v>
      </c>
      <c r="BT169" s="57" t="s">
        <v>1288</v>
      </c>
      <c r="BU169" s="57" t="s">
        <v>1288</v>
      </c>
      <c r="BV169" s="70">
        <f t="shared" ref="BV169:BV176" si="982">E169</f>
        <v>30</v>
      </c>
      <c r="BW169" s="71">
        <f t="shared" ref="BW169:BW176" si="983">I169</f>
        <v>67</v>
      </c>
      <c r="BX169" s="72">
        <f t="shared" ref="BX169:BX176" si="984">M169</f>
        <v>71</v>
      </c>
      <c r="BY169" s="71">
        <f t="shared" ref="BY169:BY176" si="985">Q169</f>
        <v>101</v>
      </c>
      <c r="BZ169" s="72">
        <f t="shared" ref="BZ169:BZ176" si="986">U169</f>
        <v>105</v>
      </c>
      <c r="CA169" s="71">
        <f t="shared" ref="CA169:CA176" si="987">Y169</f>
        <v>141</v>
      </c>
      <c r="CB169" s="72">
        <f t="shared" ref="CB169:CB176" si="988">AC169</f>
        <v>149</v>
      </c>
      <c r="CC169" s="71">
        <f t="shared" ref="CC169:CC176" si="989">AG169</f>
        <v>186</v>
      </c>
      <c r="CD169" s="72">
        <f t="shared" ref="CD169:CD176" si="990">AK169</f>
        <v>193</v>
      </c>
      <c r="CE169" s="71">
        <f t="shared" ref="CE169:CE176" si="991">AO169</f>
        <v>234</v>
      </c>
      <c r="CF169" s="72">
        <f t="shared" ref="CF169:CF176" si="992">AS169</f>
        <v>273</v>
      </c>
      <c r="CG169" s="71">
        <f t="shared" ref="CG169:CG176" si="993">AW169</f>
        <v>306</v>
      </c>
      <c r="CH169" s="70">
        <f t="shared" ref="CH169:CH176" si="994">G169</f>
        <v>66</v>
      </c>
      <c r="CI169" s="71">
        <f t="shared" ref="CI169:CI176" si="995">K169</f>
        <v>70</v>
      </c>
      <c r="CJ169" s="72">
        <f t="shared" ref="CJ169:CJ176" si="996">O169</f>
        <v>100</v>
      </c>
      <c r="CK169" s="72">
        <f t="shared" ref="CK169:CK176" si="997">S169</f>
        <v>104</v>
      </c>
      <c r="CL169" s="72">
        <f t="shared" ref="CL169:CL176" si="998">W169</f>
        <v>140</v>
      </c>
      <c r="CM169" s="72">
        <f t="shared" ref="CM169:CM176" si="999">AA169</f>
        <v>148</v>
      </c>
      <c r="CN169" s="72">
        <f t="shared" ref="CN169:CN176" si="1000">AE169</f>
        <v>175</v>
      </c>
      <c r="CO169" s="72">
        <f t="shared" ref="CO169:CO176" si="1001">AI169</f>
        <v>188</v>
      </c>
      <c r="CP169" s="72">
        <f t="shared" ref="CP169:CP176" si="1002">AM169</f>
        <v>229</v>
      </c>
      <c r="CQ169" s="72">
        <f t="shared" ref="CQ169:CQ176" si="1003">AQ169</f>
        <v>268</v>
      </c>
      <c r="CR169" s="72">
        <f t="shared" ref="CR169:CR176" si="1004">AU169</f>
        <v>305</v>
      </c>
      <c r="CS169" s="72">
        <f t="shared" ref="CS169:CS176" si="1005">AY169</f>
        <v>318</v>
      </c>
      <c r="CT169" s="23">
        <f t="shared" ref="CT169:CT176" si="1006">M169-K169</f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839"/>
        <v>cxcr4_human_3ODU</v>
      </c>
      <c r="B170" s="3" t="s">
        <v>1172</v>
      </c>
      <c r="C170" s="3" t="s">
        <v>63</v>
      </c>
      <c r="D170" s="3" t="str">
        <f>IFERROR(MID(VLOOKUP($B170,Seqs!$A:$B,2,0),E170,1),"")</f>
        <v>A</v>
      </c>
      <c r="E170" s="3">
        <v>34</v>
      </c>
      <c r="F170" s="3" t="str">
        <f>IFERROR(MID(VLOOKUP($B170,Seqs!$A:$B,2,0),G170,1),"")</f>
        <v>Q</v>
      </c>
      <c r="G170" s="3">
        <v>66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71</v>
      </c>
      <c r="N170" s="3" t="str">
        <f>IFERROR(MID(VLOOKUP($B170,Seqs!$A:$B,2,0),O170,1),"")</f>
        <v>A</v>
      </c>
      <c r="O170" s="3">
        <v>100</v>
      </c>
      <c r="P170" s="3" t="str">
        <f>IFERROR(MID(VLOOKUP($B170,Seqs!$A:$B,2,0),Q170,1),"")</f>
        <v>N</v>
      </c>
      <c r="Q170" s="3">
        <v>101</v>
      </c>
      <c r="R170" s="3" t="str">
        <f>IFERROR(MID(VLOOKUP($B170,Seqs!$A:$B,2,0),S170,1),"")</f>
        <v>F</v>
      </c>
      <c r="S170" s="3">
        <v>104</v>
      </c>
      <c r="T170" s="3" t="str">
        <f>IFERROR(MID(VLOOKUP($B170,Seqs!$A:$B,2,0),U170,1),"")</f>
        <v>G</v>
      </c>
      <c r="U170" s="3">
        <v>105</v>
      </c>
      <c r="V170" s="3" t="str">
        <f>IFERROR(MID(VLOOKUP($B170,Seqs!$A:$B,2,0),W170,1),"")</f>
        <v>H</v>
      </c>
      <c r="W170" s="3">
        <v>140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S</v>
      </c>
      <c r="AC170" s="9">
        <v>144</v>
      </c>
      <c r="AD170" s="3" t="str">
        <f>IFERROR(MID(VLOOKUP($B170,Seqs!$A:$B,2,0),AE170,1),"")</f>
        <v>A</v>
      </c>
      <c r="AE170" s="3">
        <v>175</v>
      </c>
      <c r="AF170" s="3" t="str">
        <f>IFERROR(MID(VLOOKUP($B170,Seqs!$A:$B,2,0),AG170,1),"")</f>
        <v>C</v>
      </c>
      <c r="AG170" s="3">
        <v>186</v>
      </c>
      <c r="AH170" s="3" t="str">
        <f>IFERROR(MID(VLOOKUP($B170,Seqs!$A:$B,2,0),AI170,1),"")</f>
        <v>R</v>
      </c>
      <c r="AI170" s="3">
        <v>188</v>
      </c>
      <c r="AJ170" s="3" t="str">
        <f>IFERROR(MID(VLOOKUP($B170,Seqs!$A:$B,2,0),AK170,1),"")</f>
        <v>D</v>
      </c>
      <c r="AK170" s="3">
        <v>193</v>
      </c>
      <c r="AL170" s="3" t="str">
        <f>IFERROR(MID(VLOOKUP($B170,Seqs!$A:$B,2,0),AM170,1),"")</f>
        <v>K</v>
      </c>
      <c r="AM170" s="3">
        <v>225</v>
      </c>
      <c r="AN170" s="3" t="str">
        <f>IFERROR(MID(VLOOKUP($B170,Seqs!$A:$B,2,0),AO170,1),"")</f>
        <v>G</v>
      </c>
      <c r="AO170" s="3">
        <v>231</v>
      </c>
      <c r="AP170" s="3" t="str">
        <f>IFERROR(MID(VLOOKUP($B170,Seqs!$A:$B,2,0),AQ170,1),"")</f>
        <v>E</v>
      </c>
      <c r="AQ170" s="3">
        <v>268</v>
      </c>
      <c r="AR170" s="3" t="str">
        <f>IFERROR(MID(VLOOKUP($B170,Seqs!$A:$B,2,0),AS170,1),"")</f>
        <v>G</v>
      </c>
      <c r="AS170" s="3">
        <v>273</v>
      </c>
      <c r="AT170" s="3" t="str">
        <f>IFERROR(MID(VLOOKUP($B170,Seqs!$A:$B,2,0),AU170,1),"")</f>
        <v>I</v>
      </c>
      <c r="AU170" s="3">
        <v>300</v>
      </c>
      <c r="AV170" s="3" t="str">
        <f>IFERROR(MID(VLOOKUP($B170,Seqs!$A:$B,2,0),AW170,1),"")</f>
        <v/>
      </c>
      <c r="AW170" s="3" t="s">
        <v>23</v>
      </c>
      <c r="AX170" s="3" t="str">
        <f>IFERROR(MID(VLOOKUP($B170,Seqs!$A:$B,2,0),AY170,1),"")</f>
        <v/>
      </c>
      <c r="AY170" s="3" t="s">
        <v>23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840"/>
        <v>1</v>
      </c>
      <c r="BC170" s="23">
        <f t="shared" si="981"/>
        <v>240</v>
      </c>
      <c r="BD170" s="2" t="s">
        <v>1377</v>
      </c>
      <c r="BE170" s="3" t="s">
        <v>1375</v>
      </c>
      <c r="BF170" s="119">
        <v>2.5</v>
      </c>
      <c r="BG170" s="49" t="s">
        <v>1378</v>
      </c>
      <c r="BH170" s="49" t="s">
        <v>1378</v>
      </c>
      <c r="BI170" s="1"/>
      <c r="BJ170" s="70" t="s">
        <v>1288</v>
      </c>
      <c r="BK170" s="57" t="s">
        <v>1288</v>
      </c>
      <c r="BL170" s="57" t="s">
        <v>1288</v>
      </c>
      <c r="BM170" s="57" t="s">
        <v>1288</v>
      </c>
      <c r="BN170" s="57" t="s">
        <v>1288</v>
      </c>
      <c r="BO170" s="57" t="s">
        <v>1288</v>
      </c>
      <c r="BP170" s="57" t="s">
        <v>1288</v>
      </c>
      <c r="BQ170" s="57" t="s">
        <v>1288</v>
      </c>
      <c r="BR170" s="57" t="s">
        <v>1288</v>
      </c>
      <c r="BS170" s="57" t="s">
        <v>1288</v>
      </c>
      <c r="BT170" s="57" t="s">
        <v>1288</v>
      </c>
      <c r="BU170" s="57" t="s">
        <v>1288</v>
      </c>
      <c r="BV170" s="70">
        <f t="shared" si="982"/>
        <v>34</v>
      </c>
      <c r="BW170" s="71" t="str">
        <f t="shared" si="983"/>
        <v>-</v>
      </c>
      <c r="BX170" s="72">
        <f t="shared" si="984"/>
        <v>71</v>
      </c>
      <c r="BY170" s="71">
        <f t="shared" si="985"/>
        <v>101</v>
      </c>
      <c r="BZ170" s="72">
        <f t="shared" si="986"/>
        <v>105</v>
      </c>
      <c r="CA170" s="71" t="str">
        <f t="shared" si="987"/>
        <v>-</v>
      </c>
      <c r="CB170" s="72">
        <f t="shared" si="988"/>
        <v>144</v>
      </c>
      <c r="CC170" s="71">
        <f t="shared" si="989"/>
        <v>186</v>
      </c>
      <c r="CD170" s="72">
        <f t="shared" si="990"/>
        <v>193</v>
      </c>
      <c r="CE170" s="71">
        <f t="shared" si="991"/>
        <v>231</v>
      </c>
      <c r="CF170" s="72">
        <f t="shared" si="992"/>
        <v>273</v>
      </c>
      <c r="CG170" s="71" t="str">
        <f t="shared" si="993"/>
        <v>-</v>
      </c>
      <c r="CH170" s="70">
        <f t="shared" si="994"/>
        <v>66</v>
      </c>
      <c r="CI170" s="71" t="str">
        <f t="shared" si="995"/>
        <v>-</v>
      </c>
      <c r="CJ170" s="72">
        <f t="shared" si="996"/>
        <v>100</v>
      </c>
      <c r="CK170" s="72">
        <f t="shared" si="997"/>
        <v>104</v>
      </c>
      <c r="CL170" s="72">
        <f t="shared" si="998"/>
        <v>140</v>
      </c>
      <c r="CM170" s="72" t="str">
        <f t="shared" si="999"/>
        <v>-</v>
      </c>
      <c r="CN170" s="72">
        <f t="shared" si="1000"/>
        <v>175</v>
      </c>
      <c r="CO170" s="72">
        <f t="shared" si="1001"/>
        <v>188</v>
      </c>
      <c r="CP170" s="72">
        <f t="shared" si="1002"/>
        <v>225</v>
      </c>
      <c r="CQ170" s="72">
        <f t="shared" si="1003"/>
        <v>268</v>
      </c>
      <c r="CR170" s="72">
        <f t="shared" si="1004"/>
        <v>300</v>
      </c>
      <c r="CS170" s="72" t="str">
        <f t="shared" si="1005"/>
        <v>-</v>
      </c>
      <c r="CT170" s="23" t="e">
        <f t="shared" si="1006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839"/>
        <v>cxcr4_human_3OE0</v>
      </c>
      <c r="B171" s="3" t="s">
        <v>1172</v>
      </c>
      <c r="C171" s="3" t="s">
        <v>1032</v>
      </c>
      <c r="D171" s="3" t="str">
        <f>IFERROR(MID(VLOOKUP($B171,Seqs!$A:$B,2,0),E171,1),"")</f>
        <v>A</v>
      </c>
      <c r="E171" s="3">
        <v>34</v>
      </c>
      <c r="F171" s="3" t="str">
        <f>IFERROR(MID(VLOOKUP($B171,Seqs!$A:$B,2,0),G171,1),"")</f>
        <v>Q</v>
      </c>
      <c r="G171" s="3">
        <v>66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71</v>
      </c>
      <c r="N171" s="3" t="str">
        <f>IFERROR(MID(VLOOKUP($B171,Seqs!$A:$B,2,0),O171,1),"")</f>
        <v>A</v>
      </c>
      <c r="O171" s="3">
        <v>100</v>
      </c>
      <c r="P171" s="3" t="str">
        <f>IFERROR(MID(VLOOKUP($B171,Seqs!$A:$B,2,0),Q171,1),"")</f>
        <v>N</v>
      </c>
      <c r="Q171" s="3">
        <v>101</v>
      </c>
      <c r="R171" s="3" t="str">
        <f>IFERROR(MID(VLOOKUP($B171,Seqs!$A:$B,2,0),S171,1),"")</f>
        <v>F</v>
      </c>
      <c r="S171" s="3">
        <v>104</v>
      </c>
      <c r="T171" s="3" t="str">
        <f>IFERROR(MID(VLOOKUP($B171,Seqs!$A:$B,2,0),U171,1),"")</f>
        <v>G</v>
      </c>
      <c r="U171" s="3">
        <v>105</v>
      </c>
      <c r="V171" s="3" t="str">
        <f>IFERROR(MID(VLOOKUP($B171,Seqs!$A:$B,2,0),W171,1),"")</f>
        <v>H</v>
      </c>
      <c r="W171" s="3">
        <v>140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S</v>
      </c>
      <c r="AC171" s="9">
        <v>144</v>
      </c>
      <c r="AD171" s="3" t="str">
        <f>IFERROR(MID(VLOOKUP($B171,Seqs!$A:$B,2,0),AE171,1),"")</f>
        <v>A</v>
      </c>
      <c r="AE171" s="3">
        <v>175</v>
      </c>
      <c r="AF171" s="3" t="str">
        <f>IFERROR(MID(VLOOKUP($B171,Seqs!$A:$B,2,0),AG171,1),"")</f>
        <v>C</v>
      </c>
      <c r="AG171" s="3">
        <v>186</v>
      </c>
      <c r="AH171" s="3" t="str">
        <f>IFERROR(MID(VLOOKUP($B171,Seqs!$A:$B,2,0),AI171,1),"")</f>
        <v>R</v>
      </c>
      <c r="AI171" s="3">
        <v>188</v>
      </c>
      <c r="AJ171" s="3" t="str">
        <f>IFERROR(MID(VLOOKUP($B171,Seqs!$A:$B,2,0),AK171,1),"")</f>
        <v>D</v>
      </c>
      <c r="AK171" s="3">
        <v>193</v>
      </c>
      <c r="AL171" s="3" t="str">
        <f>IFERROR(MID(VLOOKUP($B171,Seqs!$A:$B,2,0),AM171,1),"")</f>
        <v>H</v>
      </c>
      <c r="AM171" s="3">
        <v>228</v>
      </c>
      <c r="AN171" s="3" t="str">
        <f>IFERROR(MID(VLOOKUP($B171,Seqs!$A:$B,2,0),AO171,1),"")</f>
        <v>K</v>
      </c>
      <c r="AO171" s="3">
        <v>239</v>
      </c>
      <c r="AP171" s="3" t="str">
        <f>IFERROR(MID(VLOOKUP($B171,Seqs!$A:$B,2,0),AQ171,1),"")</f>
        <v>E</v>
      </c>
      <c r="AQ171" s="3">
        <v>268</v>
      </c>
      <c r="AR171" s="3" t="str">
        <f>IFERROR(MID(VLOOKUP($B171,Seqs!$A:$B,2,0),AS171,1),"")</f>
        <v>G</v>
      </c>
      <c r="AS171" s="3">
        <v>273</v>
      </c>
      <c r="AT171" s="3" t="str">
        <f>IFERROR(MID(VLOOKUP($B171,Seqs!$A:$B,2,0),AU171,1),"")</f>
        <v>I</v>
      </c>
      <c r="AU171" s="3">
        <v>300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si="840"/>
        <v>1</v>
      </c>
      <c r="BC171" s="23">
        <f t="shared" si="981"/>
        <v>235</v>
      </c>
      <c r="BD171" s="4" t="s">
        <v>23</v>
      </c>
      <c r="BE171" s="3" t="s">
        <v>1375</v>
      </c>
      <c r="BF171" s="119">
        <v>2.9</v>
      </c>
      <c r="BG171" s="49" t="s">
        <v>1378</v>
      </c>
      <c r="BH171" s="49" t="s">
        <v>1378</v>
      </c>
      <c r="BI171" s="1"/>
      <c r="BJ171" s="70" t="s">
        <v>1288</v>
      </c>
      <c r="BK171" s="57" t="s">
        <v>1288</v>
      </c>
      <c r="BL171" s="57" t="s">
        <v>1288</v>
      </c>
      <c r="BM171" s="57" t="s">
        <v>1288</v>
      </c>
      <c r="BN171" s="57" t="s">
        <v>1288</v>
      </c>
      <c r="BO171" s="57" t="s">
        <v>1288</v>
      </c>
      <c r="BP171" s="57" t="s">
        <v>1288</v>
      </c>
      <c r="BQ171" s="57" t="s">
        <v>1288</v>
      </c>
      <c r="BR171" s="57" t="s">
        <v>1288</v>
      </c>
      <c r="BS171" s="57" t="s">
        <v>1288</v>
      </c>
      <c r="BT171" s="57" t="s">
        <v>1288</v>
      </c>
      <c r="BU171" s="57" t="s">
        <v>1288</v>
      </c>
      <c r="BV171" s="70">
        <f t="shared" si="982"/>
        <v>34</v>
      </c>
      <c r="BW171" s="71" t="str">
        <f t="shared" si="983"/>
        <v>-</v>
      </c>
      <c r="BX171" s="72">
        <f t="shared" si="984"/>
        <v>71</v>
      </c>
      <c r="BY171" s="71">
        <f t="shared" si="985"/>
        <v>101</v>
      </c>
      <c r="BZ171" s="72">
        <f t="shared" si="986"/>
        <v>105</v>
      </c>
      <c r="CA171" s="71" t="str">
        <f t="shared" si="987"/>
        <v>-</v>
      </c>
      <c r="CB171" s="72">
        <f t="shared" si="988"/>
        <v>144</v>
      </c>
      <c r="CC171" s="71">
        <f t="shared" si="989"/>
        <v>186</v>
      </c>
      <c r="CD171" s="72">
        <f t="shared" si="990"/>
        <v>193</v>
      </c>
      <c r="CE171" s="71">
        <f t="shared" si="991"/>
        <v>239</v>
      </c>
      <c r="CF171" s="72">
        <f t="shared" si="992"/>
        <v>273</v>
      </c>
      <c r="CG171" s="71" t="str">
        <f t="shared" si="993"/>
        <v>-</v>
      </c>
      <c r="CH171" s="70">
        <f t="shared" si="994"/>
        <v>66</v>
      </c>
      <c r="CI171" s="71" t="str">
        <f t="shared" si="995"/>
        <v>-</v>
      </c>
      <c r="CJ171" s="72">
        <f t="shared" si="996"/>
        <v>100</v>
      </c>
      <c r="CK171" s="72">
        <f t="shared" si="997"/>
        <v>104</v>
      </c>
      <c r="CL171" s="72">
        <f t="shared" si="998"/>
        <v>140</v>
      </c>
      <c r="CM171" s="72" t="str">
        <f t="shared" si="999"/>
        <v>-</v>
      </c>
      <c r="CN171" s="72">
        <f t="shared" si="1000"/>
        <v>175</v>
      </c>
      <c r="CO171" s="72">
        <f t="shared" si="1001"/>
        <v>188</v>
      </c>
      <c r="CP171" s="72">
        <f t="shared" si="1002"/>
        <v>228</v>
      </c>
      <c r="CQ171" s="72">
        <f t="shared" si="1003"/>
        <v>268</v>
      </c>
      <c r="CR171" s="72">
        <f t="shared" si="1004"/>
        <v>300</v>
      </c>
      <c r="CS171" s="72" t="str">
        <f t="shared" si="1005"/>
        <v>-</v>
      </c>
      <c r="CT171" s="23" t="e">
        <f t="shared" si="1006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839"/>
        <v>cxcr4_human_4RWS</v>
      </c>
      <c r="B172" s="3" t="s">
        <v>1172</v>
      </c>
      <c r="C172" s="3" t="s">
        <v>1053</v>
      </c>
      <c r="D172" s="3" t="str">
        <f>IFERROR(MID(VLOOKUP($B172,Seqs!$A:$B,2,0),E172,1),"")</f>
        <v>R</v>
      </c>
      <c r="E172" s="3">
        <v>30</v>
      </c>
      <c r="F172" s="3" t="str">
        <f>IFERROR(MID(VLOOKUP($B172,Seqs!$A:$B,2,0),G172,1),"")</f>
        <v>Q</v>
      </c>
      <c r="G172" s="3">
        <v>66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71</v>
      </c>
      <c r="N172" s="3" t="str">
        <f>IFERROR(MID(VLOOKUP($B172,Seqs!$A:$B,2,0),O172,1),"")</f>
        <v>A</v>
      </c>
      <c r="O172" s="3">
        <v>100</v>
      </c>
      <c r="P172" s="3" t="str">
        <f>IFERROR(MID(VLOOKUP($B172,Seqs!$A:$B,2,0),Q172,1),"")</f>
        <v>N</v>
      </c>
      <c r="Q172" s="3">
        <v>101</v>
      </c>
      <c r="R172" s="3" t="str">
        <f>IFERROR(MID(VLOOKUP($B172,Seqs!$A:$B,2,0),S172,1),"")</f>
        <v>F</v>
      </c>
      <c r="S172" s="3">
        <v>104</v>
      </c>
      <c r="T172" s="3" t="str">
        <f>IFERROR(MID(VLOOKUP($B172,Seqs!$A:$B,2,0),U172,1),"")</f>
        <v>G</v>
      </c>
      <c r="U172" s="3">
        <v>105</v>
      </c>
      <c r="V172" s="3" t="str">
        <f>IFERROR(MID(VLOOKUP($B172,Seqs!$A:$B,2,0),W172,1),"")</f>
        <v>H</v>
      </c>
      <c r="W172" s="3">
        <v>140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S</v>
      </c>
      <c r="AC172" s="9">
        <v>144</v>
      </c>
      <c r="AD172" s="3" t="str">
        <f>IFERROR(MID(VLOOKUP($B172,Seqs!$A:$B,2,0),AE172,1),"")</f>
        <v>A</v>
      </c>
      <c r="AE172" s="3">
        <v>175</v>
      </c>
      <c r="AF172" s="3" t="str">
        <f>IFERROR(MID(VLOOKUP($B172,Seqs!$A:$B,2,0),AG172,1),"")</f>
        <v>C</v>
      </c>
      <c r="AG172" s="3">
        <v>186</v>
      </c>
      <c r="AH172" s="3" t="str">
        <f>IFERROR(MID(VLOOKUP($B172,Seqs!$A:$B,2,0),AI172,1),"")</f>
        <v>R</v>
      </c>
      <c r="AI172" s="3">
        <v>188</v>
      </c>
      <c r="AJ172" s="3" t="str">
        <f>IFERROR(MID(VLOOKUP($B172,Seqs!$A:$B,2,0),AK172,1),"")</f>
        <v>D</v>
      </c>
      <c r="AK172" s="3">
        <v>193</v>
      </c>
      <c r="AL172" s="3" t="str">
        <f>IFERROR(MID(VLOOKUP($B172,Seqs!$A:$B,2,0),AM172,1),"")</f>
        <v>S</v>
      </c>
      <c r="AM172" s="3">
        <v>227</v>
      </c>
      <c r="AN172" s="3" t="str">
        <f>IFERROR(MID(VLOOKUP($B172,Seqs!$A:$B,2,0),AO172,1),"")</f>
        <v>K</v>
      </c>
      <c r="AO172" s="3">
        <v>239</v>
      </c>
      <c r="AP172" s="3" t="str">
        <f>IFERROR(MID(VLOOKUP($B172,Seqs!$A:$B,2,0),AQ172,1),"")</f>
        <v>E</v>
      </c>
      <c r="AQ172" s="3">
        <v>268</v>
      </c>
      <c r="AR172" s="3" t="str">
        <f>IFERROR(MID(VLOOKUP($B172,Seqs!$A:$B,2,0),AS172,1),"")</f>
        <v>G</v>
      </c>
      <c r="AS172" s="3">
        <v>273</v>
      </c>
      <c r="AT172" s="3" t="str">
        <f>IFERROR(MID(VLOOKUP($B172,Seqs!$A:$B,2,0),AU172,1),"")</f>
        <v>I</v>
      </c>
      <c r="AU172" s="3">
        <v>300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si="840"/>
        <v>1</v>
      </c>
      <c r="BC172" s="23">
        <f t="shared" si="981"/>
        <v>238</v>
      </c>
      <c r="BD172" s="5" t="s">
        <v>23</v>
      </c>
      <c r="BE172" s="3" t="s">
        <v>1375</v>
      </c>
      <c r="BF172" s="119">
        <v>3.1</v>
      </c>
      <c r="BG172" s="49" t="s">
        <v>1378</v>
      </c>
      <c r="BH172" s="49" t="s">
        <v>1378</v>
      </c>
      <c r="BI172" s="1"/>
      <c r="BJ172" s="70" t="s">
        <v>1288</v>
      </c>
      <c r="BK172" s="57" t="s">
        <v>1288</v>
      </c>
      <c r="BL172" s="57" t="s">
        <v>1288</v>
      </c>
      <c r="BM172" s="57" t="s">
        <v>1288</v>
      </c>
      <c r="BN172" s="57" t="s">
        <v>1288</v>
      </c>
      <c r="BO172" s="57" t="s">
        <v>1288</v>
      </c>
      <c r="BP172" s="57" t="s">
        <v>1288</v>
      </c>
      <c r="BQ172" s="57" t="s">
        <v>1288</v>
      </c>
      <c r="BR172" s="57" t="s">
        <v>1288</v>
      </c>
      <c r="BS172" s="57" t="s">
        <v>1288</v>
      </c>
      <c r="BT172" s="57" t="s">
        <v>1288</v>
      </c>
      <c r="BU172" s="57" t="s">
        <v>1288</v>
      </c>
      <c r="BV172" s="70">
        <f t="shared" si="982"/>
        <v>30</v>
      </c>
      <c r="BW172" s="71" t="str">
        <f t="shared" si="983"/>
        <v>-</v>
      </c>
      <c r="BX172" s="72">
        <f t="shared" si="984"/>
        <v>71</v>
      </c>
      <c r="BY172" s="71">
        <f t="shared" si="985"/>
        <v>101</v>
      </c>
      <c r="BZ172" s="72">
        <f t="shared" si="986"/>
        <v>105</v>
      </c>
      <c r="CA172" s="71" t="str">
        <f t="shared" si="987"/>
        <v>-</v>
      </c>
      <c r="CB172" s="72">
        <f t="shared" si="988"/>
        <v>144</v>
      </c>
      <c r="CC172" s="71">
        <f t="shared" si="989"/>
        <v>186</v>
      </c>
      <c r="CD172" s="72">
        <f t="shared" si="990"/>
        <v>193</v>
      </c>
      <c r="CE172" s="71">
        <f t="shared" si="991"/>
        <v>239</v>
      </c>
      <c r="CF172" s="72">
        <f t="shared" si="992"/>
        <v>273</v>
      </c>
      <c r="CG172" s="71" t="str">
        <f t="shared" si="993"/>
        <v>-</v>
      </c>
      <c r="CH172" s="70">
        <f t="shared" si="994"/>
        <v>66</v>
      </c>
      <c r="CI172" s="71" t="str">
        <f t="shared" si="995"/>
        <v>-</v>
      </c>
      <c r="CJ172" s="72">
        <f t="shared" si="996"/>
        <v>100</v>
      </c>
      <c r="CK172" s="72">
        <f t="shared" si="997"/>
        <v>104</v>
      </c>
      <c r="CL172" s="72">
        <f t="shared" si="998"/>
        <v>140</v>
      </c>
      <c r="CM172" s="72" t="str">
        <f t="shared" si="999"/>
        <v>-</v>
      </c>
      <c r="CN172" s="72">
        <f t="shared" si="1000"/>
        <v>175</v>
      </c>
      <c r="CO172" s="72">
        <f t="shared" si="1001"/>
        <v>188</v>
      </c>
      <c r="CP172" s="72">
        <f t="shared" si="1002"/>
        <v>227</v>
      </c>
      <c r="CQ172" s="72">
        <f t="shared" si="1003"/>
        <v>268</v>
      </c>
      <c r="CR172" s="72">
        <f t="shared" si="1004"/>
        <v>300</v>
      </c>
      <c r="CS172" s="72" t="str">
        <f t="shared" si="1005"/>
        <v>-</v>
      </c>
      <c r="CT172" s="23" t="e">
        <f t="shared" si="1006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>CONCATENATE(B173,"_",C173)</f>
        <v>drd2_human__wt</v>
      </c>
      <c r="B173" s="3" t="s">
        <v>191</v>
      </c>
      <c r="C173" s="3" t="s">
        <v>100</v>
      </c>
      <c r="D173" s="3" t="str">
        <f>IFERROR(MID(VLOOKUP($B173,Seqs!$A:$B,2,0),E173,1),"")</f>
        <v>R</v>
      </c>
      <c r="E173" s="3">
        <v>31</v>
      </c>
      <c r="F173" s="3" t="str">
        <f>IFERROR(MID(VLOOKUP($B173,Seqs!$A:$B,2,0),G173,1),"")</f>
        <v>E</v>
      </c>
      <c r="G173" s="3">
        <v>62</v>
      </c>
      <c r="H173" s="3" t="str">
        <f>IFERROR(MID(VLOOKUP($B173,Seqs!$A:$B,2,0),I173,1),"")</f>
        <v>K</v>
      </c>
      <c r="I173" s="23">
        <v>63</v>
      </c>
      <c r="J173" s="3" t="str">
        <f>IFERROR(MID(VLOOKUP($B173,Seqs!$A:$B,2,0),K173,1),"")</f>
        <v>Q</v>
      </c>
      <c r="K173" s="23">
        <v>66</v>
      </c>
      <c r="L173" s="3" t="str">
        <f>IFERROR(MID(VLOOKUP($B173,Seqs!$A:$B,2,0),M173,1),"")</f>
        <v>T</v>
      </c>
      <c r="M173" s="3">
        <v>67</v>
      </c>
      <c r="N173" s="3" t="str">
        <f>IFERROR(MID(VLOOKUP($B173,Seqs!$A:$B,2,0),O173,1),"")</f>
        <v>G</v>
      </c>
      <c r="O173" s="3">
        <v>98</v>
      </c>
      <c r="P173" s="3" t="str">
        <f>IFERROR(MID(VLOOKUP($B173,Seqs!$A:$B,2,0),Q173,1),"")</f>
        <v>E</v>
      </c>
      <c r="Q173" s="3">
        <v>99</v>
      </c>
      <c r="R173" s="3" t="str">
        <f>IFERROR(MID(VLOOKUP($B173,Seqs!$A:$B,2,0),S173,1),"")</f>
        <v>F</v>
      </c>
      <c r="S173" s="3">
        <v>102</v>
      </c>
      <c r="T173" s="3" t="str">
        <f>IFERROR(MID(VLOOKUP($B173,Seqs!$A:$B,2,0),U173,1),"")</f>
        <v>S</v>
      </c>
      <c r="U173" s="3">
        <v>103</v>
      </c>
      <c r="V173" s="3" t="str">
        <f>IFERROR(MID(VLOOKUP($B173,Seqs!$A:$B,2,0),W173,1),"")</f>
        <v>M</v>
      </c>
      <c r="W173" s="3">
        <v>138</v>
      </c>
      <c r="X173" s="3" t="str">
        <f>IFERROR(MID(VLOOKUP($B173,Seqs!$A:$B,2,0),Y173,1),"")</f>
        <v>P</v>
      </c>
      <c r="Y173" s="3">
        <v>139</v>
      </c>
      <c r="Z173" s="3" t="str">
        <f>IFERROR(MID(VLOOKUP($B173,Seqs!$A:$B,2,0),AA173,1),"")</f>
        <v>S</v>
      </c>
      <c r="AA173" s="3">
        <v>147</v>
      </c>
      <c r="AB173" s="3" t="str">
        <f>IFERROR(MID(VLOOKUP($B173,Seqs!$A:$B,2,0),AC173,1),"")</f>
        <v>S</v>
      </c>
      <c r="AC173" s="3">
        <v>148</v>
      </c>
      <c r="AD173" s="3" t="str">
        <f>IFERROR(MID(VLOOKUP($B173,Seqs!$A:$B,2,0),AE173,1),"")</f>
        <v>F</v>
      </c>
      <c r="AE173" s="3">
        <v>172</v>
      </c>
      <c r="AF173" s="3" t="str">
        <f>IFERROR(MID(VLOOKUP($B173,Seqs!$A:$B,2,0),AG173,1),"")</f>
        <v>C</v>
      </c>
      <c r="AG173" s="3">
        <v>182</v>
      </c>
      <c r="AH173" s="3" t="str">
        <f>IFERROR(MID(VLOOKUP($B173,Seqs!$A:$B,2,0),AI173,1),"")</f>
        <v>I</v>
      </c>
      <c r="AI173" s="3">
        <v>184</v>
      </c>
      <c r="AJ173" s="3" t="str">
        <f>IFERROR(MID(VLOOKUP($B173,Seqs!$A:$B,2,0),AK173,1),"")</f>
        <v>N</v>
      </c>
      <c r="AK173" s="3">
        <v>186</v>
      </c>
      <c r="AL173" s="3" t="str">
        <f>IFERROR(MID(VLOOKUP($B173,Seqs!$A:$B,2,0),AM173,1),"")</f>
        <v>K</v>
      </c>
      <c r="AM173" s="3">
        <v>226</v>
      </c>
      <c r="AN173" s="3" t="str">
        <f>IFERROR(MID(VLOOKUP($B173,Seqs!$A:$B,2,0),AO173,1),"")</f>
        <v>K</v>
      </c>
      <c r="AO173" s="3">
        <v>362</v>
      </c>
      <c r="AP173" s="3" t="str">
        <f>IFERROR(MID(VLOOKUP($B173,Seqs!$A:$B,2,0),AQ173,1),"")</f>
        <v>C</v>
      </c>
      <c r="AQ173" s="3">
        <v>399</v>
      </c>
      <c r="AR173" s="3" t="str">
        <f>IFERROR(MID(VLOOKUP($B173,Seqs!$A:$B,2,0),AS173,1),"")</f>
        <v>P</v>
      </c>
      <c r="AS173" s="3">
        <v>404</v>
      </c>
      <c r="AT173" s="3" t="str">
        <f>IFERROR(MID(VLOOKUP($B173,Seqs!$A:$B,2,0),AU173,1),"")</f>
        <v>F</v>
      </c>
      <c r="AU173" s="3">
        <v>429</v>
      </c>
      <c r="AV173" s="3" t="str">
        <f>IFERROR(MID(VLOOKUP($B173,Seqs!$A:$B,2,0),AW173,1),"")</f>
        <v>N</v>
      </c>
      <c r="AW173" s="3">
        <v>430</v>
      </c>
      <c r="AX173" s="3" t="str">
        <f>IFERROR(MID(VLOOKUP($B173,Seqs!$A:$B,2,0),AY173,1),"")</f>
        <v>H</v>
      </c>
      <c r="AY173" s="3">
        <v>442</v>
      </c>
      <c r="AZ173" s="77" t="str">
        <f>VLOOKUP(B173,Classification!A:D,2,0)</f>
        <v>A</v>
      </c>
      <c r="BA173" s="94" t="str">
        <f>VLOOKUP(B173,Classification!A:D,4,0)</f>
        <v>Dopamine</v>
      </c>
      <c r="BB173" s="27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263</v>
      </c>
      <c r="BD173" s="56" t="s">
        <v>23</v>
      </c>
      <c r="BE173" s="3" t="s">
        <v>23</v>
      </c>
      <c r="BF173" s="119" t="s">
        <v>23</v>
      </c>
      <c r="BG173" s="49" t="s">
        <v>1373</v>
      </c>
      <c r="BH173" s="49" t="s">
        <v>1378</v>
      </c>
      <c r="BI173" s="1"/>
      <c r="BJ173" s="70" t="s">
        <v>1288</v>
      </c>
      <c r="BK173" s="57" t="s">
        <v>1288</v>
      </c>
      <c r="BL173" s="57" t="s">
        <v>1288</v>
      </c>
      <c r="BM173" s="57" t="s">
        <v>1288</v>
      </c>
      <c r="BN173" s="57" t="s">
        <v>1288</v>
      </c>
      <c r="BO173" s="57" t="s">
        <v>1288</v>
      </c>
      <c r="BP173" s="57" t="s">
        <v>1288</v>
      </c>
      <c r="BQ173" s="57" t="s">
        <v>1288</v>
      </c>
      <c r="BR173" s="57" t="s">
        <v>1288</v>
      </c>
      <c r="BS173" s="57" t="s">
        <v>1288</v>
      </c>
      <c r="BT173" s="57" t="s">
        <v>1288</v>
      </c>
      <c r="BU173" s="57" t="s">
        <v>1288</v>
      </c>
      <c r="BV173" s="70">
        <f>E173</f>
        <v>31</v>
      </c>
      <c r="BW173" s="71">
        <f>I173</f>
        <v>63</v>
      </c>
      <c r="BX173" s="72">
        <f>M173</f>
        <v>67</v>
      </c>
      <c r="BY173" s="71">
        <f>Q173</f>
        <v>99</v>
      </c>
      <c r="BZ173" s="72">
        <f>U173</f>
        <v>103</v>
      </c>
      <c r="CA173" s="71">
        <f>Y173</f>
        <v>139</v>
      </c>
      <c r="CB173" s="72">
        <f>AC173</f>
        <v>148</v>
      </c>
      <c r="CC173" s="71">
        <f>AG173</f>
        <v>182</v>
      </c>
      <c r="CD173" s="72">
        <f>AK173</f>
        <v>186</v>
      </c>
      <c r="CE173" s="71">
        <f>AO173</f>
        <v>362</v>
      </c>
      <c r="CF173" s="72">
        <f>AS173</f>
        <v>404</v>
      </c>
      <c r="CG173" s="71">
        <f>AW173</f>
        <v>430</v>
      </c>
      <c r="CH173" s="70">
        <f>G173</f>
        <v>62</v>
      </c>
      <c r="CI173" s="71">
        <f>K173</f>
        <v>66</v>
      </c>
      <c r="CJ173" s="72">
        <f>O173</f>
        <v>98</v>
      </c>
      <c r="CK173" s="72">
        <f>S173</f>
        <v>102</v>
      </c>
      <c r="CL173" s="72">
        <f>W173</f>
        <v>138</v>
      </c>
      <c r="CM173" s="72">
        <f>AA173</f>
        <v>147</v>
      </c>
      <c r="CN173" s="72">
        <f>AE173</f>
        <v>172</v>
      </c>
      <c r="CO173" s="72">
        <f>AI173</f>
        <v>184</v>
      </c>
      <c r="CP173" s="72">
        <f>AM173</f>
        <v>226</v>
      </c>
      <c r="CQ173" s="72">
        <f>AQ173</f>
        <v>399</v>
      </c>
      <c r="CR173" s="72">
        <f>AU173</f>
        <v>429</v>
      </c>
      <c r="CS173" s="72">
        <f>AY173</f>
        <v>442</v>
      </c>
      <c r="CT173" s="23">
        <f>M173-K173</f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>CONCATENATE(B174,"_",C174)</f>
        <v>drd2_human_6CM4</v>
      </c>
      <c r="B174" s="3" t="s">
        <v>191</v>
      </c>
      <c r="C174" s="3" t="s">
        <v>1477</v>
      </c>
      <c r="D174" s="3" t="str">
        <f>IFERROR(MID(VLOOKUP($B174,Seqs!$A:$B,2,0),E174,1),"")</f>
        <v>N</v>
      </c>
      <c r="E174" s="3">
        <v>35</v>
      </c>
      <c r="F174" s="3" t="str">
        <f>IFERROR(MID(VLOOKUP($B174,Seqs!$A:$B,2,0),G174,1),"")</f>
        <v>E</v>
      </c>
      <c r="G174" s="3">
        <v>62</v>
      </c>
      <c r="H174" s="3" t="str">
        <f>IFERROR(MID(VLOOKUP($B174,Seqs!$A:$B,2,0),I174,1),"")</f>
        <v>K</v>
      </c>
      <c r="I174" s="23">
        <v>63</v>
      </c>
      <c r="J174" s="3" t="str">
        <f>IFERROR(MID(VLOOKUP($B174,Seqs!$A:$B,2,0),K174,1),"")</f>
        <v>Q</v>
      </c>
      <c r="K174" s="23">
        <v>66</v>
      </c>
      <c r="L174" s="3" t="str">
        <f>IFERROR(MID(VLOOKUP($B174,Seqs!$A:$B,2,0),M174,1),"")</f>
        <v>T</v>
      </c>
      <c r="M174" s="3">
        <v>67</v>
      </c>
      <c r="N174" s="3" t="str">
        <f>IFERROR(MID(VLOOKUP($B174,Seqs!$A:$B,2,0),O174,1),"")</f>
        <v>G</v>
      </c>
      <c r="O174" s="3">
        <v>98</v>
      </c>
      <c r="P174" s="3" t="str">
        <f>IFERROR(MID(VLOOKUP($B174,Seqs!$A:$B,2,0),Q174,1),"")</f>
        <v>E</v>
      </c>
      <c r="Q174" s="3">
        <v>99</v>
      </c>
      <c r="R174" s="3" t="str">
        <f>IFERROR(MID(VLOOKUP($B174,Seqs!$A:$B,2,0),S174,1),"")</f>
        <v>F</v>
      </c>
      <c r="S174" s="3">
        <v>102</v>
      </c>
      <c r="T174" s="3" t="str">
        <f>IFERROR(MID(VLOOKUP($B174,Seqs!$A:$B,2,0),U174,1),"")</f>
        <v>S</v>
      </c>
      <c r="U174" s="3">
        <v>103</v>
      </c>
      <c r="V174" s="3" t="str">
        <f>IFERROR(MID(VLOOKUP($B174,Seqs!$A:$B,2,0),W174,1),"")</f>
        <v>M</v>
      </c>
      <c r="W174" s="3">
        <v>138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Y</v>
      </c>
      <c r="AC174" s="3">
        <v>146</v>
      </c>
      <c r="AD174" s="3" t="str">
        <f>IFERROR(MID(VLOOKUP($B174,Seqs!$A:$B,2,0),AE174,1),"")</f>
        <v>F</v>
      </c>
      <c r="AE174" s="3">
        <v>172</v>
      </c>
      <c r="AF174" s="3" t="str">
        <f>IFERROR(MID(VLOOKUP($B174,Seqs!$A:$B,2,0),AG174,1),"")</f>
        <v>C</v>
      </c>
      <c r="AG174" s="3">
        <v>182</v>
      </c>
      <c r="AH174" s="3" t="str">
        <f>IFERROR(MID(VLOOKUP($B174,Seqs!$A:$B,2,0),AI174,1),"")</f>
        <v>I</v>
      </c>
      <c r="AI174" s="3">
        <v>184</v>
      </c>
      <c r="AJ174" s="3" t="str">
        <f>IFERROR(MID(VLOOKUP($B174,Seqs!$A:$B,2,0),AK174,1),"")</f>
        <v>A</v>
      </c>
      <c r="AK174" s="3">
        <v>188</v>
      </c>
      <c r="AL174" s="3" t="str">
        <f>IFERROR(MID(VLOOKUP($B174,Seqs!$A:$B,2,0),AM174,1),"")</f>
        <v>R</v>
      </c>
      <c r="AM174" s="3">
        <v>222</v>
      </c>
      <c r="AN174" s="3" t="str">
        <f>IFERROR(MID(VLOOKUP($B174,Seqs!$A:$B,2,0),AO174,1),"")</f>
        <v>E</v>
      </c>
      <c r="AO174" s="3">
        <v>368</v>
      </c>
      <c r="AP174" s="3" t="str">
        <f>IFERROR(MID(VLOOKUP($B174,Seqs!$A:$B,2,0),AQ174,1),"")</f>
        <v>C</v>
      </c>
      <c r="AQ174" s="3">
        <v>399</v>
      </c>
      <c r="AR174" s="3" t="str">
        <f>IFERROR(MID(VLOOKUP($B174,Seqs!$A:$B,2,0),AS174,1),"")</f>
        <v>P</v>
      </c>
      <c r="AS174" s="3">
        <v>404</v>
      </c>
      <c r="AT174" s="3" t="str">
        <f>IFERROR(MID(VLOOKUP($B174,Seqs!$A:$B,2,0),AU174,1),"")</f>
        <v>F</v>
      </c>
      <c r="AU174" s="3">
        <v>429</v>
      </c>
      <c r="AV174" s="3" t="str">
        <f>IFERROR(MID(VLOOKUP($B174,Seqs!$A:$B,2,0),AW174,1),"")</f>
        <v>N</v>
      </c>
      <c r="AW174" s="3">
        <v>430</v>
      </c>
      <c r="AX174" s="3" t="str">
        <f>IFERROR(MID(VLOOKUP($B174,Seqs!$A:$B,2,0),AY174,1),"")</f>
        <v>H</v>
      </c>
      <c r="AY174" s="3">
        <v>442</v>
      </c>
      <c r="AZ174" s="77" t="str">
        <f>VLOOKUP(B174,Classification!A:D,2,0)</f>
        <v>A</v>
      </c>
      <c r="BA174" s="94" t="str">
        <f>VLOOKUP(B174,Classification!A:D,4,0)</f>
        <v>Dopamine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241</v>
      </c>
      <c r="BD174" s="56" t="s">
        <v>1377</v>
      </c>
      <c r="BE174" s="3" t="s">
        <v>1375</v>
      </c>
      <c r="BF174" s="119">
        <v>2.87</v>
      </c>
      <c r="BG174" s="49" t="s">
        <v>1</v>
      </c>
      <c r="BH174" s="49" t="s">
        <v>1</v>
      </c>
      <c r="BI174" s="1"/>
      <c r="BJ174" s="70" t="s">
        <v>1288</v>
      </c>
      <c r="BK174" s="57" t="s">
        <v>1288</v>
      </c>
      <c r="BL174" s="57" t="s">
        <v>1288</v>
      </c>
      <c r="BM174" s="57" t="s">
        <v>1288</v>
      </c>
      <c r="BN174" s="57" t="s">
        <v>1288</v>
      </c>
      <c r="BO174" s="57" t="s">
        <v>1288</v>
      </c>
      <c r="BP174" s="57" t="s">
        <v>1288</v>
      </c>
      <c r="BQ174" s="57" t="s">
        <v>1288</v>
      </c>
      <c r="BR174" s="57" t="s">
        <v>1288</v>
      </c>
      <c r="BS174" s="57" t="s">
        <v>1288</v>
      </c>
      <c r="BT174" s="57" t="s">
        <v>1288</v>
      </c>
      <c r="BU174" s="57" t="s">
        <v>1288</v>
      </c>
      <c r="BV174" s="70">
        <f>E174</f>
        <v>35</v>
      </c>
      <c r="BW174" s="71">
        <f>I174</f>
        <v>63</v>
      </c>
      <c r="BX174" s="72">
        <f>M174</f>
        <v>67</v>
      </c>
      <c r="BY174" s="71">
        <f>Q174</f>
        <v>99</v>
      </c>
      <c r="BZ174" s="72">
        <f>U174</f>
        <v>103</v>
      </c>
      <c r="CA174" s="71" t="str">
        <f>Y174</f>
        <v>-</v>
      </c>
      <c r="CB174" s="72">
        <f>AC174</f>
        <v>146</v>
      </c>
      <c r="CC174" s="71">
        <f>AG174</f>
        <v>182</v>
      </c>
      <c r="CD174" s="72">
        <f>AK174</f>
        <v>188</v>
      </c>
      <c r="CE174" s="71">
        <f>AO174</f>
        <v>368</v>
      </c>
      <c r="CF174" s="72">
        <f>AS174</f>
        <v>404</v>
      </c>
      <c r="CG174" s="71">
        <f>AW174</f>
        <v>430</v>
      </c>
      <c r="CH174" s="70">
        <f>G174</f>
        <v>62</v>
      </c>
      <c r="CI174" s="71">
        <f>K174</f>
        <v>66</v>
      </c>
      <c r="CJ174" s="72">
        <f>O174</f>
        <v>98</v>
      </c>
      <c r="CK174" s="72">
        <f>S174</f>
        <v>102</v>
      </c>
      <c r="CL174" s="72">
        <f>W174</f>
        <v>138</v>
      </c>
      <c r="CM174" s="72" t="str">
        <f>AA174</f>
        <v>-</v>
      </c>
      <c r="CN174" s="72">
        <f>AE174</f>
        <v>172</v>
      </c>
      <c r="CO174" s="72">
        <f>AI174</f>
        <v>184</v>
      </c>
      <c r="CP174" s="72">
        <f>AM174</f>
        <v>222</v>
      </c>
      <c r="CQ174" s="72">
        <f>AQ174</f>
        <v>399</v>
      </c>
      <c r="CR174" s="72">
        <f>AU174</f>
        <v>429</v>
      </c>
      <c r="CS174" s="72">
        <f>AY174</f>
        <v>442</v>
      </c>
      <c r="CT174" s="23">
        <f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839"/>
        <v>drd3_human__wt</v>
      </c>
      <c r="B175" s="3" t="s">
        <v>192</v>
      </c>
      <c r="C175" s="3" t="s">
        <v>100</v>
      </c>
      <c r="D175" s="3" t="str">
        <f>IFERROR(MID(VLOOKUP($B175,Seqs!$A:$B,2,0),E175,1),"")</f>
        <v>A</v>
      </c>
      <c r="E175" s="3">
        <v>26</v>
      </c>
      <c r="F175" s="3" t="str">
        <f>IFERROR(MID(VLOOKUP($B175,Seqs!$A:$B,2,0),G175,1),"")</f>
        <v>E</v>
      </c>
      <c r="G175" s="3">
        <v>57</v>
      </c>
      <c r="H175" s="3" t="str">
        <f>IFERROR(MID(VLOOKUP($B175,Seqs!$A:$B,2,0),I175,1),"")</f>
        <v>R</v>
      </c>
      <c r="I175" s="23">
        <v>58</v>
      </c>
      <c r="J175" s="3" t="str">
        <f>IFERROR(MID(VLOOKUP($B175,Seqs!$A:$B,2,0),K175,1),"")</f>
        <v>Q</v>
      </c>
      <c r="K175" s="23">
        <v>61</v>
      </c>
      <c r="L175" s="3" t="str">
        <f>IFERROR(MID(VLOOKUP($B175,Seqs!$A:$B,2,0),M175,1),"")</f>
        <v>T</v>
      </c>
      <c r="M175" s="3">
        <v>62</v>
      </c>
      <c r="N175" s="3" t="str">
        <f>IFERROR(MID(VLOOKUP($B175,Seqs!$A:$B,2,0),O175,1),"")</f>
        <v>T</v>
      </c>
      <c r="O175" s="3">
        <v>92</v>
      </c>
      <c r="P175" s="3" t="str">
        <f>IFERROR(MID(VLOOKUP($B175,Seqs!$A:$B,2,0),Q175,1),"")</f>
        <v>V</v>
      </c>
      <c r="Q175" s="3">
        <v>95</v>
      </c>
      <c r="R175" s="3" t="str">
        <f>IFERROR(MID(VLOOKUP($B175,Seqs!$A:$B,2,0),S175,1),"")</f>
        <v>F</v>
      </c>
      <c r="S175" s="3">
        <v>98</v>
      </c>
      <c r="T175" s="3" t="str">
        <f>IFERROR(MID(VLOOKUP($B175,Seqs!$A:$B,2,0),U175,1),"")</f>
        <v>S</v>
      </c>
      <c r="U175" s="3">
        <v>99</v>
      </c>
      <c r="V175" s="3" t="str">
        <f>IFERROR(MID(VLOOKUP($B175,Seqs!$A:$B,2,0),W175,1),"")</f>
        <v>M</v>
      </c>
      <c r="W175" s="3">
        <v>134</v>
      </c>
      <c r="X175" s="3" t="str">
        <f>IFERROR(MID(VLOOKUP($B175,Seqs!$A:$B,2,0),Y175,1),"")</f>
        <v>P</v>
      </c>
      <c r="Y175" s="3">
        <v>135</v>
      </c>
      <c r="Z175" s="3" t="str">
        <f>IFERROR(MID(VLOOKUP($B175,Seqs!$A:$B,2,0),AA175,1),"")</f>
        <v>G</v>
      </c>
      <c r="AA175" s="3">
        <v>143</v>
      </c>
      <c r="AB175" s="3" t="str">
        <f>IFERROR(MID(VLOOKUP($B175,Seqs!$A:$B,2,0),AC175,1),"")</f>
        <v>S</v>
      </c>
      <c r="AC175" s="3">
        <v>146</v>
      </c>
      <c r="AD175" s="3" t="str">
        <f>IFERROR(MID(VLOOKUP($B175,Seqs!$A:$B,2,0),AE175,1),"")</f>
        <v>G</v>
      </c>
      <c r="AE175" s="3">
        <v>171</v>
      </c>
      <c r="AF175" s="3" t="str">
        <f>IFERROR(MID(VLOOKUP($B175,Seqs!$A:$B,2,0),AG175,1),"")</f>
        <v>C</v>
      </c>
      <c r="AG175" s="3">
        <v>181</v>
      </c>
      <c r="AH175" s="3" t="str">
        <f>IFERROR(MID(VLOOKUP($B175,Seqs!$A:$B,2,0),AI175,1),"")</f>
        <v>I</v>
      </c>
      <c r="AI175" s="3">
        <v>183</v>
      </c>
      <c r="AJ175" s="3" t="str">
        <f>IFERROR(MID(VLOOKUP($B175,Seqs!$A:$B,2,0),AK175,1),"")</f>
        <v>N</v>
      </c>
      <c r="AK175" s="3">
        <v>185</v>
      </c>
      <c r="AL175" s="3" t="str">
        <f>IFERROR(MID(VLOOKUP($B175,Seqs!$A:$B,2,0),AM175,1),"")</f>
        <v>R</v>
      </c>
      <c r="AM175" s="3">
        <v>226</v>
      </c>
      <c r="AN175" s="3" t="str">
        <f>IFERROR(MID(VLOOKUP($B175,Seqs!$A:$B,2,0),AO175,1),"")</f>
        <v>R</v>
      </c>
      <c r="AO175" s="3">
        <v>318</v>
      </c>
      <c r="AP175" s="3" t="str">
        <f>IFERROR(MID(VLOOKUP($B175,Seqs!$A:$B,2,0),AQ175,1),"")</f>
        <v>H</v>
      </c>
      <c r="AQ175" s="3">
        <v>354</v>
      </c>
      <c r="AR175" s="3" t="str">
        <f>IFERROR(MID(VLOOKUP($B175,Seqs!$A:$B,2,0),AS175,1),"")</f>
        <v>S</v>
      </c>
      <c r="AS175" s="3">
        <v>361</v>
      </c>
      <c r="AT175" s="3" t="str">
        <f>IFERROR(MID(VLOOKUP($B175,Seqs!$A:$B,2,0),AU175,1),"")</f>
        <v>F</v>
      </c>
      <c r="AU175" s="3">
        <v>386</v>
      </c>
      <c r="AV175" s="3" t="str">
        <f>IFERROR(MID(VLOOKUP($B175,Seqs!$A:$B,2,0),AW175,1),"")</f>
        <v>N</v>
      </c>
      <c r="AW175" s="3">
        <v>387</v>
      </c>
      <c r="AX175" s="3" t="str">
        <f>IFERROR(MID(VLOOKUP($B175,Seqs!$A:$B,2,0),AY175,1),"")</f>
        <v>S</v>
      </c>
      <c r="AY175" s="3">
        <v>399</v>
      </c>
      <c r="AZ175" s="77" t="str">
        <f>VLOOKUP(B175,Classification!A:D,2,0)</f>
        <v>A</v>
      </c>
      <c r="BA175" s="94" t="str">
        <f>VLOOKUP(B175,Classification!A:D,4,0)</f>
        <v>Dopamine</v>
      </c>
      <c r="BB175" s="27" t="b">
        <f t="shared" si="840"/>
        <v>1</v>
      </c>
      <c r="BC175" s="23">
        <f t="shared" si="981"/>
        <v>263</v>
      </c>
      <c r="BD175" s="56" t="s">
        <v>23</v>
      </c>
      <c r="BE175" s="3" t="s">
        <v>23</v>
      </c>
      <c r="BF175" s="119" t="s">
        <v>23</v>
      </c>
      <c r="BG175" s="49" t="s">
        <v>1373</v>
      </c>
      <c r="BH175" s="49" t="s">
        <v>1378</v>
      </c>
      <c r="BI175" s="1"/>
      <c r="BJ175" s="70" t="s">
        <v>1288</v>
      </c>
      <c r="BK175" s="57" t="s">
        <v>1288</v>
      </c>
      <c r="BL175" s="57" t="s">
        <v>1288</v>
      </c>
      <c r="BM175" s="57" t="s">
        <v>1288</v>
      </c>
      <c r="BN175" s="57" t="s">
        <v>1288</v>
      </c>
      <c r="BO175" s="57" t="s">
        <v>1288</v>
      </c>
      <c r="BP175" s="57" t="s">
        <v>1288</v>
      </c>
      <c r="BQ175" s="57" t="s">
        <v>1288</v>
      </c>
      <c r="BR175" s="57" t="s">
        <v>1288</v>
      </c>
      <c r="BS175" s="57" t="s">
        <v>1288</v>
      </c>
      <c r="BT175" s="57" t="s">
        <v>1288</v>
      </c>
      <c r="BU175" s="57" t="s">
        <v>1288</v>
      </c>
      <c r="BV175" s="70">
        <f t="shared" si="982"/>
        <v>26</v>
      </c>
      <c r="BW175" s="71">
        <f t="shared" si="983"/>
        <v>58</v>
      </c>
      <c r="BX175" s="72">
        <f t="shared" si="984"/>
        <v>62</v>
      </c>
      <c r="BY175" s="71">
        <f t="shared" si="985"/>
        <v>95</v>
      </c>
      <c r="BZ175" s="72">
        <f t="shared" si="986"/>
        <v>99</v>
      </c>
      <c r="CA175" s="71">
        <f t="shared" si="987"/>
        <v>135</v>
      </c>
      <c r="CB175" s="72">
        <f t="shared" si="988"/>
        <v>146</v>
      </c>
      <c r="CC175" s="71">
        <f t="shared" si="989"/>
        <v>181</v>
      </c>
      <c r="CD175" s="72">
        <f t="shared" si="990"/>
        <v>185</v>
      </c>
      <c r="CE175" s="71">
        <f t="shared" si="991"/>
        <v>318</v>
      </c>
      <c r="CF175" s="72">
        <f t="shared" si="992"/>
        <v>361</v>
      </c>
      <c r="CG175" s="71">
        <f t="shared" si="993"/>
        <v>387</v>
      </c>
      <c r="CH175" s="70">
        <f t="shared" si="994"/>
        <v>57</v>
      </c>
      <c r="CI175" s="71">
        <f t="shared" si="995"/>
        <v>61</v>
      </c>
      <c r="CJ175" s="72">
        <f t="shared" si="996"/>
        <v>92</v>
      </c>
      <c r="CK175" s="72">
        <f t="shared" si="997"/>
        <v>98</v>
      </c>
      <c r="CL175" s="72">
        <f t="shared" si="998"/>
        <v>134</v>
      </c>
      <c r="CM175" s="72">
        <f t="shared" si="999"/>
        <v>143</v>
      </c>
      <c r="CN175" s="72">
        <f t="shared" si="1000"/>
        <v>171</v>
      </c>
      <c r="CO175" s="72">
        <f t="shared" si="1001"/>
        <v>183</v>
      </c>
      <c r="CP175" s="72">
        <f t="shared" si="1002"/>
        <v>226</v>
      </c>
      <c r="CQ175" s="72">
        <f t="shared" si="1003"/>
        <v>354</v>
      </c>
      <c r="CR175" s="72">
        <f t="shared" si="1004"/>
        <v>386</v>
      </c>
      <c r="CS175" s="72">
        <f t="shared" si="1005"/>
        <v>399</v>
      </c>
      <c r="CT175" s="23">
        <f t="shared" si="1006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839"/>
        <v>drd3_human_3PBL</v>
      </c>
      <c r="B176" s="3" t="s">
        <v>192</v>
      </c>
      <c r="C176" s="3" t="s">
        <v>72</v>
      </c>
      <c r="D176" s="3" t="str">
        <f>IFERROR(MID(VLOOKUP($B176,Seqs!$A:$B,2,0),E176,1),"")</f>
        <v>Y</v>
      </c>
      <c r="E176" s="3">
        <v>32</v>
      </c>
      <c r="F176" s="3" t="str">
        <f>IFERROR(MID(VLOOKUP($B176,Seqs!$A:$B,2,0),G176,1),"")</f>
        <v>E</v>
      </c>
      <c r="G176" s="3">
        <v>57</v>
      </c>
      <c r="H176" s="3" t="str">
        <f>IFERROR(MID(VLOOKUP($B176,Seqs!$A:$B,2,0),I176,1),"")</f>
        <v>R</v>
      </c>
      <c r="I176" s="23">
        <v>58</v>
      </c>
      <c r="J176" s="3" t="str">
        <f>IFERROR(MID(VLOOKUP($B176,Seqs!$A:$B,2,0),K176,1),"")</f>
        <v>Q</v>
      </c>
      <c r="K176" s="23">
        <v>61</v>
      </c>
      <c r="L176" s="3" t="str">
        <f>IFERROR(MID(VLOOKUP($B176,Seqs!$A:$B,2,0),M176,1),"")</f>
        <v>T</v>
      </c>
      <c r="M176" s="3">
        <v>62</v>
      </c>
      <c r="N176" s="3" t="str">
        <f>IFERROR(MID(VLOOKUP($B176,Seqs!$A:$B,2,0),O176,1),"")</f>
        <v>T</v>
      </c>
      <c r="O176" s="3">
        <v>92</v>
      </c>
      <c r="P176" s="3" t="str">
        <f>IFERROR(MID(VLOOKUP($B176,Seqs!$A:$B,2,0),Q176,1),"")</f>
        <v>V</v>
      </c>
      <c r="Q176" s="3">
        <v>95</v>
      </c>
      <c r="R176" s="3" t="str">
        <f>IFERROR(MID(VLOOKUP($B176,Seqs!$A:$B,2,0),S176,1),"")</f>
        <v>F</v>
      </c>
      <c r="S176" s="3">
        <v>98</v>
      </c>
      <c r="T176" s="3" t="str">
        <f>IFERROR(MID(VLOOKUP($B176,Seqs!$A:$B,2,0),U176,1),"")</f>
        <v>S</v>
      </c>
      <c r="U176" s="3">
        <v>99</v>
      </c>
      <c r="V176" s="3" t="str">
        <f>IFERROR(MID(VLOOKUP($B176,Seqs!$A:$B,2,0),W176,1),"")</f>
        <v>M</v>
      </c>
      <c r="W176" s="3">
        <v>134</v>
      </c>
      <c r="X176" s="3" t="str">
        <f>IFERROR(MID(VLOOKUP($B176,Seqs!$A:$B,2,0),Y176,1),"")</f>
        <v>P</v>
      </c>
      <c r="Y176" s="3">
        <v>135</v>
      </c>
      <c r="Z176" s="3" t="str">
        <f>IFERROR(MID(VLOOKUP($B176,Seqs!$A:$B,2,0),AA176,1),"")</f>
        <v>G</v>
      </c>
      <c r="AA176" s="3">
        <v>143</v>
      </c>
      <c r="AB176" s="3" t="str">
        <f>IFERROR(MID(VLOOKUP($B176,Seqs!$A:$B,2,0),AC176,1),"")</f>
        <v>S</v>
      </c>
      <c r="AC176" s="3">
        <v>146</v>
      </c>
      <c r="AD176" s="3" t="str">
        <f>IFERROR(MID(VLOOKUP($B176,Seqs!$A:$B,2,0),AE176,1),"")</f>
        <v>G</v>
      </c>
      <c r="AE176" s="3">
        <v>171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I</v>
      </c>
      <c r="AI176" s="3">
        <v>183</v>
      </c>
      <c r="AJ176" s="3" t="str">
        <f>IFERROR(MID(VLOOKUP($B176,Seqs!$A:$B,2,0),AK176,1),"")</f>
        <v>N</v>
      </c>
      <c r="AK176" s="3">
        <v>185</v>
      </c>
      <c r="AL176" s="3" t="str">
        <f>IFERROR(MID(VLOOKUP($B176,Seqs!$A:$B,2,0),AM176,1),"")</f>
        <v>K</v>
      </c>
      <c r="AM176" s="3">
        <v>216</v>
      </c>
      <c r="AN176" s="3" t="str">
        <f>IFERROR(MID(VLOOKUP($B176,Seqs!$A:$B,2,0),AO176,1),"")</f>
        <v>R</v>
      </c>
      <c r="AO176" s="3">
        <v>323</v>
      </c>
      <c r="AP176" s="3" t="str">
        <f>IFERROR(MID(VLOOKUP($B176,Seqs!$A:$B,2,0),AQ176,1),"")</f>
        <v>H</v>
      </c>
      <c r="AQ176" s="3">
        <v>354</v>
      </c>
      <c r="AR176" s="3" t="str">
        <f>IFERROR(MID(VLOOKUP($B176,Seqs!$A:$B,2,0),AS176,1),"")</f>
        <v>S</v>
      </c>
      <c r="AS176" s="3">
        <v>361</v>
      </c>
      <c r="AT176" s="3" t="str">
        <f>IFERROR(MID(VLOOKUP($B176,Seqs!$A:$B,2,0),AU176,1),"")</f>
        <v>F</v>
      </c>
      <c r="AU176" s="3">
        <v>386</v>
      </c>
      <c r="AV176" s="3" t="str">
        <f>IFERROR(MID(VLOOKUP($B176,Seqs!$A:$B,2,0),AW176,1),"")</f>
        <v>N</v>
      </c>
      <c r="AW176" s="3">
        <v>387</v>
      </c>
      <c r="AX176" s="3" t="str">
        <f>IFERROR(MID(VLOOKUP($B176,Seqs!$A:$B,2,0),AY176,1),"")</f>
        <v>S</v>
      </c>
      <c r="AY176" s="3">
        <v>399</v>
      </c>
      <c r="AZ176" s="77" t="str">
        <f>VLOOKUP(B176,Classification!A:D,2,0)</f>
        <v>A</v>
      </c>
      <c r="BA176" s="94" t="str">
        <f>VLOOKUP(B176,Classification!A:D,4,0)</f>
        <v>Dopamine</v>
      </c>
      <c r="BB176" s="27" t="b">
        <f t="shared" si="840"/>
        <v>1</v>
      </c>
      <c r="BC176" s="23">
        <f t="shared" si="981"/>
        <v>242</v>
      </c>
      <c r="BD176" s="2" t="s">
        <v>1377</v>
      </c>
      <c r="BE176" s="3" t="s">
        <v>1375</v>
      </c>
      <c r="BF176" s="119">
        <v>2.89</v>
      </c>
      <c r="BG176" s="49" t="s">
        <v>1378</v>
      </c>
      <c r="BH176" s="49" t="s">
        <v>1378</v>
      </c>
      <c r="BI176" s="1"/>
      <c r="BJ176" s="70" t="s">
        <v>1288</v>
      </c>
      <c r="BK176" s="57" t="s">
        <v>1288</v>
      </c>
      <c r="BL176" s="57" t="s">
        <v>1288</v>
      </c>
      <c r="BM176" s="57" t="s">
        <v>1288</v>
      </c>
      <c r="BN176" s="57" t="s">
        <v>1288</v>
      </c>
      <c r="BO176" s="57" t="s">
        <v>1288</v>
      </c>
      <c r="BP176" s="57" t="s">
        <v>1288</v>
      </c>
      <c r="BQ176" s="57" t="s">
        <v>1288</v>
      </c>
      <c r="BR176" s="57" t="s">
        <v>1288</v>
      </c>
      <c r="BS176" s="57" t="s">
        <v>1288</v>
      </c>
      <c r="BT176" s="57" t="s">
        <v>1288</v>
      </c>
      <c r="BU176" s="57" t="s">
        <v>1288</v>
      </c>
      <c r="BV176" s="70">
        <f t="shared" si="982"/>
        <v>32</v>
      </c>
      <c r="BW176" s="71">
        <f t="shared" si="983"/>
        <v>58</v>
      </c>
      <c r="BX176" s="72">
        <f t="shared" si="984"/>
        <v>62</v>
      </c>
      <c r="BY176" s="71">
        <f t="shared" si="985"/>
        <v>95</v>
      </c>
      <c r="BZ176" s="72">
        <f t="shared" si="986"/>
        <v>99</v>
      </c>
      <c r="CA176" s="71">
        <f t="shared" si="987"/>
        <v>135</v>
      </c>
      <c r="CB176" s="72">
        <f t="shared" si="988"/>
        <v>146</v>
      </c>
      <c r="CC176" s="71">
        <f t="shared" si="989"/>
        <v>181</v>
      </c>
      <c r="CD176" s="72">
        <f t="shared" si="990"/>
        <v>185</v>
      </c>
      <c r="CE176" s="71">
        <f t="shared" si="991"/>
        <v>323</v>
      </c>
      <c r="CF176" s="72">
        <f t="shared" si="992"/>
        <v>361</v>
      </c>
      <c r="CG176" s="71">
        <f t="shared" si="993"/>
        <v>387</v>
      </c>
      <c r="CH176" s="70">
        <f t="shared" si="994"/>
        <v>57</v>
      </c>
      <c r="CI176" s="71">
        <f t="shared" si="995"/>
        <v>61</v>
      </c>
      <c r="CJ176" s="72">
        <f t="shared" si="996"/>
        <v>92</v>
      </c>
      <c r="CK176" s="72">
        <f t="shared" si="997"/>
        <v>98</v>
      </c>
      <c r="CL176" s="72">
        <f t="shared" si="998"/>
        <v>134</v>
      </c>
      <c r="CM176" s="72">
        <f t="shared" si="999"/>
        <v>143</v>
      </c>
      <c r="CN176" s="72">
        <f t="shared" si="1000"/>
        <v>171</v>
      </c>
      <c r="CO176" s="72">
        <f t="shared" si="1001"/>
        <v>183</v>
      </c>
      <c r="CP176" s="72">
        <f t="shared" si="1002"/>
        <v>216</v>
      </c>
      <c r="CQ176" s="72">
        <f t="shared" si="1003"/>
        <v>354</v>
      </c>
      <c r="CR176" s="72">
        <f t="shared" si="1004"/>
        <v>386</v>
      </c>
      <c r="CS176" s="72">
        <f t="shared" si="1005"/>
        <v>399</v>
      </c>
      <c r="CT176" s="23">
        <f t="shared" si="1006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drd4_human__wt</v>
      </c>
      <c r="B177" s="3" t="s">
        <v>193</v>
      </c>
      <c r="C177" s="3" t="s">
        <v>100</v>
      </c>
      <c r="D177" s="3" t="str">
        <f>IFERROR(MID(VLOOKUP($B177,Seqs!$A:$B,2,0),E177,1),"")</f>
        <v>A</v>
      </c>
      <c r="E177" s="3">
        <v>31</v>
      </c>
      <c r="F177" s="3" t="str">
        <f>IFERROR(MID(VLOOKUP($B177,Seqs!$A:$B,2,0),G177,1),"")</f>
        <v>E</v>
      </c>
      <c r="G177" s="3">
        <v>62</v>
      </c>
      <c r="H177" s="3" t="str">
        <f>IFERROR(MID(VLOOKUP($B177,Seqs!$A:$B,2,0),I177,1),"")</f>
        <v>R</v>
      </c>
      <c r="I177" s="23">
        <v>63</v>
      </c>
      <c r="J177" s="3" t="str">
        <f>IFERROR(MID(VLOOKUP($B177,Seqs!$A:$B,2,0),K177,1),"")</f>
        <v>Q</v>
      </c>
      <c r="K177" s="23">
        <v>66</v>
      </c>
      <c r="L177" s="3" t="str">
        <f>IFERROR(MID(VLOOKUP($B177,Seqs!$A:$B,2,0),M177,1),"")</f>
        <v>T</v>
      </c>
      <c r="M177" s="3">
        <v>67</v>
      </c>
      <c r="N177" s="3" t="str">
        <f>IFERROR(MID(VLOOKUP($B177,Seqs!$A:$B,2,0),O177,1),"")</f>
        <v>Q</v>
      </c>
      <c r="O177" s="3">
        <v>97</v>
      </c>
      <c r="P177" s="3" t="str">
        <f>IFERROR(MID(VLOOKUP($B177,Seqs!$A:$B,2,0),Q177,1),"")</f>
        <v>A</v>
      </c>
      <c r="Q177" s="3">
        <v>100</v>
      </c>
      <c r="R177" s="3" t="str">
        <f>IFERROR(MID(VLOOKUP($B177,Seqs!$A:$B,2,0),S177,1),"")</f>
        <v>L</v>
      </c>
      <c r="S177" s="3">
        <v>103</v>
      </c>
      <c r="T177" s="3" t="str">
        <f>IFERROR(MID(VLOOKUP($B177,Seqs!$A:$B,2,0),U177,1),"")</f>
        <v>S</v>
      </c>
      <c r="U177" s="3">
        <v>104</v>
      </c>
      <c r="V177" s="3" t="str">
        <f>IFERROR(MID(VLOOKUP($B177,Seqs!$A:$B,2,0),W177,1),"")</f>
        <v>V</v>
      </c>
      <c r="W177" s="3">
        <v>139</v>
      </c>
      <c r="X177" s="3" t="str">
        <f>IFERROR(MID(VLOOKUP($B177,Seqs!$A:$B,2,0),Y177,1),"")</f>
        <v>P</v>
      </c>
      <c r="Y177" s="3">
        <v>140</v>
      </c>
      <c r="Z177" s="3" t="str">
        <f>IFERROR(MID(VLOOKUP($B177,Seqs!$A:$B,2,0),AA177,1),"")</f>
        <v>G</v>
      </c>
      <c r="AA177" s="3">
        <v>147</v>
      </c>
      <c r="AB177" s="3" t="str">
        <f>IFERROR(MID(VLOOKUP($B177,Seqs!$A:$B,2,0),AC177,1),"")</f>
        <v>G</v>
      </c>
      <c r="AC177" s="3">
        <v>148</v>
      </c>
      <c r="AD177" s="3" t="str">
        <f>IFERROR(MID(VLOOKUP($B177,Seqs!$A:$B,2,0),AE177,1),"")</f>
        <v>G</v>
      </c>
      <c r="AE177" s="3">
        <v>173</v>
      </c>
      <c r="AF177" s="3" t="str">
        <f>IFERROR(MID(VLOOKUP($B177,Seqs!$A:$B,2,0),AG177,1),"")</f>
        <v>C</v>
      </c>
      <c r="AG177" s="3">
        <v>185</v>
      </c>
      <c r="AH177" s="3" t="str">
        <f>IFERROR(MID(VLOOKUP($B177,Seqs!$A:$B,2,0),AI177,1),"")</f>
        <v>L</v>
      </c>
      <c r="AI177" s="3">
        <v>187</v>
      </c>
      <c r="AJ177" s="3" t="str">
        <f>IFERROR(MID(VLOOKUP($B177,Seqs!$A:$B,2,0),AK177,1),"")</f>
        <v>D</v>
      </c>
      <c r="AK177" s="3">
        <v>189</v>
      </c>
      <c r="AL177" s="3" t="str">
        <f>IFERROR(MID(VLOOKUP($B177,Seqs!$A:$B,2,0),AM177,1),"")</f>
        <v>K</v>
      </c>
      <c r="AM177" s="3">
        <v>229</v>
      </c>
      <c r="AN177" s="3" t="str">
        <f>IFERROR(MID(VLOOKUP($B177,Seqs!$A:$B,2,0),AO177,1),"")</f>
        <v>A</v>
      </c>
      <c r="AO177" s="3">
        <v>383</v>
      </c>
      <c r="AP177" s="3" t="str">
        <f>IFERROR(MID(VLOOKUP($B177,Seqs!$A:$B,2,0),AQ177,1),"")</f>
        <v>C</v>
      </c>
      <c r="AQ177" s="3">
        <v>420</v>
      </c>
      <c r="AR177" s="3" t="str">
        <f>IFERROR(MID(VLOOKUP($B177,Seqs!$A:$B,2,0),AS177,1),"")</f>
        <v>P</v>
      </c>
      <c r="AS177" s="3">
        <v>426</v>
      </c>
      <c r="AT177" s="3" t="str">
        <f>IFERROR(MID(VLOOKUP($B177,Seqs!$A:$B,2,0),AU177,1),"")</f>
        <v>F</v>
      </c>
      <c r="AU177" s="3">
        <v>451</v>
      </c>
      <c r="AV177" s="3" t="str">
        <f>IFERROR(MID(VLOOKUP($B177,Seqs!$A:$B,2,0),AW177,1),"")</f>
        <v>N</v>
      </c>
      <c r="AW177" s="3">
        <v>452</v>
      </c>
      <c r="AX177" s="3" t="str">
        <f>IFERROR(MID(VLOOKUP($B177,Seqs!$A:$B,2,0),AY177,1),"")</f>
        <v>R</v>
      </c>
      <c r="AY177" s="3">
        <v>464</v>
      </c>
      <c r="AZ177" s="77" t="str">
        <f>VLOOKUP(B177,Classification!A:D,2,0)</f>
        <v>A</v>
      </c>
      <c r="BA177" s="94" t="str">
        <f>VLOOKUP(B177,Classification!A:D,4,0)</f>
        <v>Dopamine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262</v>
      </c>
      <c r="BD177" s="2" t="s">
        <v>23</v>
      </c>
      <c r="BE177" s="3" t="s">
        <v>1375</v>
      </c>
      <c r="BF177" s="119" t="s">
        <v>23</v>
      </c>
      <c r="BG177" s="49" t="s">
        <v>1378</v>
      </c>
      <c r="BH177" s="49" t="s">
        <v>1378</v>
      </c>
      <c r="BI177" s="1"/>
      <c r="BJ177" s="70" t="s">
        <v>1288</v>
      </c>
      <c r="BK177" s="57" t="s">
        <v>1288</v>
      </c>
      <c r="BL177" s="57" t="s">
        <v>1288</v>
      </c>
      <c r="BM177" s="57" t="s">
        <v>1288</v>
      </c>
      <c r="BN177" s="57" t="s">
        <v>1288</v>
      </c>
      <c r="BO177" s="57" t="s">
        <v>1288</v>
      </c>
      <c r="BP177" s="57" t="s">
        <v>1288</v>
      </c>
      <c r="BQ177" s="57" t="s">
        <v>1288</v>
      </c>
      <c r="BR177" s="57" t="s">
        <v>1288</v>
      </c>
      <c r="BS177" s="57" t="s">
        <v>1288</v>
      </c>
      <c r="BT177" s="57" t="s">
        <v>1288</v>
      </c>
      <c r="BU177" s="57" t="s">
        <v>1288</v>
      </c>
      <c r="BV177" s="70">
        <f>E177</f>
        <v>31</v>
      </c>
      <c r="BW177" s="71">
        <f>I177</f>
        <v>63</v>
      </c>
      <c r="BX177" s="72">
        <f>M177</f>
        <v>67</v>
      </c>
      <c r="BY177" s="71">
        <f>Q177</f>
        <v>100</v>
      </c>
      <c r="BZ177" s="72">
        <f>U177</f>
        <v>104</v>
      </c>
      <c r="CA177" s="71">
        <f>Y177</f>
        <v>140</v>
      </c>
      <c r="CB177" s="72">
        <f>AC177</f>
        <v>148</v>
      </c>
      <c r="CC177" s="71">
        <f>AG177</f>
        <v>185</v>
      </c>
      <c r="CD177" s="72">
        <f>AK177</f>
        <v>189</v>
      </c>
      <c r="CE177" s="71">
        <f>AO177</f>
        <v>383</v>
      </c>
      <c r="CF177" s="72">
        <f>AS177</f>
        <v>426</v>
      </c>
      <c r="CG177" s="71">
        <f>AW177</f>
        <v>452</v>
      </c>
      <c r="CH177" s="70">
        <f>G177</f>
        <v>62</v>
      </c>
      <c r="CI177" s="71">
        <f>K177</f>
        <v>66</v>
      </c>
      <c r="CJ177" s="72">
        <f>O177</f>
        <v>97</v>
      </c>
      <c r="CK177" s="72">
        <f>S177</f>
        <v>103</v>
      </c>
      <c r="CL177" s="72">
        <f>W177</f>
        <v>139</v>
      </c>
      <c r="CM177" s="72">
        <f>AA177</f>
        <v>147</v>
      </c>
      <c r="CN177" s="72">
        <f>AE177</f>
        <v>173</v>
      </c>
      <c r="CO177" s="72">
        <f>AI177</f>
        <v>187</v>
      </c>
      <c r="CP177" s="72">
        <f>AM177</f>
        <v>229</v>
      </c>
      <c r="CQ177" s="72">
        <f>AQ177</f>
        <v>420</v>
      </c>
      <c r="CR177" s="72">
        <f>AU177</f>
        <v>451</v>
      </c>
      <c r="CS177" s="72">
        <f>AY177</f>
        <v>464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>CONCATENATE(B178,"_",C178)</f>
        <v>drd4_human_5WIU</v>
      </c>
      <c r="B178" s="3" t="s">
        <v>193</v>
      </c>
      <c r="C178" s="3" t="s">
        <v>1445</v>
      </c>
      <c r="D178" s="3" t="str">
        <f>IFERROR(MID(VLOOKUP($B178,Seqs!$A:$B,2,0),E178,1),"")</f>
        <v>G</v>
      </c>
      <c r="E178" s="3">
        <v>34</v>
      </c>
      <c r="F178" s="3" t="str">
        <f>IFERROR(MID(VLOOKUP($B178,Seqs!$A:$B,2,0),G178,1),"")</f>
        <v>E</v>
      </c>
      <c r="G178" s="3">
        <v>62</v>
      </c>
      <c r="H178" s="3" t="str">
        <f>IFERROR(MID(VLOOKUP($B178,Seqs!$A:$B,2,0),I178,1),"")</f>
        <v>R</v>
      </c>
      <c r="I178" s="23">
        <v>63</v>
      </c>
      <c r="J178" s="3" t="str">
        <f>IFERROR(MID(VLOOKUP($B178,Seqs!$A:$B,2,0),K178,1),"")</f>
        <v>Q</v>
      </c>
      <c r="K178" s="23">
        <v>66</v>
      </c>
      <c r="L178" s="3" t="str">
        <f>IFERROR(MID(VLOOKUP($B178,Seqs!$A:$B,2,0),M178,1),"")</f>
        <v>T</v>
      </c>
      <c r="M178" s="3">
        <v>67</v>
      </c>
      <c r="N178" s="3" t="str">
        <f>IFERROR(MID(VLOOKUP($B178,Seqs!$A:$B,2,0),O178,1),"")</f>
        <v>Q</v>
      </c>
      <c r="O178" s="3">
        <v>97</v>
      </c>
      <c r="P178" s="3" t="str">
        <f>IFERROR(MID(VLOOKUP($B178,Seqs!$A:$B,2,0),Q178,1),"")</f>
        <v>A</v>
      </c>
      <c r="Q178" s="3">
        <v>100</v>
      </c>
      <c r="R178" s="3" t="str">
        <f>IFERROR(MID(VLOOKUP($B178,Seqs!$A:$B,2,0),S178,1),"")</f>
        <v>L</v>
      </c>
      <c r="S178" s="3">
        <v>103</v>
      </c>
      <c r="T178" s="3" t="str">
        <f>IFERROR(MID(VLOOKUP($B178,Seqs!$A:$B,2,0),U178,1),"")</f>
        <v>S</v>
      </c>
      <c r="U178" s="3">
        <v>104</v>
      </c>
      <c r="V178" s="3" t="str">
        <f>IFERROR(MID(VLOOKUP($B178,Seqs!$A:$B,2,0),W178,1),"")</f>
        <v>V</v>
      </c>
      <c r="W178" s="3">
        <v>139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R</v>
      </c>
      <c r="AC178" s="3">
        <v>150</v>
      </c>
      <c r="AD178" s="3" t="str">
        <f>IFERROR(MID(VLOOKUP($B178,Seqs!$A:$B,2,0),AE178,1),"")</f>
        <v>G</v>
      </c>
      <c r="AE178" s="3">
        <v>173</v>
      </c>
      <c r="AF178" s="3" t="str">
        <f>IFERROR(MID(VLOOKUP($B178,Seqs!$A:$B,2,0),AG178,1),"")</f>
        <v>C</v>
      </c>
      <c r="AG178" s="3">
        <v>185</v>
      </c>
      <c r="AH178" s="3" t="str">
        <f>IFERROR(MID(VLOOKUP($B178,Seqs!$A:$B,2,0),AI178,1),"")</f>
        <v>L</v>
      </c>
      <c r="AI178" s="3">
        <v>187</v>
      </c>
      <c r="AJ178" s="3" t="str">
        <f>IFERROR(MID(VLOOKUP($B178,Seqs!$A:$B,2,0),AK178,1),"")</f>
        <v>D</v>
      </c>
      <c r="AK178" s="3">
        <v>189</v>
      </c>
      <c r="AL178" s="3" t="str">
        <f>IFERROR(MID(VLOOKUP($B178,Seqs!$A:$B,2,0),AM178,1),"")</f>
        <v>W</v>
      </c>
      <c r="AM178" s="3">
        <v>222</v>
      </c>
      <c r="AN178" s="3" t="str">
        <f>IFERROR(MID(VLOOKUP($B178,Seqs!$A:$B,2,0),AO178,1),"")</f>
        <v>V</v>
      </c>
      <c r="AO178" s="3">
        <v>395</v>
      </c>
      <c r="AP178" s="3" t="str">
        <f>IFERROR(MID(VLOOKUP($B178,Seqs!$A:$B,2,0),AQ178,1),"")</f>
        <v>C</v>
      </c>
      <c r="AQ178" s="3">
        <v>420</v>
      </c>
      <c r="AR178" s="3" t="str">
        <f>IFERROR(MID(VLOOKUP($B178,Seqs!$A:$B,2,0),AS178,1),"")</f>
        <v>P</v>
      </c>
      <c r="AS178" s="3">
        <v>426</v>
      </c>
      <c r="AT178" s="3" t="str">
        <f>IFERROR(MID(VLOOKUP($B178,Seqs!$A:$B,2,0),AU178,1),"")</f>
        <v>F</v>
      </c>
      <c r="AU178" s="3">
        <v>451</v>
      </c>
      <c r="AV178" s="3" t="str">
        <f>IFERROR(MID(VLOOKUP($B178,Seqs!$A:$B,2,0),AW178,1),"")</f>
        <v>N</v>
      </c>
      <c r="AW178" s="3">
        <v>452</v>
      </c>
      <c r="AX178" s="3" t="str">
        <f>IFERROR(MID(VLOOKUP($B178,Seqs!$A:$B,2,0),AY178,1),"")</f>
        <v>R</v>
      </c>
      <c r="AY178" s="3">
        <v>460</v>
      </c>
      <c r="AZ178" s="77" t="str">
        <f>VLOOKUP(B178,Classification!A:D,2,0)</f>
        <v>A</v>
      </c>
      <c r="BA178" s="94" t="str">
        <f>VLOOKUP(B178,Classification!A:D,4,0)</f>
        <v>Dopamine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227</v>
      </c>
      <c r="BD178" s="2" t="s">
        <v>23</v>
      </c>
      <c r="BE178" s="3" t="s">
        <v>1375</v>
      </c>
      <c r="BF178" s="119">
        <v>1.96</v>
      </c>
      <c r="BG178" s="49" t="s">
        <v>1</v>
      </c>
      <c r="BH178" s="49" t="s">
        <v>1378</v>
      </c>
      <c r="BI178" s="1"/>
      <c r="BJ178" s="70" t="s">
        <v>1288</v>
      </c>
      <c r="BK178" s="57" t="s">
        <v>1288</v>
      </c>
      <c r="BL178" s="57" t="s">
        <v>1288</v>
      </c>
      <c r="BM178" s="57" t="s">
        <v>1288</v>
      </c>
      <c r="BN178" s="57" t="s">
        <v>1288</v>
      </c>
      <c r="BO178" s="57" t="s">
        <v>1288</v>
      </c>
      <c r="BP178" s="57" t="s">
        <v>1288</v>
      </c>
      <c r="BQ178" s="57" t="s">
        <v>1288</v>
      </c>
      <c r="BR178" s="57" t="s">
        <v>1288</v>
      </c>
      <c r="BS178" s="57" t="s">
        <v>1288</v>
      </c>
      <c r="BT178" s="57" t="s">
        <v>1288</v>
      </c>
      <c r="BU178" s="57" t="s">
        <v>1288</v>
      </c>
      <c r="BV178" s="70">
        <f>E178</f>
        <v>34</v>
      </c>
      <c r="BW178" s="71">
        <f>I178</f>
        <v>63</v>
      </c>
      <c r="BX178" s="72">
        <f>M178</f>
        <v>67</v>
      </c>
      <c r="BY178" s="71">
        <f>Q178</f>
        <v>100</v>
      </c>
      <c r="BZ178" s="72">
        <f>U178</f>
        <v>104</v>
      </c>
      <c r="CA178" s="71" t="str">
        <f>Y178</f>
        <v>-</v>
      </c>
      <c r="CB178" s="72">
        <f>AC178</f>
        <v>150</v>
      </c>
      <c r="CC178" s="71">
        <f>AG178</f>
        <v>185</v>
      </c>
      <c r="CD178" s="72">
        <f>AK178</f>
        <v>189</v>
      </c>
      <c r="CE178" s="71">
        <f>AO178</f>
        <v>395</v>
      </c>
      <c r="CF178" s="72">
        <f>AS178</f>
        <v>426</v>
      </c>
      <c r="CG178" s="71">
        <f>AW178</f>
        <v>452</v>
      </c>
      <c r="CH178" s="70">
        <f>G178</f>
        <v>62</v>
      </c>
      <c r="CI178" s="71">
        <f>K178</f>
        <v>66</v>
      </c>
      <c r="CJ178" s="72">
        <f>O178</f>
        <v>97</v>
      </c>
      <c r="CK178" s="72">
        <f>S178</f>
        <v>103</v>
      </c>
      <c r="CL178" s="72">
        <f>W178</f>
        <v>139</v>
      </c>
      <c r="CM178" s="72" t="str">
        <f>AA178</f>
        <v>-</v>
      </c>
      <c r="CN178" s="72">
        <f>AE178</f>
        <v>173</v>
      </c>
      <c r="CO178" s="72">
        <f>AI178</f>
        <v>187</v>
      </c>
      <c r="CP178" s="72">
        <f>AM178</f>
        <v>222</v>
      </c>
      <c r="CQ178" s="72">
        <f>AQ178</f>
        <v>420</v>
      </c>
      <c r="CR178" s="72">
        <f>AU178</f>
        <v>451</v>
      </c>
      <c r="CS178" s="72">
        <f>AY178</f>
        <v>460</v>
      </c>
      <c r="CT178" s="23">
        <f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>CONCATENATE(B179,"_",C179)</f>
        <v>drd4_human_5WIV</v>
      </c>
      <c r="B179" s="3" t="s">
        <v>193</v>
      </c>
      <c r="C179" s="3" t="s">
        <v>1447</v>
      </c>
      <c r="D179" s="3" t="str">
        <f>IFERROR(MID(VLOOKUP($B179,Seqs!$A:$B,2,0),E179,1),"")</f>
        <v>G</v>
      </c>
      <c r="E179" s="3">
        <v>32</v>
      </c>
      <c r="F179" s="3" t="str">
        <f>IFERROR(MID(VLOOKUP($B179,Seqs!$A:$B,2,0),G179,1),"")</f>
        <v>E</v>
      </c>
      <c r="G179" s="3">
        <v>62</v>
      </c>
      <c r="H179" s="3" t="str">
        <f>IFERROR(MID(VLOOKUP($B179,Seqs!$A:$B,2,0),I179,1),"")</f>
        <v>R</v>
      </c>
      <c r="I179" s="23">
        <v>63</v>
      </c>
      <c r="J179" s="3" t="str">
        <f>IFERROR(MID(VLOOKUP($B179,Seqs!$A:$B,2,0),K179,1),"")</f>
        <v>Q</v>
      </c>
      <c r="K179" s="23">
        <v>66</v>
      </c>
      <c r="L179" s="3" t="str">
        <f>IFERROR(MID(VLOOKUP($B179,Seqs!$A:$B,2,0),M179,1),"")</f>
        <v>T</v>
      </c>
      <c r="M179" s="3">
        <v>67</v>
      </c>
      <c r="N179" s="3" t="str">
        <f>IFERROR(MID(VLOOKUP($B179,Seqs!$A:$B,2,0),O179,1),"")</f>
        <v>Q</v>
      </c>
      <c r="O179" s="3">
        <v>97</v>
      </c>
      <c r="P179" s="3" t="str">
        <f>IFERROR(MID(VLOOKUP($B179,Seqs!$A:$B,2,0),Q179,1),"")</f>
        <v>A</v>
      </c>
      <c r="Q179" s="3">
        <v>100</v>
      </c>
      <c r="R179" s="3" t="str">
        <f>IFERROR(MID(VLOOKUP($B179,Seqs!$A:$B,2,0),S179,1),"")</f>
        <v>L</v>
      </c>
      <c r="S179" s="3">
        <v>103</v>
      </c>
      <c r="T179" s="3" t="str">
        <f>IFERROR(MID(VLOOKUP($B179,Seqs!$A:$B,2,0),U179,1),"")</f>
        <v>S</v>
      </c>
      <c r="U179" s="3">
        <v>104</v>
      </c>
      <c r="V179" s="3" t="str">
        <f>IFERROR(MID(VLOOKUP($B179,Seqs!$A:$B,2,0),W179,1),"")</f>
        <v>V</v>
      </c>
      <c r="W179" s="3">
        <v>139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R</v>
      </c>
      <c r="AC179" s="3">
        <v>150</v>
      </c>
      <c r="AD179" s="3" t="str">
        <f>IFERROR(MID(VLOOKUP($B179,Seqs!$A:$B,2,0),AE179,1),"")</f>
        <v>G</v>
      </c>
      <c r="AE179" s="3">
        <v>173</v>
      </c>
      <c r="AF179" s="3" t="str">
        <f>IFERROR(MID(VLOOKUP($B179,Seqs!$A:$B,2,0),AG179,1),"")</f>
        <v>C</v>
      </c>
      <c r="AG179" s="3">
        <v>185</v>
      </c>
      <c r="AH179" s="3" t="str">
        <f>IFERROR(MID(VLOOKUP($B179,Seqs!$A:$B,2,0),AI179,1),"")</f>
        <v>L</v>
      </c>
      <c r="AI179" s="3">
        <v>187</v>
      </c>
      <c r="AJ179" s="3" t="str">
        <f>IFERROR(MID(VLOOKUP($B179,Seqs!$A:$B,2,0),AK179,1),"")</f>
        <v>D</v>
      </c>
      <c r="AK179" s="3">
        <v>189</v>
      </c>
      <c r="AL179" s="3" t="str">
        <f>IFERROR(MID(VLOOKUP($B179,Seqs!$A:$B,2,0),AM179,1),"")</f>
        <v>W</v>
      </c>
      <c r="AM179" s="3">
        <v>222</v>
      </c>
      <c r="AN179" s="3" t="str">
        <f>IFERROR(MID(VLOOKUP($B179,Seqs!$A:$B,2,0),AO179,1),"")</f>
        <v>V</v>
      </c>
      <c r="AO179" s="3">
        <v>395</v>
      </c>
      <c r="AP179" s="3" t="str">
        <f>IFERROR(MID(VLOOKUP($B179,Seqs!$A:$B,2,0),AQ179,1),"")</f>
        <v>C</v>
      </c>
      <c r="AQ179" s="3">
        <v>420</v>
      </c>
      <c r="AR179" s="3" t="str">
        <f>IFERROR(MID(VLOOKUP($B179,Seqs!$A:$B,2,0),AS179,1),"")</f>
        <v>P</v>
      </c>
      <c r="AS179" s="3">
        <v>426</v>
      </c>
      <c r="AT179" s="3" t="str">
        <f>IFERROR(MID(VLOOKUP($B179,Seqs!$A:$B,2,0),AU179,1),"")</f>
        <v>F</v>
      </c>
      <c r="AU179" s="3">
        <v>451</v>
      </c>
      <c r="AV179" s="3" t="str">
        <f>IFERROR(MID(VLOOKUP($B179,Seqs!$A:$B,2,0),AW179,1),"")</f>
        <v>N</v>
      </c>
      <c r="AW179" s="3">
        <v>452</v>
      </c>
      <c r="AX179" s="3" t="str">
        <f>IFERROR(MID(VLOOKUP($B179,Seqs!$A:$B,2,0),AY179,1),"")</f>
        <v>A</v>
      </c>
      <c r="AY179" s="3">
        <v>462</v>
      </c>
      <c r="AZ179" s="77" t="str">
        <f>VLOOKUP(B179,Classification!A:D,2,0)</f>
        <v>A</v>
      </c>
      <c r="BA179" s="94" t="str">
        <f>VLOOKUP(B179,Classification!A:D,4,0)</f>
        <v>Dopamine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231</v>
      </c>
      <c r="BD179" s="2" t="s">
        <v>1377</v>
      </c>
      <c r="BE179" s="3" t="s">
        <v>1375</v>
      </c>
      <c r="BF179" s="119">
        <v>2.14</v>
      </c>
      <c r="BG179" s="49" t="s">
        <v>1</v>
      </c>
      <c r="BH179" s="49" t="s">
        <v>1378</v>
      </c>
      <c r="BI179" s="1"/>
      <c r="BJ179" s="70" t="s">
        <v>1288</v>
      </c>
      <c r="BK179" s="57" t="s">
        <v>1288</v>
      </c>
      <c r="BL179" s="57" t="s">
        <v>1288</v>
      </c>
      <c r="BM179" s="57" t="s">
        <v>1288</v>
      </c>
      <c r="BN179" s="57" t="s">
        <v>1288</v>
      </c>
      <c r="BO179" s="57" t="s">
        <v>1288</v>
      </c>
      <c r="BP179" s="57" t="s">
        <v>1288</v>
      </c>
      <c r="BQ179" s="57" t="s">
        <v>1288</v>
      </c>
      <c r="BR179" s="57" t="s">
        <v>1288</v>
      </c>
      <c r="BS179" s="57" t="s">
        <v>1288</v>
      </c>
      <c r="BT179" s="57" t="s">
        <v>1288</v>
      </c>
      <c r="BU179" s="57" t="s">
        <v>1288</v>
      </c>
      <c r="BV179" s="70">
        <f>E179</f>
        <v>32</v>
      </c>
      <c r="BW179" s="71">
        <f>I179</f>
        <v>63</v>
      </c>
      <c r="BX179" s="72">
        <f>M179</f>
        <v>67</v>
      </c>
      <c r="BY179" s="71">
        <f>Q179</f>
        <v>100</v>
      </c>
      <c r="BZ179" s="72">
        <f>U179</f>
        <v>104</v>
      </c>
      <c r="CA179" s="71" t="str">
        <f>Y179</f>
        <v>-</v>
      </c>
      <c r="CB179" s="72">
        <f>AC179</f>
        <v>150</v>
      </c>
      <c r="CC179" s="71">
        <f>AG179</f>
        <v>185</v>
      </c>
      <c r="CD179" s="72">
        <f>AK179</f>
        <v>189</v>
      </c>
      <c r="CE179" s="71">
        <f>AO179</f>
        <v>395</v>
      </c>
      <c r="CF179" s="72">
        <f>AS179</f>
        <v>426</v>
      </c>
      <c r="CG179" s="71">
        <f>AW179</f>
        <v>452</v>
      </c>
      <c r="CH179" s="70">
        <f>G179</f>
        <v>62</v>
      </c>
      <c r="CI179" s="71">
        <f>K179</f>
        <v>66</v>
      </c>
      <c r="CJ179" s="72">
        <f>O179</f>
        <v>97</v>
      </c>
      <c r="CK179" s="72">
        <f>S179</f>
        <v>103</v>
      </c>
      <c r="CL179" s="72">
        <f>W179</f>
        <v>139</v>
      </c>
      <c r="CM179" s="72" t="str">
        <f>AA179</f>
        <v>-</v>
      </c>
      <c r="CN179" s="72">
        <f>AE179</f>
        <v>173</v>
      </c>
      <c r="CO179" s="72">
        <f>AI179</f>
        <v>187</v>
      </c>
      <c r="CP179" s="72">
        <f>AM179</f>
        <v>222</v>
      </c>
      <c r="CQ179" s="72">
        <f>AQ179</f>
        <v>420</v>
      </c>
      <c r="CR179" s="72">
        <f>AU179</f>
        <v>451</v>
      </c>
      <c r="CS179" s="72">
        <f>AY179</f>
        <v>462</v>
      </c>
      <c r="CT179" s="23">
        <f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839"/>
        <v>ednrb_human__wt</v>
      </c>
      <c r="B180" s="2" t="s">
        <v>196</v>
      </c>
      <c r="C180" s="2" t="s">
        <v>100</v>
      </c>
      <c r="D180" s="3" t="str">
        <f>IFERROR(MID(VLOOKUP($B180,Seqs!$A:$B,2,0),E180,1),"")</f>
        <v>Q</v>
      </c>
      <c r="E180" s="2">
        <v>91</v>
      </c>
      <c r="F180" s="3" t="str">
        <f>IFERROR(MID(VLOOKUP($B180,Seqs!$A:$B,2,0),G180,1),"")</f>
        <v>N</v>
      </c>
      <c r="G180" s="2">
        <v>129</v>
      </c>
      <c r="H180" s="3" t="str">
        <f>IFERROR(MID(VLOOKUP($B180,Seqs!$A:$B,2,0),I180,1),"")</f>
        <v>K</v>
      </c>
      <c r="I180" s="56">
        <v>130</v>
      </c>
      <c r="J180" s="3" t="str">
        <f>IFERROR(MID(VLOOKUP($B180,Seqs!$A:$B,2,0),K180,1),"")</f>
        <v>N</v>
      </c>
      <c r="K180" s="56">
        <v>134</v>
      </c>
      <c r="L180" s="3" t="str">
        <f>IFERROR(MID(VLOOKUP($B180,Seqs!$A:$B,2,0),M180,1),"")</f>
        <v>G</v>
      </c>
      <c r="M180" s="2">
        <v>135</v>
      </c>
      <c r="N180" s="3" t="str">
        <f>IFERROR(MID(VLOOKUP($B180,Seqs!$A:$B,2,0),O180,1),"")</f>
        <v>A</v>
      </c>
      <c r="O180" s="2">
        <v>164</v>
      </c>
      <c r="P180" s="3" t="str">
        <f>IFERROR(MID(VLOOKUP($B180,Seqs!$A:$B,2,0),Q180,1),"")</f>
        <v>D</v>
      </c>
      <c r="Q180" s="2">
        <v>166</v>
      </c>
      <c r="R180" s="3" t="str">
        <f>IFERROR(MID(VLOOKUP($B180,Seqs!$A:$B,2,0),S180,1),"")</f>
        <v>F</v>
      </c>
      <c r="S180" s="2">
        <v>169</v>
      </c>
      <c r="T180" s="3" t="str">
        <f>IFERROR(MID(VLOOKUP($B180,Seqs!$A:$B,2,0),U180,1),"")</f>
        <v>G</v>
      </c>
      <c r="U180" s="4">
        <v>170</v>
      </c>
      <c r="V180" s="3" t="str">
        <f>IFERROR(MID(VLOOKUP($B180,Seqs!$A:$B,2,0),W180,1),"")</f>
        <v>S</v>
      </c>
      <c r="W180" s="2">
        <v>205</v>
      </c>
      <c r="X180" s="3" t="str">
        <f>IFERROR(MID(VLOOKUP($B180,Seqs!$A:$B,2,0),Y180,1),"")</f>
        <v>W</v>
      </c>
      <c r="Y180" s="2">
        <v>206</v>
      </c>
      <c r="Z180" s="3" t="str">
        <f>IFERROR(MID(VLOOKUP($B180,Seqs!$A:$B,2,0),AA180,1),"")</f>
        <v>G</v>
      </c>
      <c r="AA180" s="2">
        <v>213</v>
      </c>
      <c r="AB180" s="3" t="str">
        <f>IFERROR(MID(VLOOKUP($B180,Seqs!$A:$B,2,0),AC180,1),"")</f>
        <v>V</v>
      </c>
      <c r="AC180" s="40">
        <v>214</v>
      </c>
      <c r="AD180" s="3" t="str">
        <f>IFERROR(MID(VLOOKUP($B180,Seqs!$A:$B,2,0),AE180,1),"")</f>
        <v>F</v>
      </c>
      <c r="AE180" s="2">
        <v>240</v>
      </c>
      <c r="AF180" s="3" t="str">
        <f>IFERROR(MID(VLOOKUP($B180,Seqs!$A:$B,2,0),AG180,1),"")</f>
        <v>C</v>
      </c>
      <c r="AG180" s="2">
        <v>255</v>
      </c>
      <c r="AH180" s="3" t="str">
        <f>IFERROR(MID(VLOOKUP($B180,Seqs!$A:$B,2,0),AI180,1),"")</f>
        <v>L</v>
      </c>
      <c r="AI180" s="2">
        <v>257</v>
      </c>
      <c r="AJ180" s="3" t="str">
        <f>IFERROR(MID(VLOOKUP($B180,Seqs!$A:$B,2,0),AK180,1),"")</f>
        <v>T</v>
      </c>
      <c r="AK180" s="2">
        <v>263</v>
      </c>
      <c r="AL180" s="3" t="str">
        <f>IFERROR(MID(VLOOKUP($B180,Seqs!$A:$B,2,0),AM180,1),"")</f>
        <v>M</v>
      </c>
      <c r="AM180" s="2">
        <v>307</v>
      </c>
      <c r="AN180" s="3" t="str">
        <f>IFERROR(MID(VLOOKUP($B180,Seqs!$A:$B,2,0),AO180,1),"")</f>
        <v>N</v>
      </c>
      <c r="AO180" s="2">
        <v>312</v>
      </c>
      <c r="AP180" s="3" t="str">
        <f>IFERROR(MID(VLOOKUP($B180,Seqs!$A:$B,2,0),AQ180,1),"")</f>
        <v>Y</v>
      </c>
      <c r="AQ180" s="2">
        <v>350</v>
      </c>
      <c r="AR180" s="3" t="str">
        <f>IFERROR(MID(VLOOKUP($B180,Seqs!$A:$B,2,0),AS180,1),"")</f>
        <v>R</v>
      </c>
      <c r="AS180" s="2">
        <v>357</v>
      </c>
      <c r="AT180" s="3" t="str">
        <f>IFERROR(MID(VLOOKUP($B180,Seqs!$A:$B,2,0),AU180,1),"")</f>
        <v>V</v>
      </c>
      <c r="AU180" s="2">
        <v>389</v>
      </c>
      <c r="AV180" s="3" t="str">
        <f>IFERROR(MID(VLOOKUP($B180,Seqs!$A:$B,2,0),AW180,1),"")</f>
        <v>S</v>
      </c>
      <c r="AW180" s="2">
        <v>390</v>
      </c>
      <c r="AX180" s="3" t="str">
        <f>IFERROR(MID(VLOOKUP($B180,Seqs!$A:$B,2,0),AY180,1),"")</f>
        <v>C</v>
      </c>
      <c r="AY180" s="2">
        <v>403</v>
      </c>
      <c r="AZ180" s="77" t="str">
        <f>VLOOKUP(B180,Classification!A:D,2,0)</f>
        <v>A</v>
      </c>
      <c r="BA180" s="94" t="str">
        <f>VLOOKUP(B180,Classification!A:D,4,0)</f>
        <v>Endothelin</v>
      </c>
      <c r="BB180" s="27" t="b">
        <f t="shared" si="840"/>
        <v>1</v>
      </c>
      <c r="BC180" s="2"/>
      <c r="BD180" s="34" t="s">
        <v>23</v>
      </c>
      <c r="BE180" s="3" t="s">
        <v>23</v>
      </c>
      <c r="BF180" s="119" t="s">
        <v>23</v>
      </c>
      <c r="BG180" s="49" t="s">
        <v>1373</v>
      </c>
      <c r="BH180" s="49" t="s">
        <v>1378</v>
      </c>
      <c r="BI180" s="2"/>
      <c r="BJ180" s="70"/>
      <c r="BU180" s="57"/>
      <c r="BV180" s="70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70"/>
      <c r="CI180" s="57"/>
      <c r="CJ180" s="57"/>
      <c r="CK180" s="57"/>
      <c r="CL180" s="57"/>
      <c r="CM180" s="57"/>
      <c r="CN180" s="57"/>
      <c r="CO180" s="57"/>
      <c r="CP180" s="57"/>
      <c r="CQ180" s="57"/>
      <c r="CR180" s="57"/>
      <c r="CS180" s="57"/>
      <c r="CT180" s="2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839"/>
        <v>ednrb_human_5GLH</v>
      </c>
      <c r="B181" s="2" t="s">
        <v>196</v>
      </c>
      <c r="C181" s="2" t="s">
        <v>1329</v>
      </c>
      <c r="D181" s="3" t="str">
        <f>IFERROR(MID(VLOOKUP($B181,Seqs!$A:$B,2,0),E181,1),"")</f>
        <v>K</v>
      </c>
      <c r="E181" s="2">
        <v>97</v>
      </c>
      <c r="F181" s="3" t="str">
        <f>IFERROR(MID(VLOOKUP($B181,Seqs!$A:$B,2,0),G181,1),"")</f>
        <v>N</v>
      </c>
      <c r="G181" s="2">
        <v>129</v>
      </c>
      <c r="H181" s="3" t="str">
        <f>IFERROR(MID(VLOOKUP($B181,Seqs!$A:$B,2,0),I181,1),"")</f>
        <v/>
      </c>
      <c r="I181" s="56" t="s">
        <v>23</v>
      </c>
      <c r="J181" s="3" t="str">
        <f>IFERROR(MID(VLOOKUP($B181,Seqs!$A:$B,2,0),K181,1),"")</f>
        <v/>
      </c>
      <c r="K181" s="56" t="s">
        <v>23</v>
      </c>
      <c r="L181" s="3" t="str">
        <f>IFERROR(MID(VLOOKUP($B181,Seqs!$A:$B,2,0),M181,1),"")</f>
        <v>P</v>
      </c>
      <c r="M181" s="2">
        <v>136</v>
      </c>
      <c r="N181" s="3" t="str">
        <f>IFERROR(MID(VLOOKUP($B181,Seqs!$A:$B,2,0),O181,1),"")</f>
        <v>A</v>
      </c>
      <c r="O181" s="2">
        <v>164</v>
      </c>
      <c r="P181" s="3" t="str">
        <f>IFERROR(MID(VLOOKUP($B181,Seqs!$A:$B,2,0),Q181,1),"")</f>
        <v>D</v>
      </c>
      <c r="Q181" s="2">
        <v>166</v>
      </c>
      <c r="R181" s="3" t="str">
        <f>IFERROR(MID(VLOOKUP($B181,Seqs!$A:$B,2,0),S181,1),"")</f>
        <v>F</v>
      </c>
      <c r="S181" s="2">
        <v>169</v>
      </c>
      <c r="T181" s="3" t="str">
        <f>IFERROR(MID(VLOOKUP($B181,Seqs!$A:$B,2,0),U181,1),"")</f>
        <v>G</v>
      </c>
      <c r="U181" s="4">
        <v>170</v>
      </c>
      <c r="V181" s="3" t="str">
        <f>IFERROR(MID(VLOOKUP($B181,Seqs!$A:$B,2,0),W181,1),"")</f>
        <v>S</v>
      </c>
      <c r="W181" s="2">
        <v>205</v>
      </c>
      <c r="X181" s="3" t="str">
        <f>IFERROR(MID(VLOOKUP($B181,Seqs!$A:$B,2,0),Y181,1),"")</f>
        <v/>
      </c>
      <c r="Y181" s="2" t="s">
        <v>23</v>
      </c>
      <c r="Z181" s="3" t="str">
        <f>IFERROR(MID(VLOOKUP($B181,Seqs!$A:$B,2,0),AA181,1),"")</f>
        <v/>
      </c>
      <c r="AA181" s="2" t="s">
        <v>23</v>
      </c>
      <c r="AB181" s="3" t="str">
        <f>IFERROR(MID(VLOOKUP($B181,Seqs!$A:$B,2,0),AC181,1),"")</f>
        <v>T</v>
      </c>
      <c r="AC181" s="40">
        <v>218</v>
      </c>
      <c r="AD181" s="3" t="str">
        <f>IFERROR(MID(VLOOKUP($B181,Seqs!$A:$B,2,0),AE181,1),"")</f>
        <v>F</v>
      </c>
      <c r="AE181" s="2">
        <v>240</v>
      </c>
      <c r="AF181" s="3" t="str">
        <f>IFERROR(MID(VLOOKUP($B181,Seqs!$A:$B,2,0),AG181,1),"")</f>
        <v>C</v>
      </c>
      <c r="AG181" s="2">
        <v>255</v>
      </c>
      <c r="AH181" s="3" t="str">
        <f>IFERROR(MID(VLOOKUP($B181,Seqs!$A:$B,2,0),AI181,1),"")</f>
        <v>L</v>
      </c>
      <c r="AI181" s="2">
        <v>257</v>
      </c>
      <c r="AJ181" s="3" t="str">
        <f>IFERROR(MID(VLOOKUP($B181,Seqs!$A:$B,2,0),AK181,1),"")</f>
        <v>T</v>
      </c>
      <c r="AK181" s="2">
        <v>263</v>
      </c>
      <c r="AL181" s="3" t="str">
        <f>IFERROR(MID(VLOOKUP($B181,Seqs!$A:$B,2,0),AM181,1),"")</f>
        <v>K</v>
      </c>
      <c r="AM181" s="2">
        <v>303</v>
      </c>
      <c r="AN181" s="3" t="str">
        <f>IFERROR(MID(VLOOKUP($B181,Seqs!$A:$B,2,0),AO181,1),"")</f>
        <v>N</v>
      </c>
      <c r="AO181" s="2">
        <v>312</v>
      </c>
      <c r="AP181" s="3" t="str">
        <f>IFERROR(MID(VLOOKUP($B181,Seqs!$A:$B,2,0),AQ181,1),"")</f>
        <v>Y</v>
      </c>
      <c r="AQ181" s="2">
        <v>350</v>
      </c>
      <c r="AR181" s="3" t="str">
        <f>IFERROR(MID(VLOOKUP($B181,Seqs!$A:$B,2,0),AS181,1),"")</f>
        <v>R</v>
      </c>
      <c r="AS181" s="2">
        <v>357</v>
      </c>
      <c r="AT181" s="3" t="str">
        <f>IFERROR(MID(VLOOKUP($B181,Seqs!$A:$B,2,0),AU181,1),"")</f>
        <v>V</v>
      </c>
      <c r="AU181" s="2">
        <v>389</v>
      </c>
      <c r="AV181" s="3" t="str">
        <f>IFERROR(MID(VLOOKUP($B181,Seqs!$A:$B,2,0),AW181,1),"")</f>
        <v>S</v>
      </c>
      <c r="AW181" s="2">
        <v>390</v>
      </c>
      <c r="AX181" s="3" t="str">
        <f>IFERROR(MID(VLOOKUP($B181,Seqs!$A:$B,2,0),AY181,1),"")</f>
        <v>L</v>
      </c>
      <c r="AY181" s="2">
        <v>401</v>
      </c>
      <c r="AZ181" s="77" t="str">
        <f>VLOOKUP(B181,Classification!A:D,2,0)</f>
        <v>A</v>
      </c>
      <c r="BA181" s="94" t="str">
        <f>VLOOKUP(B181,Classification!A:D,4,0)</f>
        <v>Endothelin</v>
      </c>
      <c r="BB181" s="27" t="b">
        <f t="shared" si="840"/>
        <v>1</v>
      </c>
      <c r="BC181" s="23">
        <f t="shared" ref="BC181:BC243" si="1007">_xlfn.AGGREGATE(9,6,CH181:CS181)-_xlfn.AGGREGATE(9,6,BV181:CG181)+12</f>
        <v>255</v>
      </c>
      <c r="BD181" s="2" t="s">
        <v>23</v>
      </c>
      <c r="BE181" s="3" t="s">
        <v>1375</v>
      </c>
      <c r="BF181" s="119">
        <v>2.8</v>
      </c>
      <c r="BG181" s="49" t="s">
        <v>1378</v>
      </c>
      <c r="BH181" s="49" t="s">
        <v>1378</v>
      </c>
      <c r="BI181" s="2"/>
      <c r="BJ181" s="70" t="s">
        <v>1288</v>
      </c>
      <c r="BK181" s="57" t="s">
        <v>1288</v>
      </c>
      <c r="BL181" s="57" t="s">
        <v>1288</v>
      </c>
      <c r="BM181" s="57" t="s">
        <v>1288</v>
      </c>
      <c r="BN181" s="57" t="s">
        <v>1288</v>
      </c>
      <c r="BO181" s="57" t="s">
        <v>1288</v>
      </c>
      <c r="BP181" s="57" t="s">
        <v>1288</v>
      </c>
      <c r="BQ181" s="57" t="s">
        <v>1288</v>
      </c>
      <c r="BR181" s="57" t="s">
        <v>1288</v>
      </c>
      <c r="BS181" s="57" t="s">
        <v>1288</v>
      </c>
      <c r="BT181" s="57" t="s">
        <v>1288</v>
      </c>
      <c r="BU181" s="57" t="s">
        <v>1288</v>
      </c>
      <c r="BV181" s="70">
        <f t="shared" ref="BV181:BV243" si="1008">E181</f>
        <v>97</v>
      </c>
      <c r="BW181" s="71" t="str">
        <f t="shared" ref="BW181:BW243" si="1009">I181</f>
        <v>-</v>
      </c>
      <c r="BX181" s="72">
        <f t="shared" ref="BX181:BX243" si="1010">M181</f>
        <v>136</v>
      </c>
      <c r="BY181" s="71">
        <f t="shared" ref="BY181:BY243" si="1011">Q181</f>
        <v>166</v>
      </c>
      <c r="BZ181" s="72">
        <f t="shared" ref="BZ181:BZ243" si="1012">U181</f>
        <v>170</v>
      </c>
      <c r="CA181" s="71" t="str">
        <f t="shared" ref="CA181:CA243" si="1013">Y181</f>
        <v>-</v>
      </c>
      <c r="CB181" s="72">
        <f t="shared" ref="CB181:CB243" si="1014">AC181</f>
        <v>218</v>
      </c>
      <c r="CC181" s="71">
        <f t="shared" ref="CC181:CC243" si="1015">AG181</f>
        <v>255</v>
      </c>
      <c r="CD181" s="72">
        <f t="shared" ref="CD181:CD243" si="1016">AK181</f>
        <v>263</v>
      </c>
      <c r="CE181" s="71">
        <f t="shared" ref="CE181:CE243" si="1017">AO181</f>
        <v>312</v>
      </c>
      <c r="CF181" s="72">
        <f t="shared" ref="CF181:CF243" si="1018">AS181</f>
        <v>357</v>
      </c>
      <c r="CG181" s="71">
        <f t="shared" ref="CG181:CG243" si="1019">AW181</f>
        <v>390</v>
      </c>
      <c r="CH181" s="70">
        <f t="shared" ref="CH181:CH243" si="1020">G181</f>
        <v>129</v>
      </c>
      <c r="CI181" s="71" t="str">
        <f t="shared" ref="CI181:CI243" si="1021">K181</f>
        <v>-</v>
      </c>
      <c r="CJ181" s="72">
        <f t="shared" ref="CJ181:CJ243" si="1022">O181</f>
        <v>164</v>
      </c>
      <c r="CK181" s="72">
        <f t="shared" ref="CK181:CK243" si="1023">S181</f>
        <v>169</v>
      </c>
      <c r="CL181" s="72">
        <f t="shared" ref="CL181:CL243" si="1024">W181</f>
        <v>205</v>
      </c>
      <c r="CM181" s="72" t="str">
        <f t="shared" ref="CM181:CM243" si="1025">AA181</f>
        <v>-</v>
      </c>
      <c r="CN181" s="72">
        <f t="shared" ref="CN181:CN243" si="1026">AE181</f>
        <v>240</v>
      </c>
      <c r="CO181" s="72">
        <f t="shared" ref="CO181:CO243" si="1027">AI181</f>
        <v>257</v>
      </c>
      <c r="CP181" s="72">
        <f t="shared" ref="CP181:CP243" si="1028">AM181</f>
        <v>303</v>
      </c>
      <c r="CQ181" s="72">
        <f t="shared" ref="CQ181:CQ243" si="1029">AQ181</f>
        <v>350</v>
      </c>
      <c r="CR181" s="72">
        <f t="shared" ref="CR181:CR243" si="1030">AU181</f>
        <v>389</v>
      </c>
      <c r="CS181" s="72">
        <f t="shared" ref="CS181:CS243" si="1031">AY181</f>
        <v>401</v>
      </c>
      <c r="CT181" s="23" t="e">
        <f t="shared" ref="CT181:CT243" si="1032">M181-K181</f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839"/>
        <v>ednrb_human_5GLI</v>
      </c>
      <c r="B182" s="2" t="s">
        <v>196</v>
      </c>
      <c r="C182" s="2" t="s">
        <v>1328</v>
      </c>
      <c r="D182" s="3" t="str">
        <f>IFERROR(MID(VLOOKUP($B182,Seqs!$A:$B,2,0),E182,1),"")</f>
        <v>Q</v>
      </c>
      <c r="E182" s="2">
        <v>91</v>
      </c>
      <c r="F182" s="3" t="str">
        <f>IFERROR(MID(VLOOKUP($B182,Seqs!$A:$B,2,0),G182,1),"")</f>
        <v>N</v>
      </c>
      <c r="G182" s="2">
        <v>129</v>
      </c>
      <c r="H182" s="3" t="str">
        <f>IFERROR(MID(VLOOKUP($B182,Seqs!$A:$B,2,0),I182,1),"")</f>
        <v>K</v>
      </c>
      <c r="I182" s="56">
        <v>130</v>
      </c>
      <c r="J182" s="3" t="str">
        <f>IFERROR(MID(VLOOKUP($B182,Seqs!$A:$B,2,0),K182,1),"")</f>
        <v>N</v>
      </c>
      <c r="K182" s="56">
        <v>134</v>
      </c>
      <c r="L182" s="3" t="str">
        <f>IFERROR(MID(VLOOKUP($B182,Seqs!$A:$B,2,0),M182,1),"")</f>
        <v>G</v>
      </c>
      <c r="M182" s="2">
        <v>135</v>
      </c>
      <c r="N182" s="3" t="str">
        <f>IFERROR(MID(VLOOKUP($B182,Seqs!$A:$B,2,0),O182,1),"")</f>
        <v>A</v>
      </c>
      <c r="O182" s="2">
        <v>164</v>
      </c>
      <c r="P182" s="3" t="str">
        <f>IFERROR(MID(VLOOKUP($B182,Seqs!$A:$B,2,0),Q182,1),"")</f>
        <v>D</v>
      </c>
      <c r="Q182" s="2">
        <v>166</v>
      </c>
      <c r="R182" s="3" t="str">
        <f>IFERROR(MID(VLOOKUP($B182,Seqs!$A:$B,2,0),S182,1),"")</f>
        <v>F</v>
      </c>
      <c r="S182" s="2">
        <v>169</v>
      </c>
      <c r="T182" s="3" t="str">
        <f>IFERROR(MID(VLOOKUP($B182,Seqs!$A:$B,2,0),U182,1),"")</f>
        <v>G</v>
      </c>
      <c r="U182" s="4">
        <v>170</v>
      </c>
      <c r="V182" s="3" t="str">
        <f>IFERROR(MID(VLOOKUP($B182,Seqs!$A:$B,2,0),W182,1),"")</f>
        <v>S</v>
      </c>
      <c r="W182" s="2">
        <v>205</v>
      </c>
      <c r="X182" s="3" t="str">
        <f>IFERROR(MID(VLOOKUP($B182,Seqs!$A:$B,2,0),Y182,1),"")</f>
        <v/>
      </c>
      <c r="Y182" s="2" t="s">
        <v>23</v>
      </c>
      <c r="Z182" s="3" t="str">
        <f>IFERROR(MID(VLOOKUP($B182,Seqs!$A:$B,2,0),AA182,1),"")</f>
        <v/>
      </c>
      <c r="AA182" s="2" t="s">
        <v>23</v>
      </c>
      <c r="AB182" s="3" t="str">
        <f>IFERROR(MID(VLOOKUP($B182,Seqs!$A:$B,2,0),AC182,1),"")</f>
        <v>K</v>
      </c>
      <c r="AC182" s="40">
        <v>216</v>
      </c>
      <c r="AD182" s="3" t="str">
        <f>IFERROR(MID(VLOOKUP($B182,Seqs!$A:$B,2,0),AE182,1),"")</f>
        <v>F</v>
      </c>
      <c r="AE182" s="2">
        <v>240</v>
      </c>
      <c r="AF182" s="3" t="str">
        <f>IFERROR(MID(VLOOKUP($B182,Seqs!$A:$B,2,0),AG182,1),"")</f>
        <v>C</v>
      </c>
      <c r="AG182" s="2">
        <v>255</v>
      </c>
      <c r="AH182" s="3" t="str">
        <f>IFERROR(MID(VLOOKUP($B182,Seqs!$A:$B,2,0),AI182,1),"")</f>
        <v>L</v>
      </c>
      <c r="AI182" s="2">
        <v>257</v>
      </c>
      <c r="AJ182" s="3" t="str">
        <f>IFERROR(MID(VLOOKUP($B182,Seqs!$A:$B,2,0),AK182,1),"")</f>
        <v>T</v>
      </c>
      <c r="AK182" s="2">
        <v>263</v>
      </c>
      <c r="AL182" s="3" t="str">
        <f>IFERROR(MID(VLOOKUP($B182,Seqs!$A:$B,2,0),AM182,1),"")</f>
        <v>K</v>
      </c>
      <c r="AM182" s="2">
        <v>303</v>
      </c>
      <c r="AN182" s="3" t="str">
        <f>IFERROR(MID(VLOOKUP($B182,Seqs!$A:$B,2,0),AO182,1),"")</f>
        <v>N</v>
      </c>
      <c r="AO182" s="2">
        <v>312</v>
      </c>
      <c r="AP182" s="3" t="str">
        <f>IFERROR(MID(VLOOKUP($B182,Seqs!$A:$B,2,0),AQ182,1),"")</f>
        <v>Y</v>
      </c>
      <c r="AQ182" s="2">
        <v>350</v>
      </c>
      <c r="AR182" s="3" t="str">
        <f>IFERROR(MID(VLOOKUP($B182,Seqs!$A:$B,2,0),AS182,1),"")</f>
        <v>R</v>
      </c>
      <c r="AS182" s="2">
        <v>357</v>
      </c>
      <c r="AT182" s="3" t="str">
        <f>IFERROR(MID(VLOOKUP($B182,Seqs!$A:$B,2,0),AU182,1),"")</f>
        <v>V</v>
      </c>
      <c r="AU182" s="2">
        <v>389</v>
      </c>
      <c r="AV182" s="3" t="str">
        <f>IFERROR(MID(VLOOKUP($B182,Seqs!$A:$B,2,0),AW182,1),"")</f>
        <v>S</v>
      </c>
      <c r="AW182" s="2">
        <v>390</v>
      </c>
      <c r="AX182" s="3" t="str">
        <f>IFERROR(MID(VLOOKUP($B182,Seqs!$A:$B,2,0),AY182,1),"")</f>
        <v>C</v>
      </c>
      <c r="AY182" s="2">
        <v>403</v>
      </c>
      <c r="AZ182" s="77" t="str">
        <f>VLOOKUP(B182,Classification!A:D,2,0)</f>
        <v>A</v>
      </c>
      <c r="BA182" s="94" t="str">
        <f>VLOOKUP(B182,Classification!A:D,4,0)</f>
        <v>Endothelin</v>
      </c>
      <c r="BB182" s="27" t="b">
        <f t="shared" si="840"/>
        <v>1</v>
      </c>
      <c r="BC182" s="23">
        <f t="shared" si="1007"/>
        <v>270</v>
      </c>
      <c r="BD182" s="2" t="s">
        <v>23</v>
      </c>
      <c r="BE182" s="3" t="s">
        <v>1375</v>
      </c>
      <c r="BF182" s="119">
        <v>2.5</v>
      </c>
      <c r="BG182" s="49" t="s">
        <v>1378</v>
      </c>
      <c r="BH182" s="49" t="s">
        <v>1378</v>
      </c>
      <c r="BI182" s="2"/>
      <c r="BJ182" s="70" t="s">
        <v>1288</v>
      </c>
      <c r="BK182" s="57" t="s">
        <v>1288</v>
      </c>
      <c r="BL182" s="57" t="s">
        <v>1288</v>
      </c>
      <c r="BM182" s="57" t="s">
        <v>1288</v>
      </c>
      <c r="BN182" s="57" t="s">
        <v>1288</v>
      </c>
      <c r="BO182" s="57" t="s">
        <v>1288</v>
      </c>
      <c r="BP182" s="57" t="s">
        <v>1288</v>
      </c>
      <c r="BQ182" s="57" t="s">
        <v>1288</v>
      </c>
      <c r="BR182" s="57" t="s">
        <v>1288</v>
      </c>
      <c r="BS182" s="57" t="s">
        <v>1288</v>
      </c>
      <c r="BT182" s="57" t="s">
        <v>1288</v>
      </c>
      <c r="BU182" s="57" t="s">
        <v>1288</v>
      </c>
      <c r="BV182" s="70">
        <f t="shared" si="1008"/>
        <v>91</v>
      </c>
      <c r="BW182" s="71">
        <f t="shared" si="1009"/>
        <v>130</v>
      </c>
      <c r="BX182" s="72">
        <f t="shared" si="1010"/>
        <v>135</v>
      </c>
      <c r="BY182" s="71">
        <f t="shared" si="1011"/>
        <v>166</v>
      </c>
      <c r="BZ182" s="72">
        <f t="shared" si="1012"/>
        <v>170</v>
      </c>
      <c r="CA182" s="71" t="str">
        <f t="shared" si="1013"/>
        <v>-</v>
      </c>
      <c r="CB182" s="72">
        <f t="shared" si="1014"/>
        <v>216</v>
      </c>
      <c r="CC182" s="71">
        <f t="shared" si="1015"/>
        <v>255</v>
      </c>
      <c r="CD182" s="72">
        <f t="shared" si="1016"/>
        <v>263</v>
      </c>
      <c r="CE182" s="71">
        <f t="shared" si="1017"/>
        <v>312</v>
      </c>
      <c r="CF182" s="72">
        <f t="shared" si="1018"/>
        <v>357</v>
      </c>
      <c r="CG182" s="71">
        <f t="shared" si="1019"/>
        <v>390</v>
      </c>
      <c r="CH182" s="70">
        <f t="shared" si="1020"/>
        <v>129</v>
      </c>
      <c r="CI182" s="71">
        <f t="shared" si="1021"/>
        <v>134</v>
      </c>
      <c r="CJ182" s="72">
        <f t="shared" si="1022"/>
        <v>164</v>
      </c>
      <c r="CK182" s="72">
        <f t="shared" si="1023"/>
        <v>169</v>
      </c>
      <c r="CL182" s="72">
        <f t="shared" si="1024"/>
        <v>205</v>
      </c>
      <c r="CM182" s="72" t="str">
        <f t="shared" si="1025"/>
        <v>-</v>
      </c>
      <c r="CN182" s="72">
        <f t="shared" si="1026"/>
        <v>240</v>
      </c>
      <c r="CO182" s="72">
        <f t="shared" si="1027"/>
        <v>257</v>
      </c>
      <c r="CP182" s="72">
        <f t="shared" si="1028"/>
        <v>303</v>
      </c>
      <c r="CQ182" s="72">
        <f t="shared" si="1029"/>
        <v>350</v>
      </c>
      <c r="CR182" s="72">
        <f t="shared" si="1030"/>
        <v>389</v>
      </c>
      <c r="CS182" s="72">
        <f t="shared" si="1031"/>
        <v>403</v>
      </c>
      <c r="CT182" s="23">
        <f t="shared" si="1032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>CONCATENATE(B183,"_",C183)</f>
        <v>ednrb_human_5X93</v>
      </c>
      <c r="B183" s="2" t="s">
        <v>196</v>
      </c>
      <c r="C183" s="2" t="s">
        <v>1439</v>
      </c>
      <c r="D183" s="3" t="str">
        <f>IFERROR(MID(VLOOKUP($B183,Seqs!$A:$B,2,0),E183,1),"")</f>
        <v>Q</v>
      </c>
      <c r="E183" s="2">
        <v>91</v>
      </c>
      <c r="F183" s="3" t="str">
        <f>IFERROR(MID(VLOOKUP($B183,Seqs!$A:$B,2,0),G183,1),"")</f>
        <v>N</v>
      </c>
      <c r="G183" s="2">
        <v>129</v>
      </c>
      <c r="H183" s="3" t="str">
        <f>IFERROR(MID(VLOOKUP($B183,Seqs!$A:$B,2,0),I183,1),"")</f>
        <v>K</v>
      </c>
      <c r="I183" s="56">
        <v>130</v>
      </c>
      <c r="J183" s="3" t="str">
        <f>IFERROR(MID(VLOOKUP($B183,Seqs!$A:$B,2,0),K183,1),"")</f>
        <v>N</v>
      </c>
      <c r="K183" s="56">
        <v>134</v>
      </c>
      <c r="L183" s="3" t="str">
        <f>IFERROR(MID(VLOOKUP($B183,Seqs!$A:$B,2,0),M183,1),"")</f>
        <v>G</v>
      </c>
      <c r="M183" s="2">
        <v>135</v>
      </c>
      <c r="N183" s="3" t="str">
        <f>IFERROR(MID(VLOOKUP($B183,Seqs!$A:$B,2,0),O183,1),"")</f>
        <v>A</v>
      </c>
      <c r="O183" s="2">
        <v>164</v>
      </c>
      <c r="P183" s="3" t="str">
        <f>IFERROR(MID(VLOOKUP($B183,Seqs!$A:$B,2,0),Q183,1),"")</f>
        <v>D</v>
      </c>
      <c r="Q183" s="2">
        <v>166</v>
      </c>
      <c r="R183" s="3" t="str">
        <f>IFERROR(MID(VLOOKUP($B183,Seqs!$A:$B,2,0),S183,1),"")</f>
        <v>F</v>
      </c>
      <c r="S183" s="2">
        <v>169</v>
      </c>
      <c r="T183" s="3" t="str">
        <f>IFERROR(MID(VLOOKUP($B183,Seqs!$A:$B,2,0),U183,1),"")</f>
        <v>G</v>
      </c>
      <c r="U183" s="4">
        <v>170</v>
      </c>
      <c r="V183" s="3" t="str">
        <f>IFERROR(MID(VLOOKUP($B183,Seqs!$A:$B,2,0),W183,1),"")</f>
        <v>S</v>
      </c>
      <c r="W183" s="2">
        <v>205</v>
      </c>
      <c r="X183" s="3" t="str">
        <f>IFERROR(MID(VLOOKUP($B183,Seqs!$A:$B,2,0),Y183,1),"")</f>
        <v/>
      </c>
      <c r="Y183" s="2" t="s">
        <v>23</v>
      </c>
      <c r="Z183" s="3" t="str">
        <f>IFERROR(MID(VLOOKUP($B183,Seqs!$A:$B,2,0),AA183,1),"")</f>
        <v/>
      </c>
      <c r="AA183" s="2" t="s">
        <v>23</v>
      </c>
      <c r="AB183" s="3" t="str">
        <f>IFERROR(MID(VLOOKUP($B183,Seqs!$A:$B,2,0),AC183,1),"")</f>
        <v>K</v>
      </c>
      <c r="AC183" s="2">
        <v>216</v>
      </c>
      <c r="AD183" s="3" t="str">
        <f>IFERROR(MID(VLOOKUP($B183,Seqs!$A:$B,2,0),AE183,1),"")</f>
        <v>F</v>
      </c>
      <c r="AE183" s="2">
        <v>240</v>
      </c>
      <c r="AF183" s="3" t="str">
        <f>IFERROR(MID(VLOOKUP($B183,Seqs!$A:$B,2,0),AG183,1),"")</f>
        <v>C</v>
      </c>
      <c r="AG183" s="2">
        <v>255</v>
      </c>
      <c r="AH183" s="3" t="str">
        <f>IFERROR(MID(VLOOKUP($B183,Seqs!$A:$B,2,0),AI183,1),"")</f>
        <v>L</v>
      </c>
      <c r="AI183" s="2">
        <v>257</v>
      </c>
      <c r="AJ183" s="3" t="str">
        <f>IFERROR(MID(VLOOKUP($B183,Seqs!$A:$B,2,0),AK183,1),"")</f>
        <v>T</v>
      </c>
      <c r="AK183" s="2">
        <v>263</v>
      </c>
      <c r="AL183" s="3" t="str">
        <f>IFERROR(MID(VLOOKUP($B183,Seqs!$A:$B,2,0),AM183,1),"")</f>
        <v>K</v>
      </c>
      <c r="AM183" s="2">
        <v>303</v>
      </c>
      <c r="AN183" s="3" t="str">
        <f>IFERROR(MID(VLOOKUP($B183,Seqs!$A:$B,2,0),AO183,1),"")</f>
        <v>N</v>
      </c>
      <c r="AO183" s="2">
        <v>312</v>
      </c>
      <c r="AP183" s="3" t="str">
        <f>IFERROR(MID(VLOOKUP($B183,Seqs!$A:$B,2,0),AQ183,1),"")</f>
        <v>Y</v>
      </c>
      <c r="AQ183" s="2">
        <v>350</v>
      </c>
      <c r="AR183" s="3" t="str">
        <f>IFERROR(MID(VLOOKUP($B183,Seqs!$A:$B,2,0),AS183,1),"")</f>
        <v>R</v>
      </c>
      <c r="AS183" s="2">
        <v>357</v>
      </c>
      <c r="AT183" s="3" t="str">
        <f>IFERROR(MID(VLOOKUP($B183,Seqs!$A:$B,2,0),AU183,1),"")</f>
        <v>V</v>
      </c>
      <c r="AU183" s="2">
        <v>389</v>
      </c>
      <c r="AV183" s="3" t="str">
        <f>IFERROR(MID(VLOOKUP($B183,Seqs!$A:$B,2,0),AW183,1),"")</f>
        <v>S</v>
      </c>
      <c r="AW183" s="2">
        <v>390</v>
      </c>
      <c r="AX183" s="3" t="str">
        <f>IFERROR(MID(VLOOKUP($B183,Seqs!$A:$B,2,0),AY183,1),"")</f>
        <v>C</v>
      </c>
      <c r="AY183" s="2">
        <v>403</v>
      </c>
      <c r="AZ183" s="77" t="str">
        <f>VLOOKUP(B183,Classification!A:D,2,0)</f>
        <v>A</v>
      </c>
      <c r="BA183" s="94" t="str">
        <f>VLOOKUP(B183,Classification!A:D,4,0)</f>
        <v>Endothelin</v>
      </c>
      <c r="BB183" s="27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>_xlfn.AGGREGATE(9,6,CH183:CS183)-_xlfn.AGGREGATE(9,6,BV183:CG183)+12</f>
        <v>270</v>
      </c>
      <c r="BD183" s="2" t="s">
        <v>1377</v>
      </c>
      <c r="BE183" s="3" t="s">
        <v>1375</v>
      </c>
      <c r="BF183" s="119">
        <v>2.2000000000000002</v>
      </c>
      <c r="BG183" s="49" t="s">
        <v>1</v>
      </c>
      <c r="BH183" s="49" t="s">
        <v>1</v>
      </c>
      <c r="BI183" s="2"/>
      <c r="BJ183" s="70" t="s">
        <v>1288</v>
      </c>
      <c r="BK183" s="57" t="s">
        <v>1288</v>
      </c>
      <c r="BL183" s="57" t="s">
        <v>1288</v>
      </c>
      <c r="BM183" s="57" t="s">
        <v>1288</v>
      </c>
      <c r="BN183" s="57" t="s">
        <v>1288</v>
      </c>
      <c r="BO183" s="57" t="s">
        <v>1288</v>
      </c>
      <c r="BP183" s="57" t="s">
        <v>1288</v>
      </c>
      <c r="BQ183" s="57" t="s">
        <v>1288</v>
      </c>
      <c r="BR183" s="57" t="s">
        <v>1288</v>
      </c>
      <c r="BS183" s="57" t="s">
        <v>1288</v>
      </c>
      <c r="BT183" s="57" t="s">
        <v>1288</v>
      </c>
      <c r="BU183" s="57" t="s">
        <v>1288</v>
      </c>
      <c r="BV183" s="70">
        <f>E183</f>
        <v>91</v>
      </c>
      <c r="BW183" s="71">
        <f>I183</f>
        <v>130</v>
      </c>
      <c r="BX183" s="72">
        <f>M183</f>
        <v>135</v>
      </c>
      <c r="BY183" s="71">
        <f>Q183</f>
        <v>166</v>
      </c>
      <c r="BZ183" s="72">
        <f>U183</f>
        <v>170</v>
      </c>
      <c r="CA183" s="71" t="str">
        <f>Y183</f>
        <v>-</v>
      </c>
      <c r="CB183" s="72">
        <f>AC183</f>
        <v>216</v>
      </c>
      <c r="CC183" s="71">
        <f>AG183</f>
        <v>255</v>
      </c>
      <c r="CD183" s="72">
        <f>AK183</f>
        <v>263</v>
      </c>
      <c r="CE183" s="71">
        <f>AO183</f>
        <v>312</v>
      </c>
      <c r="CF183" s="72">
        <f>AS183</f>
        <v>357</v>
      </c>
      <c r="CG183" s="71">
        <f>AW183</f>
        <v>390</v>
      </c>
      <c r="CH183" s="70">
        <f>G183</f>
        <v>129</v>
      </c>
      <c r="CI183" s="71">
        <f>K183</f>
        <v>134</v>
      </c>
      <c r="CJ183" s="72">
        <f>O183</f>
        <v>164</v>
      </c>
      <c r="CK183" s="72">
        <f>S183</f>
        <v>169</v>
      </c>
      <c r="CL183" s="72">
        <f>W183</f>
        <v>205</v>
      </c>
      <c r="CM183" s="72" t="str">
        <f>AA183</f>
        <v>-</v>
      </c>
      <c r="CN183" s="72">
        <f>AE183</f>
        <v>240</v>
      </c>
      <c r="CO183" s="72">
        <f>AI183</f>
        <v>257</v>
      </c>
      <c r="CP183" s="72">
        <f>AM183</f>
        <v>303</v>
      </c>
      <c r="CQ183" s="72">
        <f>AQ183</f>
        <v>350</v>
      </c>
      <c r="CR183" s="72">
        <f>AU183</f>
        <v>389</v>
      </c>
      <c r="CS183" s="72">
        <f>AY183</f>
        <v>403</v>
      </c>
      <c r="CT183" s="23">
        <f>M183-K183</f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>CONCATENATE(B184,"_",C184)</f>
        <v>ednrb_human_5XPR</v>
      </c>
      <c r="B184" s="2" t="s">
        <v>196</v>
      </c>
      <c r="C184" s="2" t="s">
        <v>1440</v>
      </c>
      <c r="D184" s="3" t="str">
        <f>IFERROR(MID(VLOOKUP($B184,Seqs!$A:$B,2,0),E184,1),"")</f>
        <v>G</v>
      </c>
      <c r="E184" s="2">
        <v>92</v>
      </c>
      <c r="F184" s="3" t="str">
        <f>IFERROR(MID(VLOOKUP($B184,Seqs!$A:$B,2,0),G184,1),"")</f>
        <v>N</v>
      </c>
      <c r="G184" s="2">
        <v>129</v>
      </c>
      <c r="H184" s="3" t="str">
        <f>IFERROR(MID(VLOOKUP($B184,Seqs!$A:$B,2,0),I184,1),"")</f>
        <v>K</v>
      </c>
      <c r="I184" s="56">
        <v>130</v>
      </c>
      <c r="J184" s="3" t="str">
        <f>IFERROR(MID(VLOOKUP($B184,Seqs!$A:$B,2,0),K184,1),"")</f>
        <v>N</v>
      </c>
      <c r="K184" s="56">
        <v>134</v>
      </c>
      <c r="L184" s="3" t="str">
        <f>IFERROR(MID(VLOOKUP($B184,Seqs!$A:$B,2,0),M184,1),"")</f>
        <v>G</v>
      </c>
      <c r="M184" s="2">
        <v>135</v>
      </c>
      <c r="N184" s="3" t="str">
        <f>IFERROR(MID(VLOOKUP($B184,Seqs!$A:$B,2,0),O184,1),"")</f>
        <v>A</v>
      </c>
      <c r="O184" s="2">
        <v>164</v>
      </c>
      <c r="P184" s="3" t="str">
        <f>IFERROR(MID(VLOOKUP($B184,Seqs!$A:$B,2,0),Q184,1),"")</f>
        <v>D</v>
      </c>
      <c r="Q184" s="2">
        <v>166</v>
      </c>
      <c r="R184" s="3" t="str">
        <f>IFERROR(MID(VLOOKUP($B184,Seqs!$A:$B,2,0),S184,1),"")</f>
        <v>F</v>
      </c>
      <c r="S184" s="2">
        <v>169</v>
      </c>
      <c r="T184" s="3" t="str">
        <f>IFERROR(MID(VLOOKUP($B184,Seqs!$A:$B,2,0),U184,1),"")</f>
        <v>A</v>
      </c>
      <c r="U184" s="4">
        <v>171</v>
      </c>
      <c r="V184" s="3" t="str">
        <f>IFERROR(MID(VLOOKUP($B184,Seqs!$A:$B,2,0),W184,1),"")</f>
        <v>A</v>
      </c>
      <c r="W184" s="2">
        <v>202</v>
      </c>
      <c r="X184" s="3" t="str">
        <f>IFERROR(MID(VLOOKUP($B184,Seqs!$A:$B,2,0),Y184,1),"")</f>
        <v/>
      </c>
      <c r="Y184" s="2" t="s">
        <v>23</v>
      </c>
      <c r="Z184" s="3" t="str">
        <f>IFERROR(MID(VLOOKUP($B184,Seqs!$A:$B,2,0),AA184,1),"")</f>
        <v/>
      </c>
      <c r="AA184" s="2" t="s">
        <v>23</v>
      </c>
      <c r="AB184" s="3" t="str">
        <f>IFERROR(MID(VLOOKUP($B184,Seqs!$A:$B,2,0),AC184,1),"")</f>
        <v>K</v>
      </c>
      <c r="AC184" s="2">
        <v>216</v>
      </c>
      <c r="AD184" s="3" t="str">
        <f>IFERROR(MID(VLOOKUP($B184,Seqs!$A:$B,2,0),AE184,1),"")</f>
        <v>F</v>
      </c>
      <c r="AE184" s="2">
        <v>240</v>
      </c>
      <c r="AF184" s="3" t="str">
        <f>IFERROR(MID(VLOOKUP($B184,Seqs!$A:$B,2,0),AG184,1),"")</f>
        <v>C</v>
      </c>
      <c r="AG184" s="2">
        <v>255</v>
      </c>
      <c r="AH184" s="3" t="str">
        <f>IFERROR(MID(VLOOKUP($B184,Seqs!$A:$B,2,0),AI184,1),"")</f>
        <v>L</v>
      </c>
      <c r="AI184" s="2">
        <v>257</v>
      </c>
      <c r="AJ184" s="3" t="str">
        <f>IFERROR(MID(VLOOKUP($B184,Seqs!$A:$B,2,0),AK184,1),"")</f>
        <v>T</v>
      </c>
      <c r="AK184" s="2">
        <v>263</v>
      </c>
      <c r="AL184" s="3" t="str">
        <f>IFERROR(MID(VLOOKUP($B184,Seqs!$A:$B,2,0),AM184,1),"")</f>
        <v>K</v>
      </c>
      <c r="AM184" s="2">
        <v>303</v>
      </c>
      <c r="AN184" s="3" t="str">
        <f>IFERROR(MID(VLOOKUP($B184,Seqs!$A:$B,2,0),AO184,1),"")</f>
        <v>N</v>
      </c>
      <c r="AO184" s="2">
        <v>312</v>
      </c>
      <c r="AP184" s="3" t="str">
        <f>IFERROR(MID(VLOOKUP($B184,Seqs!$A:$B,2,0),AQ184,1),"")</f>
        <v>L</v>
      </c>
      <c r="AQ184" s="2">
        <v>349</v>
      </c>
      <c r="AR184" s="3" t="str">
        <f>IFERROR(MID(VLOOKUP($B184,Seqs!$A:$B,2,0),AS184,1),"")</f>
        <v>N</v>
      </c>
      <c r="AS184" s="2">
        <v>356</v>
      </c>
      <c r="AT184" s="3" t="str">
        <f>IFERROR(MID(VLOOKUP($B184,Seqs!$A:$B,2,0),AU184,1),"")</f>
        <v>V</v>
      </c>
      <c r="AU184" s="2">
        <v>389</v>
      </c>
      <c r="AV184" s="3" t="str">
        <f>IFERROR(MID(VLOOKUP($B184,Seqs!$A:$B,2,0),AW184,1),"")</f>
        <v>S</v>
      </c>
      <c r="AW184" s="2">
        <v>390</v>
      </c>
      <c r="AX184" s="3" t="str">
        <f>IFERROR(MID(VLOOKUP($B184,Seqs!$A:$B,2,0),AY184,1),"")</f>
        <v>C</v>
      </c>
      <c r="AY184" s="2">
        <v>402</v>
      </c>
      <c r="AZ184" s="77" t="str">
        <f>VLOOKUP(B184,Classification!A:D,2,0)</f>
        <v>A</v>
      </c>
      <c r="BA184" s="94" t="str">
        <f>VLOOKUP(B184,Classification!A:D,4,0)</f>
        <v>Endothelin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264</v>
      </c>
      <c r="BD184" s="2" t="s">
        <v>23</v>
      </c>
      <c r="BE184" s="3" t="s">
        <v>1375</v>
      </c>
      <c r="BF184" s="119">
        <v>3.6</v>
      </c>
      <c r="BG184" s="49" t="s">
        <v>1</v>
      </c>
      <c r="BH184" s="49" t="s">
        <v>1</v>
      </c>
      <c r="BI184" s="2"/>
      <c r="BJ184" s="70" t="s">
        <v>1288</v>
      </c>
      <c r="BK184" s="57" t="s">
        <v>1288</v>
      </c>
      <c r="BL184" s="57" t="s">
        <v>1288</v>
      </c>
      <c r="BM184" s="57" t="s">
        <v>1288</v>
      </c>
      <c r="BN184" s="57" t="s">
        <v>1288</v>
      </c>
      <c r="BO184" s="57" t="s">
        <v>1288</v>
      </c>
      <c r="BP184" s="57" t="s">
        <v>1288</v>
      </c>
      <c r="BQ184" s="57" t="s">
        <v>1288</v>
      </c>
      <c r="BR184" s="57" t="s">
        <v>1288</v>
      </c>
      <c r="BS184" s="57" t="s">
        <v>1288</v>
      </c>
      <c r="BT184" s="57" t="s">
        <v>1288</v>
      </c>
      <c r="BU184" s="57" t="s">
        <v>1288</v>
      </c>
      <c r="BV184" s="70">
        <f>E184</f>
        <v>92</v>
      </c>
      <c r="BW184" s="71">
        <f>I184</f>
        <v>130</v>
      </c>
      <c r="BX184" s="72">
        <f>M184</f>
        <v>135</v>
      </c>
      <c r="BY184" s="71">
        <f>Q184</f>
        <v>166</v>
      </c>
      <c r="BZ184" s="72">
        <f>U184</f>
        <v>171</v>
      </c>
      <c r="CA184" s="71" t="str">
        <f>Y184</f>
        <v>-</v>
      </c>
      <c r="CB184" s="72">
        <f>AC184</f>
        <v>216</v>
      </c>
      <c r="CC184" s="71">
        <f>AG184</f>
        <v>255</v>
      </c>
      <c r="CD184" s="72">
        <f>AK184</f>
        <v>263</v>
      </c>
      <c r="CE184" s="71">
        <f>AO184</f>
        <v>312</v>
      </c>
      <c r="CF184" s="72">
        <f>AS184</f>
        <v>356</v>
      </c>
      <c r="CG184" s="71">
        <f>AW184</f>
        <v>390</v>
      </c>
      <c r="CH184" s="70">
        <f>G184</f>
        <v>129</v>
      </c>
      <c r="CI184" s="71">
        <f>K184</f>
        <v>134</v>
      </c>
      <c r="CJ184" s="72">
        <f>O184</f>
        <v>164</v>
      </c>
      <c r="CK184" s="72">
        <f>S184</f>
        <v>169</v>
      </c>
      <c r="CL184" s="72">
        <f>W184</f>
        <v>202</v>
      </c>
      <c r="CM184" s="72" t="str">
        <f>AA184</f>
        <v>-</v>
      </c>
      <c r="CN184" s="72">
        <f>AE184</f>
        <v>240</v>
      </c>
      <c r="CO184" s="72">
        <f>AI184</f>
        <v>257</v>
      </c>
      <c r="CP184" s="72">
        <f>AM184</f>
        <v>303</v>
      </c>
      <c r="CQ184" s="72">
        <f>AQ184</f>
        <v>349</v>
      </c>
      <c r="CR184" s="72">
        <f>AU184</f>
        <v>389</v>
      </c>
      <c r="CS184" s="72">
        <f>AY184</f>
        <v>402</v>
      </c>
      <c r="CT184" s="23">
        <f>M184-K184</f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s="12" customFormat="1" x14ac:dyDescent="0.2">
      <c r="A185" s="9" t="str">
        <f>CONCATENATE(B185,"_",C185)</f>
        <v>ednrb_human_6IGL</v>
      </c>
      <c r="B185" s="40" t="s">
        <v>196</v>
      </c>
      <c r="C185" s="40" t="s">
        <v>1529</v>
      </c>
      <c r="D185" s="9" t="str">
        <f>IFERROR(MID(VLOOKUP($B185,Seqs!$A:$B,2,0),E185,1),"")</f>
        <v>K</v>
      </c>
      <c r="E185" s="40">
        <v>97</v>
      </c>
      <c r="F185" s="9" t="str">
        <f>IFERROR(MID(VLOOKUP($B185,Seqs!$A:$B,2,0),G185,1),"")</f>
        <v>N</v>
      </c>
      <c r="G185" s="40">
        <v>129</v>
      </c>
      <c r="H185" s="9" t="str">
        <f>IFERROR(MID(VLOOKUP($B185,Seqs!$A:$B,2,0),I185,1),"")</f>
        <v/>
      </c>
      <c r="I185" s="130" t="s">
        <v>23</v>
      </c>
      <c r="J185" s="9" t="str">
        <f>IFERROR(MID(VLOOKUP($B185,Seqs!$A:$B,2,0),K185,1),"")</f>
        <v/>
      </c>
      <c r="K185" s="130" t="s">
        <v>23</v>
      </c>
      <c r="L185" s="9" t="str">
        <f>IFERROR(MID(VLOOKUP($B185,Seqs!$A:$B,2,0),M185,1),"")</f>
        <v>N</v>
      </c>
      <c r="M185" s="40">
        <v>134</v>
      </c>
      <c r="N185" s="9" t="str">
        <f>IFERROR(MID(VLOOKUP($B185,Seqs!$A:$B,2,0),O185,1),"")</f>
        <v>E</v>
      </c>
      <c r="O185" s="40">
        <v>165</v>
      </c>
      <c r="P185" s="9" t="str">
        <f>IFERROR(MID(VLOOKUP($B185,Seqs!$A:$B,2,0),Q185,1),"")</f>
        <v>D</v>
      </c>
      <c r="Q185" s="40">
        <v>166</v>
      </c>
      <c r="R185" s="9" t="str">
        <f>IFERROR(MID(VLOOKUP($B185,Seqs!$A:$B,2,0),S185,1),"")</f>
        <v>F</v>
      </c>
      <c r="S185" s="40">
        <v>169</v>
      </c>
      <c r="T185" s="9" t="str">
        <f>IFERROR(MID(VLOOKUP($B185,Seqs!$A:$B,2,0),U185,1),"")</f>
        <v>G</v>
      </c>
      <c r="U185" s="11">
        <v>170</v>
      </c>
      <c r="V185" s="9" t="str">
        <f>IFERROR(MID(VLOOKUP($B185,Seqs!$A:$B,2,0),W185,1),"")</f>
        <v>V</v>
      </c>
      <c r="W185" s="40">
        <v>203</v>
      </c>
      <c r="X185" s="9" t="str">
        <f>IFERROR(MID(VLOOKUP($B185,Seqs!$A:$B,2,0),Y185,1),"")</f>
        <v/>
      </c>
      <c r="Y185" s="40" t="s">
        <v>23</v>
      </c>
      <c r="Z185" s="9" t="str">
        <f>IFERROR(MID(VLOOKUP($B185,Seqs!$A:$B,2,0),AA185,1),"")</f>
        <v/>
      </c>
      <c r="AA185" s="40" t="s">
        <v>23</v>
      </c>
      <c r="AB185" s="9" t="str">
        <f>IFERROR(MID(VLOOKUP($B185,Seqs!$A:$B,2,0),AC185,1),"")</f>
        <v>W</v>
      </c>
      <c r="AC185" s="40">
        <v>217</v>
      </c>
      <c r="AD185" s="9" t="str">
        <f>IFERROR(MID(VLOOKUP($B185,Seqs!$A:$B,2,0),AE185,1),"")</f>
        <v>F</v>
      </c>
      <c r="AE185" s="40">
        <v>240</v>
      </c>
      <c r="AF185" s="9" t="str">
        <f>IFERROR(MID(VLOOKUP($B185,Seqs!$A:$B,2,0),AG185,1),"")</f>
        <v>C</v>
      </c>
      <c r="AG185" s="40">
        <v>255</v>
      </c>
      <c r="AH185" s="9" t="str">
        <f>IFERROR(MID(VLOOKUP($B185,Seqs!$A:$B,2,0),AI185,1),"")</f>
        <v>L</v>
      </c>
      <c r="AI185" s="40">
        <v>257</v>
      </c>
      <c r="AJ185" s="9" t="str">
        <f>IFERROR(MID(VLOOKUP($B185,Seqs!$A:$B,2,0),AK185,1),"")</f>
        <v>T</v>
      </c>
      <c r="AK185" s="40">
        <v>263</v>
      </c>
      <c r="AL185" s="9" t="str">
        <f>IFERROR(MID(VLOOKUP($B185,Seqs!$A:$B,2,0),AM185,1),"")</f>
        <v>K</v>
      </c>
      <c r="AM185" s="40">
        <v>303</v>
      </c>
      <c r="AN185" s="9" t="str">
        <f>IFERROR(MID(VLOOKUP($B185,Seqs!$A:$B,2,0),AO185,1),"")</f>
        <v>N</v>
      </c>
      <c r="AO185" s="40">
        <v>312</v>
      </c>
      <c r="AP185" s="9" t="str">
        <f>IFERROR(MID(VLOOKUP($B185,Seqs!$A:$B,2,0),AQ185,1),"")</f>
        <v>Y</v>
      </c>
      <c r="AQ185" s="40">
        <v>350</v>
      </c>
      <c r="AR185" s="9" t="str">
        <f>IFERROR(MID(VLOOKUP($B185,Seqs!$A:$B,2,0),AS185,1),"")</f>
        <v>R</v>
      </c>
      <c r="AS185" s="40">
        <v>357</v>
      </c>
      <c r="AT185" s="9" t="str">
        <f>IFERROR(MID(VLOOKUP($B185,Seqs!$A:$B,2,0),AU185,1),"")</f>
        <v>V</v>
      </c>
      <c r="AU185" s="40">
        <v>389</v>
      </c>
      <c r="AV185" s="9" t="str">
        <f>IFERROR(MID(VLOOKUP($B185,Seqs!$A:$B,2,0),AW185,1),"")</f>
        <v>S</v>
      </c>
      <c r="AW185" s="40">
        <v>390</v>
      </c>
      <c r="AX185" s="9" t="str">
        <f>IFERROR(MID(VLOOKUP($B185,Seqs!$A:$B,2,0),AY185,1),"")</f>
        <v>L</v>
      </c>
      <c r="AY185" s="40">
        <v>401</v>
      </c>
      <c r="AZ185" s="110" t="str">
        <f>VLOOKUP(B185,Classification!A:D,2,0)</f>
        <v>A</v>
      </c>
      <c r="BA185" s="98" t="str">
        <f>VLOOKUP(B185,Classification!A:D,4,0)</f>
        <v>Endothelin</v>
      </c>
      <c r="BB185" s="36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>_xlfn.AGGREGATE(9,6,CH185:CS185)-_xlfn.AGGREGATE(9,6,BV185:CG185)+12</f>
        <v>257</v>
      </c>
      <c r="BD185" s="40" t="s">
        <v>23</v>
      </c>
      <c r="BE185" s="9" t="s">
        <v>1375</v>
      </c>
      <c r="BF185" s="120">
        <v>2.7</v>
      </c>
      <c r="BG185" s="51" t="s">
        <v>1</v>
      </c>
      <c r="BH185" s="51" t="s">
        <v>1</v>
      </c>
      <c r="BI185" s="40"/>
      <c r="BJ185" s="111" t="s">
        <v>1288</v>
      </c>
      <c r="BK185" s="112" t="s">
        <v>1288</v>
      </c>
      <c r="BL185" s="112" t="s">
        <v>1288</v>
      </c>
      <c r="BM185" s="112" t="s">
        <v>1288</v>
      </c>
      <c r="BN185" s="112" t="s">
        <v>1288</v>
      </c>
      <c r="BO185" s="112" t="s">
        <v>1288</v>
      </c>
      <c r="BP185" s="112" t="s">
        <v>1288</v>
      </c>
      <c r="BQ185" s="112" t="s">
        <v>1288</v>
      </c>
      <c r="BR185" s="112" t="s">
        <v>1288</v>
      </c>
      <c r="BS185" s="112" t="s">
        <v>1288</v>
      </c>
      <c r="BT185" s="112" t="s">
        <v>1288</v>
      </c>
      <c r="BU185" s="112" t="s">
        <v>1288</v>
      </c>
      <c r="BV185" s="111">
        <f>E185</f>
        <v>97</v>
      </c>
      <c r="BW185" s="113" t="str">
        <f>I185</f>
        <v>-</v>
      </c>
      <c r="BX185" s="114">
        <f>M185</f>
        <v>134</v>
      </c>
      <c r="BY185" s="113">
        <f>Q185</f>
        <v>166</v>
      </c>
      <c r="BZ185" s="114">
        <f>U185</f>
        <v>170</v>
      </c>
      <c r="CA185" s="113" t="str">
        <f>Y185</f>
        <v>-</v>
      </c>
      <c r="CB185" s="114">
        <f>AC185</f>
        <v>217</v>
      </c>
      <c r="CC185" s="113">
        <f>AG185</f>
        <v>255</v>
      </c>
      <c r="CD185" s="114">
        <f>AK185</f>
        <v>263</v>
      </c>
      <c r="CE185" s="113">
        <f>AO185</f>
        <v>312</v>
      </c>
      <c r="CF185" s="114">
        <f>AS185</f>
        <v>357</v>
      </c>
      <c r="CG185" s="113">
        <f>AW185</f>
        <v>390</v>
      </c>
      <c r="CH185" s="111">
        <f>G185</f>
        <v>129</v>
      </c>
      <c r="CI185" s="113" t="str">
        <f>K185</f>
        <v>-</v>
      </c>
      <c r="CJ185" s="114">
        <f>O185</f>
        <v>165</v>
      </c>
      <c r="CK185" s="114">
        <f>S185</f>
        <v>169</v>
      </c>
      <c r="CL185" s="114">
        <f>W185</f>
        <v>203</v>
      </c>
      <c r="CM185" s="114" t="str">
        <f>AA185</f>
        <v>-</v>
      </c>
      <c r="CN185" s="114">
        <f>AE185</f>
        <v>240</v>
      </c>
      <c r="CO185" s="114">
        <f>AI185</f>
        <v>257</v>
      </c>
      <c r="CP185" s="114">
        <f>AM185</f>
        <v>303</v>
      </c>
      <c r="CQ185" s="114">
        <f>AQ185</f>
        <v>350</v>
      </c>
      <c r="CR185" s="114">
        <f>AU185</f>
        <v>389</v>
      </c>
      <c r="CS185" s="114">
        <f>AY185</f>
        <v>401</v>
      </c>
      <c r="CT185" s="109" t="e">
        <f>M185-K185</f>
        <v>#VALUE!</v>
      </c>
    </row>
    <row r="186" spans="1:1029" s="12" customFormat="1" x14ac:dyDescent="0.2">
      <c r="A186" s="9" t="str">
        <f>CONCATENATE(B186,"_",C186)</f>
        <v>ednrb_human_6IGK</v>
      </c>
      <c r="B186" s="40" t="s">
        <v>196</v>
      </c>
      <c r="C186" s="40" t="s">
        <v>1530</v>
      </c>
      <c r="D186" s="9" t="str">
        <f>IFERROR(MID(VLOOKUP($B186,Seqs!$A:$B,2,0),E186,1),"")</f>
        <v>K</v>
      </c>
      <c r="E186" s="40">
        <v>97</v>
      </c>
      <c r="F186" s="9" t="str">
        <f>IFERROR(MID(VLOOKUP($B186,Seqs!$A:$B,2,0),G186,1),"")</f>
        <v>N</v>
      </c>
      <c r="G186" s="40">
        <v>129</v>
      </c>
      <c r="H186" s="9" t="str">
        <f>IFERROR(MID(VLOOKUP($B186,Seqs!$A:$B,2,0),I186,1),"")</f>
        <v/>
      </c>
      <c r="I186" s="130" t="s">
        <v>23</v>
      </c>
      <c r="J186" s="9" t="str">
        <f>IFERROR(MID(VLOOKUP($B186,Seqs!$A:$B,2,0),K186,1),"")</f>
        <v/>
      </c>
      <c r="K186" s="130" t="s">
        <v>23</v>
      </c>
      <c r="L186" s="9" t="str">
        <f>IFERROR(MID(VLOOKUP($B186,Seqs!$A:$B,2,0),M186,1),"")</f>
        <v>N</v>
      </c>
      <c r="M186" s="40">
        <v>134</v>
      </c>
      <c r="N186" s="9" t="str">
        <f>IFERROR(MID(VLOOKUP($B186,Seqs!$A:$B,2,0),O186,1),"")</f>
        <v>E</v>
      </c>
      <c r="O186" s="40">
        <v>165</v>
      </c>
      <c r="P186" s="9" t="str">
        <f>IFERROR(MID(VLOOKUP($B186,Seqs!$A:$B,2,0),Q186,1),"")</f>
        <v>D</v>
      </c>
      <c r="Q186" s="40">
        <v>166</v>
      </c>
      <c r="R186" s="9" t="str">
        <f>IFERROR(MID(VLOOKUP($B186,Seqs!$A:$B,2,0),S186,1),"")</f>
        <v>F</v>
      </c>
      <c r="S186" s="40">
        <v>169</v>
      </c>
      <c r="T186" s="9" t="str">
        <f>IFERROR(MID(VLOOKUP($B186,Seqs!$A:$B,2,0),U186,1),"")</f>
        <v>G</v>
      </c>
      <c r="U186" s="11">
        <v>170</v>
      </c>
      <c r="V186" s="9" t="str">
        <f>IFERROR(MID(VLOOKUP($B186,Seqs!$A:$B,2,0),W186,1),"")</f>
        <v>S</v>
      </c>
      <c r="W186" s="40">
        <v>205</v>
      </c>
      <c r="X186" s="9" t="str">
        <f>IFERROR(MID(VLOOKUP($B186,Seqs!$A:$B,2,0),Y186,1),"")</f>
        <v/>
      </c>
      <c r="Y186" s="40" t="s">
        <v>23</v>
      </c>
      <c r="Z186" s="9" t="str">
        <f>IFERROR(MID(VLOOKUP($B186,Seqs!$A:$B,2,0),AA186,1),"")</f>
        <v/>
      </c>
      <c r="AA186" s="40" t="s">
        <v>23</v>
      </c>
      <c r="AB186" s="9" t="str">
        <f>IFERROR(MID(VLOOKUP($B186,Seqs!$A:$B,2,0),AC186,1),"")</f>
        <v>P</v>
      </c>
      <c r="AC186" s="40">
        <v>215</v>
      </c>
      <c r="AD186" s="9" t="str">
        <f>IFERROR(MID(VLOOKUP($B186,Seqs!$A:$B,2,0),AE186,1),"")</f>
        <v>F</v>
      </c>
      <c r="AE186" s="40">
        <v>240</v>
      </c>
      <c r="AF186" s="9" t="str">
        <f>IFERROR(MID(VLOOKUP($B186,Seqs!$A:$B,2,0),AG186,1),"")</f>
        <v>C</v>
      </c>
      <c r="AG186" s="40">
        <v>255</v>
      </c>
      <c r="AH186" s="9" t="str">
        <f>IFERROR(MID(VLOOKUP($B186,Seqs!$A:$B,2,0),AI186,1),"")</f>
        <v>L</v>
      </c>
      <c r="AI186" s="40">
        <v>257</v>
      </c>
      <c r="AJ186" s="9" t="str">
        <f>IFERROR(MID(VLOOKUP($B186,Seqs!$A:$B,2,0),AK186,1),"")</f>
        <v>T</v>
      </c>
      <c r="AK186" s="40">
        <v>263</v>
      </c>
      <c r="AL186" s="9" t="str">
        <f>IFERROR(MID(VLOOKUP($B186,Seqs!$A:$B,2,0),AM186,1),"")</f>
        <v>K</v>
      </c>
      <c r="AM186" s="40">
        <v>303</v>
      </c>
      <c r="AN186" s="9" t="str">
        <f>IFERROR(MID(VLOOKUP($B186,Seqs!$A:$B,2,0),AO186,1),"")</f>
        <v>N</v>
      </c>
      <c r="AO186" s="40">
        <v>312</v>
      </c>
      <c r="AP186" s="9" t="str">
        <f>IFERROR(MID(VLOOKUP($B186,Seqs!$A:$B,2,0),AQ186,1),"")</f>
        <v>Y</v>
      </c>
      <c r="AQ186" s="40">
        <v>350</v>
      </c>
      <c r="AR186" s="9" t="str">
        <f>IFERROR(MID(VLOOKUP($B186,Seqs!$A:$B,2,0),AS186,1),"")</f>
        <v>N</v>
      </c>
      <c r="AS186" s="40">
        <v>356</v>
      </c>
      <c r="AT186" s="9" t="str">
        <f>IFERROR(MID(VLOOKUP($B186,Seqs!$A:$B,2,0),AU186,1),"")</f>
        <v>V</v>
      </c>
      <c r="AU186" s="40">
        <v>389</v>
      </c>
      <c r="AV186" s="9" t="str">
        <f>IFERROR(MID(VLOOKUP($B186,Seqs!$A:$B,2,0),AW186,1),"")</f>
        <v>S</v>
      </c>
      <c r="AW186" s="40">
        <v>390</v>
      </c>
      <c r="AX186" s="9" t="str">
        <f>IFERROR(MID(VLOOKUP($B186,Seqs!$A:$B,2,0),AY186,1),"")</f>
        <v>C</v>
      </c>
      <c r="AY186" s="40">
        <v>402</v>
      </c>
      <c r="AZ186" s="110" t="str">
        <f>VLOOKUP(B186,Classification!A:D,2,0)</f>
        <v>A</v>
      </c>
      <c r="BA186" s="98" t="str">
        <f>VLOOKUP(B186,Classification!A:D,4,0)</f>
        <v>Endothelin</v>
      </c>
      <c r="BB186" s="36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>_xlfn.AGGREGATE(9,6,CH186:CS186)-_xlfn.AGGREGATE(9,6,BV186:CG186)+12</f>
        <v>263</v>
      </c>
      <c r="BD186" s="40" t="s">
        <v>23</v>
      </c>
      <c r="BE186" s="9" t="s">
        <v>1375</v>
      </c>
      <c r="BF186" s="120">
        <v>2</v>
      </c>
      <c r="BG186" s="51" t="s">
        <v>1</v>
      </c>
      <c r="BH186" s="51" t="s">
        <v>1</v>
      </c>
      <c r="BI186" s="40"/>
      <c r="BJ186" s="111" t="s">
        <v>1288</v>
      </c>
      <c r="BK186" s="112" t="s">
        <v>1288</v>
      </c>
      <c r="BL186" s="112" t="s">
        <v>1288</v>
      </c>
      <c r="BM186" s="112" t="s">
        <v>1288</v>
      </c>
      <c r="BN186" s="112" t="s">
        <v>1288</v>
      </c>
      <c r="BO186" s="112" t="s">
        <v>1288</v>
      </c>
      <c r="BP186" s="112" t="s">
        <v>1288</v>
      </c>
      <c r="BQ186" s="112" t="s">
        <v>1288</v>
      </c>
      <c r="BR186" s="112" t="s">
        <v>1288</v>
      </c>
      <c r="BS186" s="112" t="s">
        <v>1288</v>
      </c>
      <c r="BT186" s="112" t="s">
        <v>1288</v>
      </c>
      <c r="BU186" s="112" t="s">
        <v>1288</v>
      </c>
      <c r="BV186" s="111">
        <f>E186</f>
        <v>97</v>
      </c>
      <c r="BW186" s="113" t="str">
        <f>I186</f>
        <v>-</v>
      </c>
      <c r="BX186" s="114">
        <f>M186</f>
        <v>134</v>
      </c>
      <c r="BY186" s="113">
        <f>Q186</f>
        <v>166</v>
      </c>
      <c r="BZ186" s="114">
        <f>U186</f>
        <v>170</v>
      </c>
      <c r="CA186" s="113" t="str">
        <f>Y186</f>
        <v>-</v>
      </c>
      <c r="CB186" s="114">
        <f>AC186</f>
        <v>215</v>
      </c>
      <c r="CC186" s="113">
        <f>AG186</f>
        <v>255</v>
      </c>
      <c r="CD186" s="114">
        <f>AK186</f>
        <v>263</v>
      </c>
      <c r="CE186" s="113">
        <f>AO186</f>
        <v>312</v>
      </c>
      <c r="CF186" s="114">
        <f>AS186</f>
        <v>356</v>
      </c>
      <c r="CG186" s="113">
        <f>AW186</f>
        <v>390</v>
      </c>
      <c r="CH186" s="111">
        <f>G186</f>
        <v>129</v>
      </c>
      <c r="CI186" s="113" t="str">
        <f>K186</f>
        <v>-</v>
      </c>
      <c r="CJ186" s="114">
        <f>O186</f>
        <v>165</v>
      </c>
      <c r="CK186" s="114">
        <f>S186</f>
        <v>169</v>
      </c>
      <c r="CL186" s="114">
        <f>W186</f>
        <v>205</v>
      </c>
      <c r="CM186" s="114" t="str">
        <f>AA186</f>
        <v>-</v>
      </c>
      <c r="CN186" s="114">
        <f>AE186</f>
        <v>240</v>
      </c>
      <c r="CO186" s="114">
        <f>AI186</f>
        <v>257</v>
      </c>
      <c r="CP186" s="114">
        <f>AM186</f>
        <v>303</v>
      </c>
      <c r="CQ186" s="114">
        <f>AQ186</f>
        <v>350</v>
      </c>
      <c r="CR186" s="114">
        <f>AU186</f>
        <v>389</v>
      </c>
      <c r="CS186" s="114">
        <f>AY186</f>
        <v>402</v>
      </c>
      <c r="CT186" s="109" t="e">
        <f>M186-K186</f>
        <v>#VALUE!</v>
      </c>
    </row>
    <row r="187" spans="1:1029" x14ac:dyDescent="0.2">
      <c r="A187" s="3" t="str">
        <f t="shared" si="839"/>
        <v>ffar1_human__wt</v>
      </c>
      <c r="B187" s="3" t="s">
        <v>1173</v>
      </c>
      <c r="C187" s="3" t="s">
        <v>100</v>
      </c>
      <c r="D187" s="3" t="str">
        <f>IFERROR(MID(VLOOKUP($B187,Seqs!$A:$B,2,0),E187,1),"")</f>
        <v>P</v>
      </c>
      <c r="E187" s="3">
        <v>4</v>
      </c>
      <c r="F187" s="3" t="str">
        <f>IFERROR(MID(VLOOKUP($B187,Seqs!$A:$B,2,0),G187,1),"")</f>
        <v>R</v>
      </c>
      <c r="G187" s="3">
        <v>37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T</v>
      </c>
      <c r="M187" s="3">
        <v>39</v>
      </c>
      <c r="N187" s="3" t="str">
        <f>IFERROR(MID(VLOOKUP($B187,Seqs!$A:$B,2,0),O187,1),"")</f>
        <v>S</v>
      </c>
      <c r="O187" s="3">
        <v>69</v>
      </c>
      <c r="P187" s="3" t="str">
        <f>IFERROR(MID(VLOOKUP($B187,Seqs!$A:$B,2,0),Q187,1),"")</f>
        <v>A</v>
      </c>
      <c r="Q187" s="3">
        <v>71</v>
      </c>
      <c r="R187" s="3" t="str">
        <f>IFERROR(MID(VLOOKUP($B187,Seqs!$A:$B,2,0),S187,1),"")</f>
        <v>L</v>
      </c>
      <c r="S187" s="3">
        <v>74</v>
      </c>
      <c r="T187" s="3" t="str">
        <f>IFERROR(MID(VLOOKUP($B187,Seqs!$A:$B,2,0),U187,1),"")</f>
        <v>P</v>
      </c>
      <c r="U187" s="3">
        <v>75</v>
      </c>
      <c r="V187" s="3" t="str">
        <f>IFERROR(MID(VLOOKUP($B187,Seqs!$A:$B,2,0),W187,1),"")</f>
        <v>F</v>
      </c>
      <c r="W187" s="3">
        <v>110</v>
      </c>
      <c r="X187" s="3" t="str">
        <f>IFERROR(MID(VLOOKUP($B187,Seqs!$A:$B,2,0),Y187,1),"")</f>
        <v>P</v>
      </c>
      <c r="Y187" s="3">
        <v>111</v>
      </c>
      <c r="Z187" s="3" t="str">
        <f>IFERROR(MID(VLOOKUP($B187,Seqs!$A:$B,2,0),AA187,1),"")</f>
        <v>R</v>
      </c>
      <c r="AA187" s="3">
        <v>118</v>
      </c>
      <c r="AB187" s="3" t="str">
        <f>IFERROR(MID(VLOOKUP($B187,Seqs!$A:$B,2,0),AC187,1),"")</f>
        <v>R</v>
      </c>
      <c r="AC187" s="9">
        <v>119</v>
      </c>
      <c r="AD187" s="3" t="str">
        <f>IFERROR(MID(VLOOKUP($B187,Seqs!$A:$B,2,0),AE187,1),"")</f>
        <v>A</v>
      </c>
      <c r="AE187" s="3">
        <v>146</v>
      </c>
      <c r="AF187" s="3" t="str">
        <f>IFERROR(MID(VLOOKUP($B187,Seqs!$A:$B,2,0),AG187,1),"")</f>
        <v>C</v>
      </c>
      <c r="AG187" s="3">
        <v>170</v>
      </c>
      <c r="AH187" s="3" t="str">
        <f>IFERROR(MID(VLOOKUP($B187,Seqs!$A:$B,2,0),AI187,1),"")</f>
        <v>E</v>
      </c>
      <c r="AI187" s="3">
        <v>172</v>
      </c>
      <c r="AJ187" s="3" t="str">
        <f>IFERROR(MID(VLOOKUP($B187,Seqs!$A:$B,2,0),AK187,1),"")</f>
        <v>D</v>
      </c>
      <c r="AK187" s="3">
        <v>175</v>
      </c>
      <c r="AL187" s="3" t="str">
        <f>IFERROR(MID(VLOOKUP($B187,Seqs!$A:$B,2,0),AM187,1),"")</f>
        <v>R</v>
      </c>
      <c r="AM187" s="3">
        <v>211</v>
      </c>
      <c r="AN187" s="3" t="str">
        <f>IFERROR(MID(VLOOKUP($B187,Seqs!$A:$B,2,0),AO187,1),"")</f>
        <v>R</v>
      </c>
      <c r="AO187" s="3">
        <v>217</v>
      </c>
      <c r="AP187" s="3" t="str">
        <f>IFERROR(MID(VLOOKUP($B187,Seqs!$A:$B,2,0),AQ187,1),"")</f>
        <v>Y</v>
      </c>
      <c r="AQ187" s="3">
        <v>250</v>
      </c>
      <c r="AR187" s="3" t="str">
        <f>IFERROR(MID(VLOOKUP($B187,Seqs!$A:$B,2,0),AS187,1),"")</f>
        <v>G</v>
      </c>
      <c r="AS187" s="3">
        <v>255</v>
      </c>
      <c r="AT187" s="3" t="str">
        <f>IFERROR(MID(VLOOKUP($B187,Seqs!$A:$B,2,0),AU187,1),"")</f>
        <v>L</v>
      </c>
      <c r="AU187" s="3">
        <v>279</v>
      </c>
      <c r="AV187" s="3" t="str">
        <f>IFERROR(MID(VLOOKUP($B187,Seqs!$A:$B,2,0),AW187,1),"")</f>
        <v>G</v>
      </c>
      <c r="AW187" s="3">
        <v>280</v>
      </c>
      <c r="AX187" s="3" t="str">
        <f>IFERROR(MID(VLOOKUP($B187,Seqs!$A:$B,2,0),AY187,1),"")</f>
        <v>Q</v>
      </c>
      <c r="AY187" s="3">
        <v>294</v>
      </c>
      <c r="AZ187" s="77" t="str">
        <f>VLOOKUP(B187,Classification!A:D,2,0)</f>
        <v>A</v>
      </c>
      <c r="BA187" s="94" t="str">
        <f>VLOOKUP(B187,Classification!A:D,4,0)</f>
        <v>Freefattyacid</v>
      </c>
      <c r="BB187" s="27" t="b">
        <f t="shared" si="840"/>
        <v>1</v>
      </c>
      <c r="BC187" s="23">
        <f t="shared" si="1007"/>
        <v>256</v>
      </c>
      <c r="BD187" s="34" t="s">
        <v>23</v>
      </c>
      <c r="BE187" s="3" t="s">
        <v>23</v>
      </c>
      <c r="BF187" s="119" t="s">
        <v>23</v>
      </c>
      <c r="BG187" s="49" t="s">
        <v>1373</v>
      </c>
      <c r="BH187" s="49" t="s">
        <v>1378</v>
      </c>
      <c r="BI187" s="1"/>
      <c r="BJ187" s="70" t="s">
        <v>1288</v>
      </c>
      <c r="BK187" s="57" t="s">
        <v>1288</v>
      </c>
      <c r="BL187" s="57" t="s">
        <v>1288</v>
      </c>
      <c r="BM187" s="57" t="s">
        <v>1288</v>
      </c>
      <c r="BN187" s="57" t="s">
        <v>1288</v>
      </c>
      <c r="BO187" s="57" t="s">
        <v>1288</v>
      </c>
      <c r="BP187" s="57" t="s">
        <v>1288</v>
      </c>
      <c r="BQ187" s="57" t="s">
        <v>1288</v>
      </c>
      <c r="BR187" s="57" t="s">
        <v>1288</v>
      </c>
      <c r="BS187" s="57" t="s">
        <v>1288</v>
      </c>
      <c r="BT187" s="57" t="s">
        <v>1288</v>
      </c>
      <c r="BU187" s="57" t="s">
        <v>1288</v>
      </c>
      <c r="BV187" s="70">
        <f t="shared" si="1008"/>
        <v>4</v>
      </c>
      <c r="BW187" s="71" t="str">
        <f t="shared" si="1009"/>
        <v>-</v>
      </c>
      <c r="BX187" s="72">
        <f t="shared" si="1010"/>
        <v>39</v>
      </c>
      <c r="BY187" s="71">
        <f t="shared" si="1011"/>
        <v>71</v>
      </c>
      <c r="BZ187" s="72">
        <f t="shared" si="1012"/>
        <v>75</v>
      </c>
      <c r="CA187" s="71">
        <f t="shared" si="1013"/>
        <v>111</v>
      </c>
      <c r="CB187" s="72">
        <f t="shared" si="1014"/>
        <v>119</v>
      </c>
      <c r="CC187" s="71">
        <f t="shared" si="1015"/>
        <v>170</v>
      </c>
      <c r="CD187" s="72">
        <f t="shared" si="1016"/>
        <v>175</v>
      </c>
      <c r="CE187" s="71">
        <f t="shared" si="1017"/>
        <v>217</v>
      </c>
      <c r="CF187" s="72">
        <f t="shared" si="1018"/>
        <v>255</v>
      </c>
      <c r="CG187" s="71">
        <f t="shared" si="1019"/>
        <v>280</v>
      </c>
      <c r="CH187" s="70">
        <f t="shared" si="1020"/>
        <v>37</v>
      </c>
      <c r="CI187" s="71" t="str">
        <f t="shared" si="1021"/>
        <v>-</v>
      </c>
      <c r="CJ187" s="72">
        <f t="shared" si="1022"/>
        <v>69</v>
      </c>
      <c r="CK187" s="72">
        <f t="shared" si="1023"/>
        <v>74</v>
      </c>
      <c r="CL187" s="72">
        <f t="shared" si="1024"/>
        <v>110</v>
      </c>
      <c r="CM187" s="72">
        <f t="shared" si="1025"/>
        <v>118</v>
      </c>
      <c r="CN187" s="72">
        <f t="shared" si="1026"/>
        <v>146</v>
      </c>
      <c r="CO187" s="72">
        <f t="shared" si="1027"/>
        <v>172</v>
      </c>
      <c r="CP187" s="72">
        <f t="shared" si="1028"/>
        <v>211</v>
      </c>
      <c r="CQ187" s="72">
        <f t="shared" si="1029"/>
        <v>250</v>
      </c>
      <c r="CR187" s="72">
        <f t="shared" si="1030"/>
        <v>279</v>
      </c>
      <c r="CS187" s="72">
        <f t="shared" si="1031"/>
        <v>294</v>
      </c>
      <c r="CT187" s="23" t="e">
        <f t="shared" si="1032"/>
        <v>#VALUE!</v>
      </c>
    </row>
    <row r="188" spans="1:1029" x14ac:dyDescent="0.2">
      <c r="A188" s="3" t="str">
        <f t="shared" si="839"/>
        <v>ffar1_human_4PHU</v>
      </c>
      <c r="B188" s="3" t="s">
        <v>1173</v>
      </c>
      <c r="C188" s="3" t="s">
        <v>52</v>
      </c>
      <c r="D188" s="3" t="str">
        <f>IFERROR(MID(VLOOKUP($B188,Seqs!$A:$B,2,0),E188,1),"")</f>
        <v>P</v>
      </c>
      <c r="E188" s="3">
        <v>4</v>
      </c>
      <c r="F188" s="3" t="str">
        <f>IFERROR(MID(VLOOKUP($B188,Seqs!$A:$B,2,0),G188,1),"")</f>
        <v>R</v>
      </c>
      <c r="G188" s="3">
        <v>37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T</v>
      </c>
      <c r="M188" s="3">
        <v>39</v>
      </c>
      <c r="N188" s="3" t="str">
        <f>IFERROR(MID(VLOOKUP($B188,Seqs!$A:$B,2,0),O188,1),"")</f>
        <v>S</v>
      </c>
      <c r="O188" s="3">
        <v>69</v>
      </c>
      <c r="P188" s="3" t="str">
        <f>IFERROR(MID(VLOOKUP($B188,Seqs!$A:$B,2,0),Q188,1),"")</f>
        <v>A</v>
      </c>
      <c r="Q188" s="3">
        <v>71</v>
      </c>
      <c r="R188" s="3" t="str">
        <f>IFERROR(MID(VLOOKUP($B188,Seqs!$A:$B,2,0),S188,1),"")</f>
        <v>L</v>
      </c>
      <c r="S188" s="3">
        <v>74</v>
      </c>
      <c r="T188" s="3" t="str">
        <f>IFERROR(MID(VLOOKUP($B188,Seqs!$A:$B,2,0),U188,1),"")</f>
        <v>P</v>
      </c>
      <c r="U188" s="3">
        <v>75</v>
      </c>
      <c r="V188" s="3" t="str">
        <f>IFERROR(MID(VLOOKUP($B188,Seqs!$A:$B,2,0),W188,1),"")</f>
        <v>F</v>
      </c>
      <c r="W188" s="3">
        <v>110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C</v>
      </c>
      <c r="AC188" s="9">
        <v>121</v>
      </c>
      <c r="AD188" s="3" t="str">
        <f>IFERROR(MID(VLOOKUP($B188,Seqs!$A:$B,2,0),AE188,1),"")</f>
        <v>A</v>
      </c>
      <c r="AE188" s="3">
        <v>146</v>
      </c>
      <c r="AF188" s="3" t="str">
        <f>IFERROR(MID(VLOOKUP($B188,Seqs!$A:$B,2,0),AG188,1),"")</f>
        <v>C</v>
      </c>
      <c r="AG188" s="3">
        <v>170</v>
      </c>
      <c r="AH188" s="3" t="str">
        <f>IFERROR(MID(VLOOKUP($B188,Seqs!$A:$B,2,0),AI188,1),"")</f>
        <v>E</v>
      </c>
      <c r="AI188" s="3">
        <v>172</v>
      </c>
      <c r="AJ188" s="3" t="str">
        <f>IFERROR(MID(VLOOKUP($B188,Seqs!$A:$B,2,0),AK188,1),"")</f>
        <v>D</v>
      </c>
      <c r="AK188" s="3">
        <v>175</v>
      </c>
      <c r="AL188" s="3" t="str">
        <f>IFERROR(MID(VLOOKUP($B188,Seqs!$A:$B,2,0),AM188,1),"")</f>
        <v>R</v>
      </c>
      <c r="AM188" s="3">
        <v>211</v>
      </c>
      <c r="AN188" s="3" t="str">
        <f>IFERROR(MID(VLOOKUP($B188,Seqs!$A:$B,2,0),AO188,1),"")</f>
        <v/>
      </c>
      <c r="AO188" s="3">
        <v>2214</v>
      </c>
      <c r="AP188" s="3" t="str">
        <f>IFERROR(MID(VLOOKUP($B188,Seqs!$A:$B,2,0),AQ188,1),"")</f>
        <v/>
      </c>
      <c r="AQ188" s="3">
        <v>2250</v>
      </c>
      <c r="AR188" s="3" t="str">
        <f>IFERROR(MID(VLOOKUP($B188,Seqs!$A:$B,2,0),AS188,1),"")</f>
        <v/>
      </c>
      <c r="AS188" s="3">
        <v>2255</v>
      </c>
      <c r="AT188" s="3" t="str">
        <f>IFERROR(MID(VLOOKUP($B188,Seqs!$A:$B,2,0),AU188,1),"")</f>
        <v/>
      </c>
      <c r="AU188" s="3">
        <v>2276</v>
      </c>
      <c r="AV188" s="3" t="str">
        <f>IFERROR(MID(VLOOKUP($B188,Seqs!$A:$B,2,0),AW188,1),"")</f>
        <v/>
      </c>
      <c r="AW188" s="3" t="s">
        <v>23</v>
      </c>
      <c r="AX188" s="3" t="str">
        <f>IFERROR(MID(VLOOKUP($B188,Seqs!$A:$B,2,0),AY188,1),"")</f>
        <v/>
      </c>
      <c r="AY188" s="3" t="s">
        <v>23</v>
      </c>
      <c r="AZ188" s="77" t="str">
        <f>VLOOKUP(B188,Classification!A:D,2,0)</f>
        <v>A</v>
      </c>
      <c r="BA188" s="94" t="str">
        <f>VLOOKUP(B188,Classification!A:D,4,0)</f>
        <v>Freefattyacid</v>
      </c>
      <c r="BB188" s="27" t="b">
        <f t="shared" si="840"/>
        <v>1</v>
      </c>
      <c r="BC188" s="23">
        <f t="shared" si="1007"/>
        <v>233</v>
      </c>
      <c r="BD188" s="16" t="s">
        <v>23</v>
      </c>
      <c r="BE188" s="3" t="s">
        <v>1429</v>
      </c>
      <c r="BF188" s="119">
        <v>2.33</v>
      </c>
      <c r="BG188" s="49" t="s">
        <v>1378</v>
      </c>
      <c r="BH188" s="49" t="s">
        <v>1378</v>
      </c>
      <c r="BI188" s="1"/>
      <c r="BJ188" s="70" t="s">
        <v>1288</v>
      </c>
      <c r="BK188" s="57" t="s">
        <v>1288</v>
      </c>
      <c r="BL188" s="57" t="s">
        <v>1288</v>
      </c>
      <c r="BM188" s="57" t="s">
        <v>1288</v>
      </c>
      <c r="BN188" s="57" t="s">
        <v>1288</v>
      </c>
      <c r="BO188" s="57" t="s">
        <v>1288</v>
      </c>
      <c r="BP188" s="57" t="s">
        <v>1288</v>
      </c>
      <c r="BQ188" s="57" t="s">
        <v>1288</v>
      </c>
      <c r="BR188" s="57" t="s">
        <v>1288</v>
      </c>
      <c r="BS188" s="57" t="s">
        <v>1288</v>
      </c>
      <c r="BT188" s="57" t="s">
        <v>1288</v>
      </c>
      <c r="BU188" s="57" t="s">
        <v>1288</v>
      </c>
      <c r="BV188" s="70">
        <f t="shared" si="1008"/>
        <v>4</v>
      </c>
      <c r="BW188" s="71" t="str">
        <f t="shared" si="1009"/>
        <v>-</v>
      </c>
      <c r="BX188" s="72">
        <f t="shared" si="1010"/>
        <v>39</v>
      </c>
      <c r="BY188" s="71">
        <f t="shared" si="1011"/>
        <v>71</v>
      </c>
      <c r="BZ188" s="72">
        <f t="shared" si="1012"/>
        <v>75</v>
      </c>
      <c r="CA188" s="71" t="str">
        <f t="shared" si="1013"/>
        <v>-</v>
      </c>
      <c r="CB188" s="72">
        <f t="shared" si="1014"/>
        <v>121</v>
      </c>
      <c r="CC188" s="71">
        <f t="shared" si="1015"/>
        <v>170</v>
      </c>
      <c r="CD188" s="72">
        <f t="shared" si="1016"/>
        <v>175</v>
      </c>
      <c r="CE188" s="71">
        <f t="shared" si="1017"/>
        <v>2214</v>
      </c>
      <c r="CF188" s="72">
        <f t="shared" si="1018"/>
        <v>2255</v>
      </c>
      <c r="CG188" s="71" t="str">
        <f t="shared" si="1019"/>
        <v>-</v>
      </c>
      <c r="CH188" s="70">
        <f t="shared" si="1020"/>
        <v>37</v>
      </c>
      <c r="CI188" s="71" t="str">
        <f t="shared" si="1021"/>
        <v>-</v>
      </c>
      <c r="CJ188" s="72">
        <f t="shared" si="1022"/>
        <v>69</v>
      </c>
      <c r="CK188" s="72">
        <f t="shared" si="1023"/>
        <v>74</v>
      </c>
      <c r="CL188" s="72">
        <f t="shared" si="1024"/>
        <v>110</v>
      </c>
      <c r="CM188" s="72" t="str">
        <f t="shared" si="1025"/>
        <v>-</v>
      </c>
      <c r="CN188" s="72">
        <f t="shared" si="1026"/>
        <v>146</v>
      </c>
      <c r="CO188" s="72">
        <f t="shared" si="1027"/>
        <v>172</v>
      </c>
      <c r="CP188" s="72">
        <f t="shared" si="1028"/>
        <v>211</v>
      </c>
      <c r="CQ188" s="72">
        <f t="shared" si="1029"/>
        <v>2250</v>
      </c>
      <c r="CR188" s="72">
        <f t="shared" si="1030"/>
        <v>2276</v>
      </c>
      <c r="CS188" s="72" t="str">
        <f t="shared" si="1031"/>
        <v>-</v>
      </c>
      <c r="CT188" s="23" t="e">
        <f t="shared" si="1032"/>
        <v>#VALUE!</v>
      </c>
    </row>
    <row r="189" spans="1:1029" x14ac:dyDescent="0.2">
      <c r="A189" s="3" t="str">
        <f>CONCATENATE(B189,"_",C189)</f>
        <v>ffar1_human_5KW2</v>
      </c>
      <c r="B189" s="3" t="s">
        <v>1173</v>
      </c>
      <c r="C189" s="3" t="s">
        <v>1492</v>
      </c>
      <c r="D189" s="3" t="str">
        <f>IFERROR(MID(VLOOKUP($B189,Seqs!$A:$B,2,0),E189,1),"")</f>
        <v>P</v>
      </c>
      <c r="E189" s="3">
        <v>4</v>
      </c>
      <c r="F189" s="3" t="str">
        <f>IFERROR(MID(VLOOKUP($B189,Seqs!$A:$B,2,0),G189,1),"")</f>
        <v>A</v>
      </c>
      <c r="G189" s="3">
        <v>32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T</v>
      </c>
      <c r="M189" s="3">
        <v>39</v>
      </c>
      <c r="N189" s="3" t="str">
        <f>IFERROR(MID(VLOOKUP($B189,Seqs!$A:$B,2,0),O189,1),"")</f>
        <v>S</v>
      </c>
      <c r="O189" s="3">
        <v>69</v>
      </c>
      <c r="P189" s="3" t="str">
        <f>IFERROR(MID(VLOOKUP($B189,Seqs!$A:$B,2,0),Q189,1),"")</f>
        <v>A</v>
      </c>
      <c r="Q189" s="3">
        <v>71</v>
      </c>
      <c r="R189" s="3" t="str">
        <f>IFERROR(MID(VLOOKUP($B189,Seqs!$A:$B,2,0),S189,1),"")</f>
        <v>L</v>
      </c>
      <c r="S189" s="3">
        <v>74</v>
      </c>
      <c r="T189" s="3" t="str">
        <f>IFERROR(MID(VLOOKUP($B189,Seqs!$A:$B,2,0),U189,1),"")</f>
        <v>P</v>
      </c>
      <c r="U189" s="3">
        <v>75</v>
      </c>
      <c r="V189" s="3" t="str">
        <f>IFERROR(MID(VLOOKUP($B189,Seqs!$A:$B,2,0),W189,1),"")</f>
        <v>F</v>
      </c>
      <c r="W189" s="3">
        <v>110</v>
      </c>
      <c r="X189" s="3" t="str">
        <f>IFERROR(MID(VLOOKUP($B189,Seqs!$A:$B,2,0),Y189,1),"")</f>
        <v>P</v>
      </c>
      <c r="Y189" s="3">
        <v>111</v>
      </c>
      <c r="Z189" s="3" t="str">
        <f>IFERROR(MID(VLOOKUP($B189,Seqs!$A:$B,2,0),AA189,1),"")</f>
        <v>R</v>
      </c>
      <c r="AA189" s="3">
        <v>118</v>
      </c>
      <c r="AB189" s="3" t="str">
        <f>IFERROR(MID(VLOOKUP($B189,Seqs!$A:$B,2,0),AC189,1),"")</f>
        <v>R</v>
      </c>
      <c r="AC189" s="3">
        <v>119</v>
      </c>
      <c r="AD189" s="3" t="str">
        <f>IFERROR(MID(VLOOKUP($B189,Seqs!$A:$B,2,0),AE189,1),"")</f>
        <v>E</v>
      </c>
      <c r="AE189" s="3">
        <v>145</v>
      </c>
      <c r="AF189" s="3" t="str">
        <f>IFERROR(MID(VLOOKUP($B189,Seqs!$A:$B,2,0),AG189,1),"")</f>
        <v>C</v>
      </c>
      <c r="AG189" s="3">
        <v>170</v>
      </c>
      <c r="AH189" s="3" t="str">
        <f>IFERROR(MID(VLOOKUP($B189,Seqs!$A:$B,2,0),AI189,1),"")</f>
        <v>E</v>
      </c>
      <c r="AI189" s="3">
        <v>172</v>
      </c>
      <c r="AJ189" s="3" t="str">
        <f>IFERROR(MID(VLOOKUP($B189,Seqs!$A:$B,2,0),AK189,1),"")</f>
        <v>G</v>
      </c>
      <c r="AK189" s="3">
        <v>180</v>
      </c>
      <c r="AL189" s="3" t="str">
        <f>IFERROR(MID(VLOOKUP($B189,Seqs!$A:$B,2,0),AM189,1),"")</f>
        <v>R</v>
      </c>
      <c r="AM189" s="3">
        <v>211</v>
      </c>
      <c r="AN189" s="3" t="str">
        <f>IFERROR(MID(VLOOKUP($B189,Seqs!$A:$B,2,0),AO189,1),"")</f>
        <v/>
      </c>
      <c r="AO189" s="3">
        <v>2215</v>
      </c>
      <c r="AP189" s="3" t="str">
        <f>IFERROR(MID(VLOOKUP($B189,Seqs!$A:$B,2,0),AQ189,1),"")</f>
        <v/>
      </c>
      <c r="AQ189" s="3">
        <v>2249</v>
      </c>
      <c r="AR189" s="3" t="str">
        <f>IFERROR(MID(VLOOKUP($B189,Seqs!$A:$B,2,0),AS189,1),"")</f>
        <v/>
      </c>
      <c r="AS189" s="3">
        <v>2254</v>
      </c>
      <c r="AT189" s="3" t="str">
        <f>IFERROR(MID(VLOOKUP($B189,Seqs!$A:$B,2,0),AU189,1),"")</f>
        <v/>
      </c>
      <c r="AU189" s="3">
        <v>2275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Freefattyacid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229</v>
      </c>
      <c r="BD189" s="16" t="s">
        <v>23</v>
      </c>
      <c r="BE189" s="3" t="s">
        <v>1429</v>
      </c>
      <c r="BF189" s="119">
        <v>2.76</v>
      </c>
      <c r="BG189" s="49" t="s">
        <v>1</v>
      </c>
      <c r="BH189" s="49" t="s">
        <v>1</v>
      </c>
      <c r="BI189" s="1"/>
      <c r="BJ189" s="70" t="s">
        <v>1288</v>
      </c>
      <c r="BK189" s="57" t="s">
        <v>1288</v>
      </c>
      <c r="BL189" s="57" t="s">
        <v>1288</v>
      </c>
      <c r="BM189" s="57" t="s">
        <v>1288</v>
      </c>
      <c r="BN189" s="57" t="s">
        <v>1288</v>
      </c>
      <c r="BO189" s="57" t="s">
        <v>1288</v>
      </c>
      <c r="BP189" s="57" t="s">
        <v>1288</v>
      </c>
      <c r="BQ189" s="57" t="s">
        <v>1288</v>
      </c>
      <c r="BR189" s="57" t="s">
        <v>1288</v>
      </c>
      <c r="BS189" s="57" t="s">
        <v>1288</v>
      </c>
      <c r="BT189" s="57" t="s">
        <v>1288</v>
      </c>
      <c r="BU189" s="57" t="s">
        <v>1288</v>
      </c>
      <c r="BV189" s="70">
        <f>E189</f>
        <v>4</v>
      </c>
      <c r="BW189" s="71" t="str">
        <f>I189</f>
        <v>-</v>
      </c>
      <c r="BX189" s="72">
        <f>M189</f>
        <v>39</v>
      </c>
      <c r="BY189" s="71">
        <f>Q189</f>
        <v>71</v>
      </c>
      <c r="BZ189" s="72">
        <f>U189</f>
        <v>75</v>
      </c>
      <c r="CA189" s="71">
        <f>Y189</f>
        <v>111</v>
      </c>
      <c r="CB189" s="72">
        <f>AC189</f>
        <v>119</v>
      </c>
      <c r="CC189" s="71">
        <f>AG189</f>
        <v>170</v>
      </c>
      <c r="CD189" s="72">
        <f>AK189</f>
        <v>180</v>
      </c>
      <c r="CE189" s="71">
        <f>AO189</f>
        <v>2215</v>
      </c>
      <c r="CF189" s="72">
        <f>AS189</f>
        <v>2254</v>
      </c>
      <c r="CG189" s="71" t="str">
        <f>AW189</f>
        <v>-</v>
      </c>
      <c r="CH189" s="70">
        <f>G189</f>
        <v>32</v>
      </c>
      <c r="CI189" s="71" t="str">
        <f>K189</f>
        <v>-</v>
      </c>
      <c r="CJ189" s="72">
        <f>O189</f>
        <v>69</v>
      </c>
      <c r="CK189" s="72">
        <f>S189</f>
        <v>74</v>
      </c>
      <c r="CL189" s="72">
        <f>W189</f>
        <v>110</v>
      </c>
      <c r="CM189" s="72">
        <f>AA189</f>
        <v>118</v>
      </c>
      <c r="CN189" s="72">
        <f>AE189</f>
        <v>145</v>
      </c>
      <c r="CO189" s="72">
        <f>AI189</f>
        <v>172</v>
      </c>
      <c r="CP189" s="72">
        <f>AM189</f>
        <v>211</v>
      </c>
      <c r="CQ189" s="72">
        <f>AQ189</f>
        <v>2249</v>
      </c>
      <c r="CR189" s="72">
        <f>AU189</f>
        <v>2275</v>
      </c>
      <c r="CS189" s="72" t="str">
        <f>AY189</f>
        <v>-</v>
      </c>
      <c r="CT189" s="23" t="e">
        <f>M189-K189</f>
        <v>#VALUE!</v>
      </c>
    </row>
    <row r="190" spans="1:1029" x14ac:dyDescent="0.2">
      <c r="A190" s="3" t="str">
        <f>CONCATENATE(B190,"_",C190)</f>
        <v>ffar1_human_5TZR</v>
      </c>
      <c r="B190" s="3" t="s">
        <v>1173</v>
      </c>
      <c r="C190" s="3" t="s">
        <v>1417</v>
      </c>
      <c r="D190" s="3" t="str">
        <f>IFERROR(MID(VLOOKUP($B190,Seqs!$A:$B,2,0),E190,1),"")</f>
        <v>P</v>
      </c>
      <c r="E190" s="3">
        <v>4</v>
      </c>
      <c r="F190" s="3" t="str">
        <f>IFERROR(MID(VLOOKUP($B190,Seqs!$A:$B,2,0),G190,1),"")</f>
        <v>R</v>
      </c>
      <c r="G190" s="3">
        <v>37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T</v>
      </c>
      <c r="M190" s="3">
        <v>39</v>
      </c>
      <c r="N190" s="3" t="str">
        <f>IFERROR(MID(VLOOKUP($B190,Seqs!$A:$B,2,0),O190,1),"")</f>
        <v>S</v>
      </c>
      <c r="O190" s="3">
        <v>69</v>
      </c>
      <c r="P190" s="3" t="str">
        <f>IFERROR(MID(VLOOKUP($B190,Seqs!$A:$B,2,0),Q190,1),"")</f>
        <v>A</v>
      </c>
      <c r="Q190" s="3">
        <v>71</v>
      </c>
      <c r="R190" s="3" t="str">
        <f>IFERROR(MID(VLOOKUP($B190,Seqs!$A:$B,2,0),S190,1),"")</f>
        <v>L</v>
      </c>
      <c r="S190" s="3">
        <v>74</v>
      </c>
      <c r="T190" s="3" t="str">
        <f>IFERROR(MID(VLOOKUP($B190,Seqs!$A:$B,2,0),U190,1),"")</f>
        <v>P</v>
      </c>
      <c r="U190" s="3">
        <v>75</v>
      </c>
      <c r="V190" s="3" t="str">
        <f>IFERROR(MID(VLOOKUP($B190,Seqs!$A:$B,2,0),W190,1),"")</f>
        <v>F</v>
      </c>
      <c r="W190" s="3">
        <v>110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C</v>
      </c>
      <c r="AC190" s="3">
        <v>121</v>
      </c>
      <c r="AD190" s="3" t="str">
        <f>IFERROR(MID(VLOOKUP($B190,Seqs!$A:$B,2,0),AE190,1),"")</f>
        <v>A</v>
      </c>
      <c r="AE190" s="3">
        <v>146</v>
      </c>
      <c r="AF190" s="3" t="str">
        <f>IFERROR(MID(VLOOKUP($B190,Seqs!$A:$B,2,0),AG190,1),"")</f>
        <v>C</v>
      </c>
      <c r="AG190" s="3">
        <v>170</v>
      </c>
      <c r="AH190" s="3" t="str">
        <f>IFERROR(MID(VLOOKUP($B190,Seqs!$A:$B,2,0),AI190,1),"")</f>
        <v>E</v>
      </c>
      <c r="AI190" s="3">
        <v>172</v>
      </c>
      <c r="AJ190" s="3" t="str">
        <f>IFERROR(MID(VLOOKUP($B190,Seqs!$A:$B,2,0),AK190,1),"")</f>
        <v>D</v>
      </c>
      <c r="AK190" s="3">
        <v>175</v>
      </c>
      <c r="AL190" s="3" t="str">
        <f>IFERROR(MID(VLOOKUP($B190,Seqs!$A:$B,2,0),AM190,1),"")</f>
        <v>R</v>
      </c>
      <c r="AM190" s="3">
        <v>211</v>
      </c>
      <c r="AN190" s="3" t="str">
        <f>IFERROR(MID(VLOOKUP($B190,Seqs!$A:$B,2,0),AO190,1),"")</f>
        <v/>
      </c>
      <c r="AO190" s="3">
        <v>2214</v>
      </c>
      <c r="AP190" s="3" t="str">
        <f>IFERROR(MID(VLOOKUP($B190,Seqs!$A:$B,2,0),AQ190,1),"")</f>
        <v/>
      </c>
      <c r="AQ190" s="3">
        <v>2250</v>
      </c>
      <c r="AR190" s="3" t="str">
        <f>IFERROR(MID(VLOOKUP($B190,Seqs!$A:$B,2,0),AS190,1),"")</f>
        <v/>
      </c>
      <c r="AS190" s="3">
        <v>2255</v>
      </c>
      <c r="AT190" s="3" t="str">
        <f>IFERROR(MID(VLOOKUP($B190,Seqs!$A:$B,2,0),AU190,1),"")</f>
        <v/>
      </c>
      <c r="AU190" s="3">
        <v>2276</v>
      </c>
      <c r="AV190" s="3" t="str">
        <f>IFERROR(MID(VLOOKUP($B190,Seqs!$A:$B,2,0),AW190,1),"")</f>
        <v/>
      </c>
      <c r="AW190" s="3" t="s">
        <v>23</v>
      </c>
      <c r="AX190" s="3" t="str">
        <f>IFERROR(MID(VLOOKUP($B190,Seqs!$A:$B,2,0),AY190,1),"")</f>
        <v/>
      </c>
      <c r="AY190" s="3" t="s">
        <v>23</v>
      </c>
      <c r="AZ190" s="77" t="str">
        <f>VLOOKUP(B190,Classification!A:D,2,0)</f>
        <v>A</v>
      </c>
      <c r="BA190" s="94" t="str">
        <f>VLOOKUP(B190,Classification!A:D,4,0)</f>
        <v>Freefattyacid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233</v>
      </c>
      <c r="BD190" s="16" t="s">
        <v>23</v>
      </c>
      <c r="BE190" s="3" t="s">
        <v>1429</v>
      </c>
      <c r="BF190" s="119">
        <v>2.2000000000000002</v>
      </c>
      <c r="BG190" s="49" t="s">
        <v>1</v>
      </c>
      <c r="BH190" s="49" t="s">
        <v>1</v>
      </c>
      <c r="BI190" s="1"/>
      <c r="BJ190" s="70" t="s">
        <v>1288</v>
      </c>
      <c r="BK190" s="57" t="s">
        <v>1288</v>
      </c>
      <c r="BL190" s="57" t="s">
        <v>1288</v>
      </c>
      <c r="BM190" s="57" t="s">
        <v>1288</v>
      </c>
      <c r="BN190" s="57" t="s">
        <v>1288</v>
      </c>
      <c r="BO190" s="57" t="s">
        <v>1288</v>
      </c>
      <c r="BP190" s="57" t="s">
        <v>1288</v>
      </c>
      <c r="BQ190" s="57" t="s">
        <v>1288</v>
      </c>
      <c r="BR190" s="57" t="s">
        <v>1288</v>
      </c>
      <c r="BS190" s="57" t="s">
        <v>1288</v>
      </c>
      <c r="BT190" s="57" t="s">
        <v>1288</v>
      </c>
      <c r="BU190" s="57" t="s">
        <v>1288</v>
      </c>
      <c r="BV190" s="70">
        <f>E190</f>
        <v>4</v>
      </c>
      <c r="BW190" s="71" t="str">
        <f>I190</f>
        <v>-</v>
      </c>
      <c r="BX190" s="72">
        <f>M190</f>
        <v>39</v>
      </c>
      <c r="BY190" s="71">
        <f>Q190</f>
        <v>71</v>
      </c>
      <c r="BZ190" s="72">
        <f>U190</f>
        <v>75</v>
      </c>
      <c r="CA190" s="71" t="str">
        <f>Y190</f>
        <v>-</v>
      </c>
      <c r="CB190" s="72">
        <f>AC190</f>
        <v>121</v>
      </c>
      <c r="CC190" s="71">
        <f>AG190</f>
        <v>170</v>
      </c>
      <c r="CD190" s="72">
        <f>AK190</f>
        <v>175</v>
      </c>
      <c r="CE190" s="71">
        <f>AO190</f>
        <v>2214</v>
      </c>
      <c r="CF190" s="72">
        <f>AS190</f>
        <v>2255</v>
      </c>
      <c r="CG190" s="71" t="str">
        <f>AW190</f>
        <v>-</v>
      </c>
      <c r="CH190" s="70">
        <f>G190</f>
        <v>37</v>
      </c>
      <c r="CI190" s="71" t="str">
        <f>K190</f>
        <v>-</v>
      </c>
      <c r="CJ190" s="72">
        <f>O190</f>
        <v>69</v>
      </c>
      <c r="CK190" s="72">
        <f>S190</f>
        <v>74</v>
      </c>
      <c r="CL190" s="72">
        <f>W190</f>
        <v>110</v>
      </c>
      <c r="CM190" s="72" t="str">
        <f>AA190</f>
        <v>-</v>
      </c>
      <c r="CN190" s="72">
        <f>AE190</f>
        <v>146</v>
      </c>
      <c r="CO190" s="72">
        <f>AI190</f>
        <v>172</v>
      </c>
      <c r="CP190" s="72">
        <f>AM190</f>
        <v>211</v>
      </c>
      <c r="CQ190" s="72">
        <f>AQ190</f>
        <v>2250</v>
      </c>
      <c r="CR190" s="72">
        <f>AU190</f>
        <v>2276</v>
      </c>
      <c r="CS190" s="72" t="str">
        <f>AY190</f>
        <v>-</v>
      </c>
      <c r="CT190" s="23" t="e">
        <f>M190-K190</f>
        <v>#VALUE!</v>
      </c>
    </row>
    <row r="191" spans="1:1029" x14ac:dyDescent="0.2">
      <c r="A191" s="3" t="str">
        <f>CONCATENATE(B191,"_",C191)</f>
        <v>ffar1_human_5TZY</v>
      </c>
      <c r="B191" s="3" t="s">
        <v>1173</v>
      </c>
      <c r="C191" s="3" t="s">
        <v>1418</v>
      </c>
      <c r="D191" s="3" t="str">
        <f>IFERROR(MID(VLOOKUP($B191,Seqs!$A:$B,2,0),E191,1),"")</f>
        <v>P</v>
      </c>
      <c r="E191" s="3">
        <v>4</v>
      </c>
      <c r="F191" s="3" t="str">
        <f>IFERROR(MID(VLOOKUP($B191,Seqs!$A:$B,2,0),G191,1),"")</f>
        <v>R</v>
      </c>
      <c r="G191" s="3">
        <v>37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T</v>
      </c>
      <c r="M191" s="3">
        <v>39</v>
      </c>
      <c r="N191" s="3" t="str">
        <f>IFERROR(MID(VLOOKUP($B191,Seqs!$A:$B,2,0),O191,1),"")</f>
        <v>A</v>
      </c>
      <c r="O191" s="3">
        <v>68</v>
      </c>
      <c r="P191" s="3" t="str">
        <f>IFERROR(MID(VLOOKUP($B191,Seqs!$A:$B,2,0),Q191,1),"")</f>
        <v>A</v>
      </c>
      <c r="Q191" s="3">
        <v>71</v>
      </c>
      <c r="R191" s="3" t="str">
        <f>IFERROR(MID(VLOOKUP($B191,Seqs!$A:$B,2,0),S191,1),"")</f>
        <v>L</v>
      </c>
      <c r="S191" s="3">
        <v>74</v>
      </c>
      <c r="T191" s="3" t="str">
        <f>IFERROR(MID(VLOOKUP($B191,Seqs!$A:$B,2,0),U191,1),"")</f>
        <v>P</v>
      </c>
      <c r="U191" s="3">
        <v>75</v>
      </c>
      <c r="V191" s="3" t="str">
        <f>IFERROR(MID(VLOOKUP($B191,Seqs!$A:$B,2,0),W191,1),"")</f>
        <v>F</v>
      </c>
      <c r="W191" s="3">
        <v>110</v>
      </c>
      <c r="X191" s="3" t="str">
        <f>IFERROR(MID(VLOOKUP($B191,Seqs!$A:$B,2,0),Y191,1),"")</f>
        <v>P</v>
      </c>
      <c r="Y191" s="3">
        <v>111</v>
      </c>
      <c r="Z191" s="3" t="str">
        <f>IFERROR(MID(VLOOKUP($B191,Seqs!$A:$B,2,0),AA191,1),"")</f>
        <v>R</v>
      </c>
      <c r="AA191" s="3">
        <v>118</v>
      </c>
      <c r="AB191" s="3" t="str">
        <f>IFERROR(MID(VLOOKUP($B191,Seqs!$A:$B,2,0),AC191,1),"")</f>
        <v>R</v>
      </c>
      <c r="AC191" s="3">
        <v>119</v>
      </c>
      <c r="AD191" s="3" t="str">
        <f>IFERROR(MID(VLOOKUP($B191,Seqs!$A:$B,2,0),AE191,1),"")</f>
        <v>A</v>
      </c>
      <c r="AE191" s="3">
        <v>146</v>
      </c>
      <c r="AF191" s="3" t="str">
        <f>IFERROR(MID(VLOOKUP($B191,Seqs!$A:$B,2,0),AG191,1),"")</f>
        <v>C</v>
      </c>
      <c r="AG191" s="3">
        <v>170</v>
      </c>
      <c r="AH191" s="3" t="str">
        <f>IFERROR(MID(VLOOKUP($B191,Seqs!$A:$B,2,0),AI191,1),"")</f>
        <v>E</v>
      </c>
      <c r="AI191" s="3">
        <v>172</v>
      </c>
      <c r="AJ191" s="3" t="str">
        <f>IFERROR(MID(VLOOKUP($B191,Seqs!$A:$B,2,0),AK191,1),"")</f>
        <v>D</v>
      </c>
      <c r="AK191" s="3">
        <v>175</v>
      </c>
      <c r="AL191" s="3" t="str">
        <f>IFERROR(MID(VLOOKUP($B191,Seqs!$A:$B,2,0),AM191,1),"")</f>
        <v>R</v>
      </c>
      <c r="AM191" s="3">
        <v>211</v>
      </c>
      <c r="AN191" s="3" t="str">
        <f>IFERROR(MID(VLOOKUP($B191,Seqs!$A:$B,2,0),AO191,1),"")</f>
        <v/>
      </c>
      <c r="AO191" s="3">
        <v>2215</v>
      </c>
      <c r="AP191" s="3" t="str">
        <f>IFERROR(MID(VLOOKUP($B191,Seqs!$A:$B,2,0),AQ191,1),"")</f>
        <v/>
      </c>
      <c r="AQ191" s="3">
        <v>2250</v>
      </c>
      <c r="AR191" s="3" t="str">
        <f>IFERROR(MID(VLOOKUP($B191,Seqs!$A:$B,2,0),AS191,1),"")</f>
        <v/>
      </c>
      <c r="AS191" s="3">
        <v>2254</v>
      </c>
      <c r="AT191" s="3" t="str">
        <f>IFERROR(MID(VLOOKUP($B191,Seqs!$A:$B,2,0),AU191,1),"")</f>
        <v/>
      </c>
      <c r="AU191" s="3">
        <v>2277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Freefattyacid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242</v>
      </c>
      <c r="BD191" s="16" t="s">
        <v>1430</v>
      </c>
      <c r="BE191" s="3" t="s">
        <v>1429</v>
      </c>
      <c r="BF191" s="119">
        <v>3.22</v>
      </c>
      <c r="BG191" s="49" t="s">
        <v>1</v>
      </c>
      <c r="BH191" s="49" t="s">
        <v>1</v>
      </c>
      <c r="BI191" s="1"/>
      <c r="BJ191" s="70" t="s">
        <v>1288</v>
      </c>
      <c r="BK191" s="57" t="s">
        <v>1288</v>
      </c>
      <c r="BL191" s="57" t="s">
        <v>1288</v>
      </c>
      <c r="BM191" s="57" t="s">
        <v>1288</v>
      </c>
      <c r="BN191" s="57" t="s">
        <v>1288</v>
      </c>
      <c r="BO191" s="57" t="s">
        <v>1288</v>
      </c>
      <c r="BP191" s="57" t="s">
        <v>1288</v>
      </c>
      <c r="BQ191" s="57" t="s">
        <v>1288</v>
      </c>
      <c r="BR191" s="57" t="s">
        <v>1288</v>
      </c>
      <c r="BS191" s="57" t="s">
        <v>1288</v>
      </c>
      <c r="BT191" s="57" t="s">
        <v>1288</v>
      </c>
      <c r="BU191" s="57" t="s">
        <v>1288</v>
      </c>
      <c r="BV191" s="70">
        <f>E191</f>
        <v>4</v>
      </c>
      <c r="BW191" s="71" t="str">
        <f>I191</f>
        <v>-</v>
      </c>
      <c r="BX191" s="72">
        <f>M191</f>
        <v>39</v>
      </c>
      <c r="BY191" s="71">
        <f>Q191</f>
        <v>71</v>
      </c>
      <c r="BZ191" s="72">
        <f>U191</f>
        <v>75</v>
      </c>
      <c r="CA191" s="71">
        <f>Y191</f>
        <v>111</v>
      </c>
      <c r="CB191" s="72">
        <f>AC191</f>
        <v>119</v>
      </c>
      <c r="CC191" s="71">
        <f>AG191</f>
        <v>170</v>
      </c>
      <c r="CD191" s="72">
        <f>AK191</f>
        <v>175</v>
      </c>
      <c r="CE191" s="71">
        <f>AO191</f>
        <v>2215</v>
      </c>
      <c r="CF191" s="72">
        <f>AS191</f>
        <v>2254</v>
      </c>
      <c r="CG191" s="71" t="str">
        <f>AW191</f>
        <v>-</v>
      </c>
      <c r="CH191" s="70">
        <f>G191</f>
        <v>37</v>
      </c>
      <c r="CI191" s="71" t="str">
        <f>K191</f>
        <v>-</v>
      </c>
      <c r="CJ191" s="72">
        <f>O191</f>
        <v>68</v>
      </c>
      <c r="CK191" s="72">
        <f>S191</f>
        <v>74</v>
      </c>
      <c r="CL191" s="72">
        <f>W191</f>
        <v>110</v>
      </c>
      <c r="CM191" s="72">
        <f>AA191</f>
        <v>118</v>
      </c>
      <c r="CN191" s="72">
        <f>AE191</f>
        <v>146</v>
      </c>
      <c r="CO191" s="72">
        <f>AI191</f>
        <v>172</v>
      </c>
      <c r="CP191" s="72">
        <f>AM191</f>
        <v>211</v>
      </c>
      <c r="CQ191" s="72">
        <f>AQ191</f>
        <v>2250</v>
      </c>
      <c r="CR191" s="72">
        <f>AU191</f>
        <v>2277</v>
      </c>
      <c r="CS191" s="72" t="str">
        <f>AY191</f>
        <v>-</v>
      </c>
      <c r="CT191" s="23" t="e">
        <f>M191-K191</f>
        <v>#VALUE!</v>
      </c>
    </row>
    <row r="192" spans="1:1029" x14ac:dyDescent="0.2">
      <c r="A192" s="3" t="str">
        <f t="shared" si="839"/>
        <v>hrh1_human__wt</v>
      </c>
      <c r="B192" s="3" t="s">
        <v>278</v>
      </c>
      <c r="C192" s="3" t="s">
        <v>100</v>
      </c>
      <c r="D192" s="3" t="str">
        <f>IFERROR(MID(VLOOKUP($B192,Seqs!$A:$B,2,0),E192,1),"")</f>
        <v>P</v>
      </c>
      <c r="E192" s="3">
        <v>29</v>
      </c>
      <c r="F192" s="3" t="str">
        <f>IFERROR(MID(VLOOKUP($B192,Seqs!$A:$B,2,0),G192,1),"")</f>
        <v>E</v>
      </c>
      <c r="G192" s="3">
        <v>55</v>
      </c>
      <c r="H192" s="3" t="str">
        <f>IFERROR(MID(VLOOKUP($B192,Seqs!$A:$B,2,0),I192,1),"")</f>
        <v>R</v>
      </c>
      <c r="I192" s="23">
        <v>56</v>
      </c>
      <c r="J192" s="3" t="str">
        <f>IFERROR(MID(VLOOKUP($B192,Seqs!$A:$B,2,0),K192,1),"")</f>
        <v>H</v>
      </c>
      <c r="K192" s="23">
        <v>59</v>
      </c>
      <c r="L192" s="3" t="str">
        <f>IFERROR(MID(VLOOKUP($B192,Seqs!$A:$B,2,0),M192,1),"")</f>
        <v>T</v>
      </c>
      <c r="M192" s="3">
        <v>60</v>
      </c>
      <c r="N192" s="3" t="str">
        <f>IFERROR(MID(VLOOKUP($B192,Seqs!$A:$B,2,0),O192,1),"")</f>
        <v>M</v>
      </c>
      <c r="O192" s="3">
        <v>90</v>
      </c>
      <c r="P192" s="3" t="str">
        <f>IFERROR(MID(VLOOKUP($B192,Seqs!$A:$B,2,0),Q192,1),"")</f>
        <v>K</v>
      </c>
      <c r="Q192" s="3">
        <v>92</v>
      </c>
      <c r="R192" s="3" t="str">
        <f>IFERROR(MID(VLOOKUP($B192,Seqs!$A:$B,2,0),S192,1),"")</f>
        <v>L</v>
      </c>
      <c r="S192" s="3">
        <v>95</v>
      </c>
      <c r="T192" s="3" t="str">
        <f>IFERROR(MID(VLOOKUP($B192,Seqs!$A:$B,2,0),U192,1),"")</f>
        <v>G</v>
      </c>
      <c r="U192" s="3">
        <v>96</v>
      </c>
      <c r="V192" s="3" t="str">
        <f>IFERROR(MID(VLOOKUP($B192,Seqs!$A:$B,2,0),W192,1),"")</f>
        <v>Q</v>
      </c>
      <c r="W192" s="3">
        <v>131</v>
      </c>
      <c r="X192" s="3" t="str">
        <f>IFERROR(MID(VLOOKUP($B192,Seqs!$A:$B,2,0),Y192,1),"")</f>
        <v>P</v>
      </c>
      <c r="Y192" s="3">
        <v>132</v>
      </c>
      <c r="Z192" s="3" t="str">
        <f>IFERROR(MID(VLOOKUP($B192,Seqs!$A:$B,2,0),AA192,1),"")</f>
        <v>R</v>
      </c>
      <c r="AA192" s="3">
        <v>139</v>
      </c>
      <c r="AB192" s="3" t="str">
        <f>IFERROR(MID(VLOOKUP($B192,Seqs!$A:$B,2,0),AC192,1),"")</f>
        <v>T</v>
      </c>
      <c r="AC192" s="9">
        <v>140</v>
      </c>
      <c r="AD192" s="3" t="str">
        <f>IFERROR(MID(VLOOKUP($B192,Seqs!$A:$B,2,0),AE192,1),"")</f>
        <v>G</v>
      </c>
      <c r="AE192" s="3">
        <v>164</v>
      </c>
      <c r="AF192" s="3" t="str">
        <f>IFERROR(MID(VLOOKUP($B192,Seqs!$A:$B,2,0),AG192,1),"")</f>
        <v>C</v>
      </c>
      <c r="AG192" s="3">
        <v>180</v>
      </c>
      <c r="AH192" s="3" t="str">
        <f>IFERROR(MID(VLOOKUP($B192,Seqs!$A:$B,2,0),AI192,1),"")</f>
        <v>T</v>
      </c>
      <c r="AI192" s="3">
        <v>182</v>
      </c>
      <c r="AJ192" s="3" t="str">
        <f>IFERROR(MID(VLOOKUP($B192,Seqs!$A:$B,2,0),AK192,1),"")</f>
        <v>V</v>
      </c>
      <c r="AK192" s="3">
        <v>187</v>
      </c>
      <c r="AL192" s="3" t="str">
        <f>IFERROR(MID(VLOOKUP($B192,Seqs!$A:$B,2,0),AM192,1),"")</f>
        <v>N</v>
      </c>
      <c r="AM192" s="3">
        <v>228</v>
      </c>
      <c r="AN192" s="3" t="str">
        <f>IFERROR(MID(VLOOKUP($B192,Seqs!$A:$B,2,0),AO192,1),"")</f>
        <v>G</v>
      </c>
      <c r="AO192" s="3">
        <v>404</v>
      </c>
      <c r="AP192" s="3" t="str">
        <f>IFERROR(MID(VLOOKUP($B192,Seqs!$A:$B,2,0),AQ192,1),"")</f>
        <v>C</v>
      </c>
      <c r="AQ192" s="3">
        <v>441</v>
      </c>
      <c r="AR192" s="3" t="str">
        <f>IFERROR(MID(VLOOKUP($B192,Seqs!$A:$B,2,0),AS192,1),"")</f>
        <v>N</v>
      </c>
      <c r="AS192" s="3">
        <v>446</v>
      </c>
      <c r="AT192" s="3" t="str">
        <f>IFERROR(MID(VLOOKUP($B192,Seqs!$A:$B,2,0),AU192,1),"")</f>
        <v>C</v>
      </c>
      <c r="AU192" s="3">
        <v>471</v>
      </c>
      <c r="AV192" s="3" t="str">
        <f>IFERROR(MID(VLOOKUP($B192,Seqs!$A:$B,2,0),AW192,1),"")</f>
        <v>N</v>
      </c>
      <c r="AW192" s="3">
        <v>472</v>
      </c>
      <c r="AX192" s="3" t="str">
        <f>IFERROR(MID(VLOOKUP($B192,Seqs!$A:$B,2,0),AY192,1),"")</f>
        <v>H</v>
      </c>
      <c r="AY192" s="3">
        <v>484</v>
      </c>
      <c r="AZ192" s="77" t="str">
        <f>VLOOKUP(B192,Classification!A:D,2,0)</f>
        <v>A</v>
      </c>
      <c r="BA192" s="94" t="str">
        <f>VLOOKUP(B192,Classification!A:D,4,0)</f>
        <v>Histamine</v>
      </c>
      <c r="BB192" s="27" t="b">
        <f t="shared" si="840"/>
        <v>1</v>
      </c>
      <c r="BC192" s="23">
        <f t="shared" si="1007"/>
        <v>257</v>
      </c>
      <c r="BD192" s="34" t="s">
        <v>23</v>
      </c>
      <c r="BE192" s="3" t="s">
        <v>23</v>
      </c>
      <c r="BF192" s="119" t="s">
        <v>23</v>
      </c>
      <c r="BG192" s="49" t="s">
        <v>1373</v>
      </c>
      <c r="BH192" s="49" t="s">
        <v>1378</v>
      </c>
      <c r="BI192" s="1"/>
      <c r="BJ192" s="70" t="s">
        <v>1288</v>
      </c>
      <c r="BK192" s="57" t="s">
        <v>1288</v>
      </c>
      <c r="BL192" s="57" t="s">
        <v>1288</v>
      </c>
      <c r="BM192" s="57" t="s">
        <v>1288</v>
      </c>
      <c r="BN192" s="57" t="s">
        <v>1288</v>
      </c>
      <c r="BO192" s="57" t="s">
        <v>1288</v>
      </c>
      <c r="BP192" s="57" t="s">
        <v>1288</v>
      </c>
      <c r="BQ192" s="57" t="s">
        <v>1288</v>
      </c>
      <c r="BR192" s="57" t="s">
        <v>1288</v>
      </c>
      <c r="BS192" s="57" t="s">
        <v>1288</v>
      </c>
      <c r="BT192" s="57" t="s">
        <v>1288</v>
      </c>
      <c r="BU192" s="57" t="s">
        <v>1288</v>
      </c>
      <c r="BV192" s="70">
        <f t="shared" si="1008"/>
        <v>29</v>
      </c>
      <c r="BW192" s="71">
        <f t="shared" si="1009"/>
        <v>56</v>
      </c>
      <c r="BX192" s="72">
        <f t="shared" si="1010"/>
        <v>60</v>
      </c>
      <c r="BY192" s="71">
        <f t="shared" si="1011"/>
        <v>92</v>
      </c>
      <c r="BZ192" s="72">
        <f t="shared" si="1012"/>
        <v>96</v>
      </c>
      <c r="CA192" s="71">
        <f t="shared" si="1013"/>
        <v>132</v>
      </c>
      <c r="CB192" s="72">
        <f t="shared" si="1014"/>
        <v>140</v>
      </c>
      <c r="CC192" s="71">
        <f t="shared" si="1015"/>
        <v>180</v>
      </c>
      <c r="CD192" s="72">
        <f t="shared" si="1016"/>
        <v>187</v>
      </c>
      <c r="CE192" s="71">
        <f t="shared" si="1017"/>
        <v>404</v>
      </c>
      <c r="CF192" s="72">
        <f t="shared" si="1018"/>
        <v>446</v>
      </c>
      <c r="CG192" s="71">
        <f t="shared" si="1019"/>
        <v>472</v>
      </c>
      <c r="CH192" s="70">
        <f t="shared" si="1020"/>
        <v>55</v>
      </c>
      <c r="CI192" s="71">
        <f t="shared" si="1021"/>
        <v>59</v>
      </c>
      <c r="CJ192" s="72">
        <f t="shared" si="1022"/>
        <v>90</v>
      </c>
      <c r="CK192" s="72">
        <f t="shared" si="1023"/>
        <v>95</v>
      </c>
      <c r="CL192" s="72">
        <f t="shared" si="1024"/>
        <v>131</v>
      </c>
      <c r="CM192" s="72">
        <f t="shared" si="1025"/>
        <v>139</v>
      </c>
      <c r="CN192" s="72">
        <f t="shared" si="1026"/>
        <v>164</v>
      </c>
      <c r="CO192" s="72">
        <f t="shared" si="1027"/>
        <v>182</v>
      </c>
      <c r="CP192" s="72">
        <f t="shared" si="1028"/>
        <v>228</v>
      </c>
      <c r="CQ192" s="72">
        <f t="shared" si="1029"/>
        <v>441</v>
      </c>
      <c r="CR192" s="72">
        <f t="shared" si="1030"/>
        <v>471</v>
      </c>
      <c r="CS192" s="72">
        <f t="shared" si="1031"/>
        <v>484</v>
      </c>
      <c r="CT192" s="23">
        <f t="shared" si="1032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839"/>
        <v>hrh1_human_3RZE</v>
      </c>
      <c r="B193" s="3" t="s">
        <v>278</v>
      </c>
      <c r="C193" s="3" t="s">
        <v>73</v>
      </c>
      <c r="D193" s="3" t="str">
        <f>IFERROR(MID(VLOOKUP($B193,Seqs!$A:$B,2,0),E193,1),"")</f>
        <v>V</v>
      </c>
      <c r="E193" s="3">
        <v>33</v>
      </c>
      <c r="F193" s="3" t="str">
        <f>IFERROR(MID(VLOOKUP($B193,Seqs!$A:$B,2,0),G193,1),"")</f>
        <v>E</v>
      </c>
      <c r="G193" s="3">
        <v>55</v>
      </c>
      <c r="H193" s="3" t="str">
        <f>IFERROR(MID(VLOOKUP($B193,Seqs!$A:$B,2,0),I193,1),"")</f>
        <v>R</v>
      </c>
      <c r="I193" s="23">
        <v>56</v>
      </c>
      <c r="J193" s="3" t="str">
        <f>IFERROR(MID(VLOOKUP($B193,Seqs!$A:$B,2,0),K193,1),"")</f>
        <v>H</v>
      </c>
      <c r="K193" s="23">
        <v>59</v>
      </c>
      <c r="L193" s="3" t="str">
        <f>IFERROR(MID(VLOOKUP($B193,Seqs!$A:$B,2,0),M193,1),"")</f>
        <v>T</v>
      </c>
      <c r="M193" s="3">
        <v>60</v>
      </c>
      <c r="N193" s="3" t="str">
        <f>IFERROR(MID(VLOOKUP($B193,Seqs!$A:$B,2,0),O193,1),"")</f>
        <v>M</v>
      </c>
      <c r="O193" s="3">
        <v>90</v>
      </c>
      <c r="P193" s="3" t="str">
        <f>IFERROR(MID(VLOOKUP($B193,Seqs!$A:$B,2,0),Q193,1),"")</f>
        <v>K</v>
      </c>
      <c r="Q193" s="3">
        <v>92</v>
      </c>
      <c r="R193" s="3" t="str">
        <f>IFERROR(MID(VLOOKUP($B193,Seqs!$A:$B,2,0),S193,1),"")</f>
        <v>L</v>
      </c>
      <c r="S193" s="3">
        <v>95</v>
      </c>
      <c r="T193" s="3" t="str">
        <f>IFERROR(MID(VLOOKUP($B193,Seqs!$A:$B,2,0),U193,1),"")</f>
        <v>G</v>
      </c>
      <c r="U193" s="3">
        <v>96</v>
      </c>
      <c r="V193" s="3" t="str">
        <f>IFERROR(MID(VLOOKUP($B193,Seqs!$A:$B,2,0),W193,1),"")</f>
        <v>Q</v>
      </c>
      <c r="W193" s="3">
        <v>131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T</v>
      </c>
      <c r="AC193" s="9">
        <v>140</v>
      </c>
      <c r="AD193" s="3" t="str">
        <f>IFERROR(MID(VLOOKUP($B193,Seqs!$A:$B,2,0),AE193,1),"")</f>
        <v>G</v>
      </c>
      <c r="AE193" s="3">
        <v>164</v>
      </c>
      <c r="AF193" s="3" t="str">
        <f>IFERROR(MID(VLOOKUP($B193,Seqs!$A:$B,2,0),AG193,1),"")</f>
        <v>C</v>
      </c>
      <c r="AG193" s="3">
        <v>180</v>
      </c>
      <c r="AH193" s="3" t="str">
        <f>IFERROR(MID(VLOOKUP($B193,Seqs!$A:$B,2,0),AI193,1),"")</f>
        <v>T</v>
      </c>
      <c r="AI193" s="3">
        <v>182</v>
      </c>
      <c r="AJ193" s="3" t="str">
        <f>IFERROR(MID(VLOOKUP($B193,Seqs!$A:$B,2,0),AK193,1),"")</f>
        <v>V</v>
      </c>
      <c r="AK193" s="3">
        <v>187</v>
      </c>
      <c r="AL193" s="3" t="str">
        <f>IFERROR(MID(VLOOKUP($B193,Seqs!$A:$B,2,0),AM193,1),"")</f>
        <v>V</v>
      </c>
      <c r="AM193" s="3">
        <v>217</v>
      </c>
      <c r="AN193" s="3" t="str">
        <f>IFERROR(MID(VLOOKUP($B193,Seqs!$A:$B,2,0),AO193,1),"")</f>
        <v>N</v>
      </c>
      <c r="AO193" s="3">
        <v>408</v>
      </c>
      <c r="AP193" s="3" t="str">
        <f>IFERROR(MID(VLOOKUP($B193,Seqs!$A:$B,2,0),AQ193,1),"")</f>
        <v>C</v>
      </c>
      <c r="AQ193" s="3">
        <v>441</v>
      </c>
      <c r="AR193" s="3" t="str">
        <f>IFERROR(MID(VLOOKUP($B193,Seqs!$A:$B,2,0),AS193,1),"")</f>
        <v>N</v>
      </c>
      <c r="AS193" s="3">
        <v>446</v>
      </c>
      <c r="AT193" s="3" t="str">
        <f>IFERROR(MID(VLOOKUP($B193,Seqs!$A:$B,2,0),AU193,1),"")</f>
        <v>C</v>
      </c>
      <c r="AU193" s="3">
        <v>471</v>
      </c>
      <c r="AV193" s="3" t="str">
        <f>IFERROR(MID(VLOOKUP($B193,Seqs!$A:$B,2,0),AW193,1),"")</f>
        <v>N</v>
      </c>
      <c r="AW193" s="3">
        <v>472</v>
      </c>
      <c r="AX193" s="3" t="str">
        <f>IFERROR(MID(VLOOKUP($B193,Seqs!$A:$B,2,0),AY193,1),"")</f>
        <v>H</v>
      </c>
      <c r="AY193" s="3">
        <v>484</v>
      </c>
      <c r="AZ193" s="77" t="str">
        <f>VLOOKUP(B193,Classification!A:D,2,0)</f>
        <v>A</v>
      </c>
      <c r="BA193" s="94" t="str">
        <f>VLOOKUP(B193,Classification!A:D,4,0)</f>
        <v>Histamine</v>
      </c>
      <c r="BB193" s="27" t="b">
        <f t="shared" si="840"/>
        <v>1</v>
      </c>
      <c r="BC193" s="23">
        <f t="shared" si="1007"/>
        <v>231</v>
      </c>
      <c r="BD193" s="16" t="s">
        <v>1377</v>
      </c>
      <c r="BE193" s="3" t="s">
        <v>1375</v>
      </c>
      <c r="BF193" s="119">
        <v>3.1</v>
      </c>
      <c r="BG193" s="49" t="s">
        <v>1378</v>
      </c>
      <c r="BH193" s="49" t="s">
        <v>1378</v>
      </c>
      <c r="BI193" s="1"/>
      <c r="BJ193" s="70" t="s">
        <v>1288</v>
      </c>
      <c r="BK193" s="57" t="s">
        <v>1288</v>
      </c>
      <c r="BL193" s="57" t="s">
        <v>1288</v>
      </c>
      <c r="BM193" s="57" t="s">
        <v>1288</v>
      </c>
      <c r="BN193" s="57" t="s">
        <v>1288</v>
      </c>
      <c r="BO193" s="57" t="s">
        <v>1288</v>
      </c>
      <c r="BP193" s="57" t="s">
        <v>1288</v>
      </c>
      <c r="BQ193" s="57" t="s">
        <v>1288</v>
      </c>
      <c r="BR193" s="57" t="s">
        <v>1288</v>
      </c>
      <c r="BS193" s="57" t="s">
        <v>1288</v>
      </c>
      <c r="BT193" s="57" t="s">
        <v>1288</v>
      </c>
      <c r="BU193" s="57" t="s">
        <v>1288</v>
      </c>
      <c r="BV193" s="70">
        <f t="shared" si="1008"/>
        <v>33</v>
      </c>
      <c r="BW193" s="71">
        <f t="shared" si="1009"/>
        <v>56</v>
      </c>
      <c r="BX193" s="72">
        <f t="shared" si="1010"/>
        <v>60</v>
      </c>
      <c r="BY193" s="71">
        <f t="shared" si="1011"/>
        <v>92</v>
      </c>
      <c r="BZ193" s="72">
        <f t="shared" si="1012"/>
        <v>96</v>
      </c>
      <c r="CA193" s="71" t="str">
        <f t="shared" si="1013"/>
        <v>-</v>
      </c>
      <c r="CB193" s="72">
        <f t="shared" si="1014"/>
        <v>140</v>
      </c>
      <c r="CC193" s="71">
        <f t="shared" si="1015"/>
        <v>180</v>
      </c>
      <c r="CD193" s="72">
        <f t="shared" si="1016"/>
        <v>187</v>
      </c>
      <c r="CE193" s="71">
        <f t="shared" si="1017"/>
        <v>408</v>
      </c>
      <c r="CF193" s="72">
        <f t="shared" si="1018"/>
        <v>446</v>
      </c>
      <c r="CG193" s="71">
        <f t="shared" si="1019"/>
        <v>472</v>
      </c>
      <c r="CH193" s="70">
        <f t="shared" si="1020"/>
        <v>55</v>
      </c>
      <c r="CI193" s="71">
        <f t="shared" si="1021"/>
        <v>59</v>
      </c>
      <c r="CJ193" s="72">
        <f t="shared" si="1022"/>
        <v>90</v>
      </c>
      <c r="CK193" s="72">
        <f t="shared" si="1023"/>
        <v>95</v>
      </c>
      <c r="CL193" s="72">
        <f t="shared" si="1024"/>
        <v>131</v>
      </c>
      <c r="CM193" s="72" t="str">
        <f t="shared" si="1025"/>
        <v>-</v>
      </c>
      <c r="CN193" s="72">
        <f t="shared" si="1026"/>
        <v>164</v>
      </c>
      <c r="CO193" s="72">
        <f t="shared" si="1027"/>
        <v>182</v>
      </c>
      <c r="CP193" s="72">
        <f t="shared" si="1028"/>
        <v>217</v>
      </c>
      <c r="CQ193" s="72">
        <f t="shared" si="1029"/>
        <v>441</v>
      </c>
      <c r="CR193" s="72">
        <f t="shared" si="1030"/>
        <v>471</v>
      </c>
      <c r="CS193" s="72">
        <f t="shared" si="1031"/>
        <v>484</v>
      </c>
      <c r="CT193" s="23">
        <f t="shared" si="1032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ref="A194:A249" si="1033">CONCATENATE(B194,"_",C194)</f>
        <v>lpar1_human__wt</v>
      </c>
      <c r="B194" s="3" t="s">
        <v>103</v>
      </c>
      <c r="C194" s="3" t="s">
        <v>100</v>
      </c>
      <c r="D194" s="3" t="str">
        <f>IFERROR(MID(VLOOKUP($B194,Seqs!$A:$B,2,0),E194,1),"")</f>
        <v>T</v>
      </c>
      <c r="E194" s="3">
        <v>47</v>
      </c>
      <c r="F194" s="3" t="str">
        <f>IFERROR(MID(VLOOKUP($B194,Seqs!$A:$B,2,0),G194,1),"")</f>
        <v>N</v>
      </c>
      <c r="G194" s="3">
        <v>77</v>
      </c>
      <c r="H194" s="3" t="str">
        <f>IFERROR(MID(VLOOKUP($B194,Seqs!$A:$B,2,0),I194,1),"")</f>
        <v>R</v>
      </c>
      <c r="I194" s="23">
        <v>78</v>
      </c>
      <c r="J194" s="3" t="str">
        <f>IFERROR(MID(VLOOKUP($B194,Seqs!$A:$B,2,0),K194,1),"")</f>
        <v>H</v>
      </c>
      <c r="K194" s="23">
        <v>81</v>
      </c>
      <c r="L194" s="3" t="str">
        <f>IFERROR(MID(VLOOKUP($B194,Seqs!$A:$B,2,0),M194,1),"")</f>
        <v>F</v>
      </c>
      <c r="M194" s="3">
        <v>82</v>
      </c>
      <c r="N194" s="3" t="str">
        <f>IFERROR(MID(VLOOKUP($B194,Seqs!$A:$B,2,0),O194,1),"")</f>
        <v>N</v>
      </c>
      <c r="O194" s="3">
        <v>108</v>
      </c>
      <c r="P194" s="3" t="str">
        <f>IFERROR(MID(VLOOKUP($B194,Seqs!$A:$B,2,0),Q194,1),"")</f>
        <v>G</v>
      </c>
      <c r="Q194" s="3">
        <v>110</v>
      </c>
      <c r="R194" s="3" t="str">
        <f>IFERROR(MID(VLOOKUP($B194,Seqs!$A:$B,2,0),S194,1),"")</f>
        <v>L</v>
      </c>
      <c r="S194" s="3">
        <v>116</v>
      </c>
      <c r="T194" s="3" t="str">
        <f>IFERROR(MID(VLOOKUP($B194,Seqs!$A:$B,2,0),U194,1),"")</f>
        <v>T</v>
      </c>
      <c r="U194" s="3">
        <v>117</v>
      </c>
      <c r="V194" s="3" t="str">
        <f>IFERROR(MID(VLOOKUP($B194,Seqs!$A:$B,2,0),W194,1),"")</f>
        <v>R</v>
      </c>
      <c r="W194" s="3">
        <v>152</v>
      </c>
      <c r="X194" s="3" t="str">
        <f>IFERROR(MID(VLOOKUP($B194,Seqs!$A:$B,2,0),Y194,1),"")</f>
        <v>M</v>
      </c>
      <c r="Y194" s="105">
        <v>153</v>
      </c>
      <c r="Z194" s="3" t="str">
        <f>IFERROR(MID(VLOOKUP($B194,Seqs!$A:$B,2,0),AA194,1),"")</f>
        <v>M</v>
      </c>
      <c r="AA194" s="105">
        <v>159</v>
      </c>
      <c r="AB194" s="3" t="str">
        <f>IFERROR(MID(VLOOKUP($B194,Seqs!$A:$B,2,0),AC194,1),"")</f>
        <v>S</v>
      </c>
      <c r="AC194" s="105">
        <v>160</v>
      </c>
      <c r="AD194" s="3" t="str">
        <f>IFERROR(MID(VLOOKUP($B194,Seqs!$A:$B,2,0),AE194,1),"")</f>
        <v>G</v>
      </c>
      <c r="AE194" s="3">
        <v>185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S</v>
      </c>
      <c r="AK194" s="3">
        <v>203</v>
      </c>
      <c r="AL194" s="3" t="str">
        <f>IFERROR(MID(VLOOKUP($B194,Seqs!$A:$B,2,0),AM194,1),"")</f>
        <v>S</v>
      </c>
      <c r="AM194" s="3">
        <v>240</v>
      </c>
      <c r="AN194" s="3" t="str">
        <f>IFERROR(MID(VLOOKUP($B194,Seqs!$A:$B,2,0),AO194,1),"")</f>
        <v>G</v>
      </c>
      <c r="AO194" s="3">
        <v>245</v>
      </c>
      <c r="AP194" s="3" t="str">
        <f>IFERROR(MID(VLOOKUP($B194,Seqs!$A:$B,2,0),AQ194,1),"")</f>
        <v>C</v>
      </c>
      <c r="AQ194" s="3">
        <v>284</v>
      </c>
      <c r="AR194" s="3" t="str">
        <f>IFERROR(MID(VLOOKUP($B194,Seqs!$A:$B,2,0),AS194,1),"")</f>
        <v>D</v>
      </c>
      <c r="AS194" s="3">
        <v>288</v>
      </c>
      <c r="AT194" s="3" t="str">
        <f>IFERROR(MID(VLOOKUP($B194,Seqs!$A:$B,2,0),AU194,1),"")</f>
        <v>R</v>
      </c>
      <c r="AU194" s="3">
        <v>314</v>
      </c>
      <c r="AV194" s="3" t="str">
        <f>IFERROR(MID(VLOOKUP($B194,Seqs!$A:$B,2,0),AW194,1),"")</f>
        <v>D</v>
      </c>
      <c r="AW194" s="3">
        <v>315</v>
      </c>
      <c r="AX194" s="3" t="str">
        <f>IFERROR(MID(VLOOKUP($B194,Seqs!$A:$B,2,0),AY194,1),"")</f>
        <v>C</v>
      </c>
      <c r="AY194" s="3">
        <v>327</v>
      </c>
      <c r="AZ194" s="77" t="str">
        <f>VLOOKUP(B194,Classification!A:D,2,0)</f>
        <v>A</v>
      </c>
      <c r="BA194" s="94" t="str">
        <f>VLOOKUP(B194,Classification!A:D,4,0)</f>
        <v>Lysophospholipid(LPA)</v>
      </c>
      <c r="BB194" s="27" t="b">
        <f t="shared" ref="BB194:BB249" si="103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 t="shared" si="1007"/>
        <v>257</v>
      </c>
      <c r="BD194" s="56" t="s">
        <v>23</v>
      </c>
      <c r="BE194" s="3" t="s">
        <v>23</v>
      </c>
      <c r="BF194" s="119" t="s">
        <v>23</v>
      </c>
      <c r="BG194" s="49" t="s">
        <v>1373</v>
      </c>
      <c r="BH194" s="49" t="s">
        <v>1378</v>
      </c>
      <c r="BI194" s="1"/>
      <c r="BJ194" s="70" t="s">
        <v>1288</v>
      </c>
      <c r="BK194" s="57" t="s">
        <v>1288</v>
      </c>
      <c r="BL194" s="57" t="s">
        <v>1288</v>
      </c>
      <c r="BM194" s="57" t="s">
        <v>1288</v>
      </c>
      <c r="BN194" s="57" t="s">
        <v>1288</v>
      </c>
      <c r="BO194" s="57" t="s">
        <v>1288</v>
      </c>
      <c r="BP194" s="57" t="s">
        <v>1288</v>
      </c>
      <c r="BQ194" s="57" t="s">
        <v>1288</v>
      </c>
      <c r="BR194" s="57" t="s">
        <v>1288</v>
      </c>
      <c r="BS194" s="57" t="s">
        <v>1288</v>
      </c>
      <c r="BT194" s="57" t="s">
        <v>1288</v>
      </c>
      <c r="BU194" s="57" t="s">
        <v>1288</v>
      </c>
      <c r="BV194" s="70">
        <f t="shared" si="1008"/>
        <v>47</v>
      </c>
      <c r="BW194" s="71">
        <f t="shared" si="1009"/>
        <v>78</v>
      </c>
      <c r="BX194" s="72">
        <f t="shared" si="1010"/>
        <v>82</v>
      </c>
      <c r="BY194" s="71">
        <f t="shared" si="1011"/>
        <v>110</v>
      </c>
      <c r="BZ194" s="72">
        <f t="shared" si="1012"/>
        <v>117</v>
      </c>
      <c r="CA194" s="71">
        <f t="shared" si="1013"/>
        <v>153</v>
      </c>
      <c r="CB194" s="72">
        <f t="shared" si="1014"/>
        <v>160</v>
      </c>
      <c r="CC194" s="71" t="str">
        <f t="shared" si="1015"/>
        <v>-</v>
      </c>
      <c r="CD194" s="72">
        <f t="shared" si="1016"/>
        <v>203</v>
      </c>
      <c r="CE194" s="71">
        <f t="shared" si="1017"/>
        <v>245</v>
      </c>
      <c r="CF194" s="72">
        <f t="shared" si="1018"/>
        <v>288</v>
      </c>
      <c r="CG194" s="71">
        <f t="shared" si="1019"/>
        <v>315</v>
      </c>
      <c r="CH194" s="70">
        <f t="shared" si="1020"/>
        <v>77</v>
      </c>
      <c r="CI194" s="71">
        <f t="shared" si="1021"/>
        <v>81</v>
      </c>
      <c r="CJ194" s="72">
        <f t="shared" si="1022"/>
        <v>108</v>
      </c>
      <c r="CK194" s="72">
        <f t="shared" si="1023"/>
        <v>116</v>
      </c>
      <c r="CL194" s="72">
        <f t="shared" si="1024"/>
        <v>152</v>
      </c>
      <c r="CM194" s="72">
        <f t="shared" si="1025"/>
        <v>159</v>
      </c>
      <c r="CN194" s="72">
        <f t="shared" si="1026"/>
        <v>185</v>
      </c>
      <c r="CO194" s="72" t="str">
        <f t="shared" si="1027"/>
        <v>-</v>
      </c>
      <c r="CP194" s="72">
        <f t="shared" si="1028"/>
        <v>240</v>
      </c>
      <c r="CQ194" s="72">
        <f t="shared" si="1029"/>
        <v>284</v>
      </c>
      <c r="CR194" s="72">
        <f t="shared" si="1030"/>
        <v>314</v>
      </c>
      <c r="CS194" s="72">
        <f t="shared" si="1031"/>
        <v>327</v>
      </c>
      <c r="CT194" s="23">
        <f t="shared" si="1032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1033"/>
        <v>lpar1_human_4Z34</v>
      </c>
      <c r="B195" s="3" t="s">
        <v>103</v>
      </c>
      <c r="C195" s="3" t="s">
        <v>1057</v>
      </c>
      <c r="D195" s="3" t="str">
        <f>IFERROR(MID(VLOOKUP($B195,Seqs!$A:$B,2,0),E195,1),"")</f>
        <v>T</v>
      </c>
      <c r="E195" s="3">
        <v>47</v>
      </c>
      <c r="F195" s="3" t="str">
        <f>IFERROR(MID(VLOOKUP($B195,Seqs!$A:$B,2,0),G195,1),"")</f>
        <v>N</v>
      </c>
      <c r="G195" s="3">
        <v>77</v>
      </c>
      <c r="H195" s="3" t="str">
        <f>IFERROR(MID(VLOOKUP($B195,Seqs!$A:$B,2,0),I195,1),"")</f>
        <v>R</v>
      </c>
      <c r="I195" s="23">
        <v>78</v>
      </c>
      <c r="J195" s="3" t="str">
        <f>IFERROR(MID(VLOOKUP($B195,Seqs!$A:$B,2,0),K195,1),"")</f>
        <v>H</v>
      </c>
      <c r="K195" s="23">
        <v>81</v>
      </c>
      <c r="L195" s="3" t="str">
        <f>IFERROR(MID(VLOOKUP($B195,Seqs!$A:$B,2,0),M195,1),"")</f>
        <v>F</v>
      </c>
      <c r="M195" s="3">
        <v>82</v>
      </c>
      <c r="N195" s="3" t="str">
        <f>IFERROR(MID(VLOOKUP($B195,Seqs!$A:$B,2,0),O195,1),"")</f>
        <v>N</v>
      </c>
      <c r="O195" s="3">
        <v>108</v>
      </c>
      <c r="P195" s="3" t="str">
        <f>IFERROR(MID(VLOOKUP($B195,Seqs!$A:$B,2,0),Q195,1),"")</f>
        <v>G</v>
      </c>
      <c r="Q195" s="3">
        <v>110</v>
      </c>
      <c r="R195" s="3" t="str">
        <f>IFERROR(MID(VLOOKUP($B195,Seqs!$A:$B,2,0),S195,1),"")</f>
        <v>L</v>
      </c>
      <c r="S195" s="3">
        <v>116</v>
      </c>
      <c r="T195" s="3" t="str">
        <f>IFERROR(MID(VLOOKUP($B195,Seqs!$A:$B,2,0),U195,1),"")</f>
        <v>T</v>
      </c>
      <c r="U195" s="3">
        <v>117</v>
      </c>
      <c r="V195" s="3" t="str">
        <f>IFERROR(MID(VLOOKUP($B195,Seqs!$A:$B,2,0),W195,1),"")</f>
        <v>R</v>
      </c>
      <c r="W195" s="3">
        <v>152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T</v>
      </c>
      <c r="AC195" s="9">
        <v>157</v>
      </c>
      <c r="AD195" s="3" t="str">
        <f>IFERROR(MID(VLOOKUP($B195,Seqs!$A:$B,2,0),AE195,1),"")</f>
        <v>G</v>
      </c>
      <c r="AE195" s="3">
        <v>185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S</v>
      </c>
      <c r="AK195" s="3">
        <v>203</v>
      </c>
      <c r="AL195" s="3" t="str">
        <f>IFERROR(MID(VLOOKUP($B195,Seqs!$A:$B,2,0),AM195,1),"")</f>
        <v>R</v>
      </c>
      <c r="AM195" s="3">
        <v>235</v>
      </c>
      <c r="AN195" s="3" t="str">
        <f>IFERROR(MID(VLOOKUP($B195,Seqs!$A:$B,2,0),AO195,1),"")</f>
        <v>G</v>
      </c>
      <c r="AO195" s="3">
        <v>245</v>
      </c>
      <c r="AP195" s="3" t="str">
        <f>IFERROR(MID(VLOOKUP($B195,Seqs!$A:$B,2,0),AQ195,1),"")</f>
        <v>C</v>
      </c>
      <c r="AQ195" s="3">
        <v>284</v>
      </c>
      <c r="AR195" s="3" t="str">
        <f>IFERROR(MID(VLOOKUP($B195,Seqs!$A:$B,2,0),AS195,1),"")</f>
        <v>E</v>
      </c>
      <c r="AS195" s="3">
        <v>293</v>
      </c>
      <c r="AT195" s="3" t="str">
        <f>IFERROR(MID(VLOOKUP($B195,Seqs!$A:$B,2,0),AU195,1),"")</f>
        <v>R</v>
      </c>
      <c r="AU195" s="3">
        <v>314</v>
      </c>
      <c r="AV195" s="3" t="str">
        <f>IFERROR(MID(VLOOKUP($B195,Seqs!$A:$B,2,0),AW195,1),"")</f>
        <v>D</v>
      </c>
      <c r="AW195" s="3">
        <v>315</v>
      </c>
      <c r="AX195" s="3" t="str">
        <f>IFERROR(MID(VLOOKUP($B195,Seqs!$A:$B,2,0),AY195,1),"")</f>
        <v>C</v>
      </c>
      <c r="AY195" s="3">
        <v>327</v>
      </c>
      <c r="AZ195" s="77" t="str">
        <f>VLOOKUP(B195,Classification!A:D,2,0)</f>
        <v>A</v>
      </c>
      <c r="BA195" s="94" t="str">
        <f>VLOOKUP(B195,Classification!A:D,4,0)</f>
        <v>Lysophospholipid(LPA)</v>
      </c>
      <c r="BB195" s="27" t="b">
        <f t="shared" si="1034"/>
        <v>1</v>
      </c>
      <c r="BC195" s="23">
        <f t="shared" si="1007"/>
        <v>244</v>
      </c>
      <c r="BD195" s="16" t="s">
        <v>23</v>
      </c>
      <c r="BE195" s="3" t="s">
        <v>1375</v>
      </c>
      <c r="BF195" s="119">
        <v>3</v>
      </c>
      <c r="BG195" s="49" t="s">
        <v>1378</v>
      </c>
      <c r="BH195" s="49" t="s">
        <v>1378</v>
      </c>
      <c r="BI195" s="1"/>
      <c r="BJ195" s="70" t="s">
        <v>1288</v>
      </c>
      <c r="BK195" s="57" t="s">
        <v>1288</v>
      </c>
      <c r="BL195" s="57" t="s">
        <v>1288</v>
      </c>
      <c r="BM195" s="57" t="s">
        <v>1288</v>
      </c>
      <c r="BN195" s="57" t="s">
        <v>1288</v>
      </c>
      <c r="BO195" s="57" t="s">
        <v>1288</v>
      </c>
      <c r="BP195" s="57" t="s">
        <v>1288</v>
      </c>
      <c r="BQ195" s="57" t="s">
        <v>1288</v>
      </c>
      <c r="BR195" s="57" t="s">
        <v>1288</v>
      </c>
      <c r="BS195" s="57" t="s">
        <v>1288</v>
      </c>
      <c r="BT195" s="57" t="s">
        <v>1288</v>
      </c>
      <c r="BU195" s="57" t="s">
        <v>1288</v>
      </c>
      <c r="BV195" s="70">
        <f t="shared" si="1008"/>
        <v>47</v>
      </c>
      <c r="BW195" s="71">
        <f t="shared" si="1009"/>
        <v>78</v>
      </c>
      <c r="BX195" s="72">
        <f t="shared" si="1010"/>
        <v>82</v>
      </c>
      <c r="BY195" s="71">
        <f t="shared" si="1011"/>
        <v>110</v>
      </c>
      <c r="BZ195" s="72">
        <f t="shared" si="1012"/>
        <v>117</v>
      </c>
      <c r="CA195" s="71" t="str">
        <f t="shared" si="1013"/>
        <v>-</v>
      </c>
      <c r="CB195" s="72">
        <f t="shared" si="1014"/>
        <v>157</v>
      </c>
      <c r="CC195" s="71" t="str">
        <f t="shared" si="1015"/>
        <v>-</v>
      </c>
      <c r="CD195" s="72">
        <f t="shared" si="1016"/>
        <v>203</v>
      </c>
      <c r="CE195" s="71">
        <f t="shared" si="1017"/>
        <v>245</v>
      </c>
      <c r="CF195" s="72">
        <f t="shared" si="1018"/>
        <v>293</v>
      </c>
      <c r="CG195" s="71">
        <f t="shared" si="1019"/>
        <v>315</v>
      </c>
      <c r="CH195" s="70">
        <f t="shared" si="1020"/>
        <v>77</v>
      </c>
      <c r="CI195" s="71">
        <f t="shared" si="1021"/>
        <v>81</v>
      </c>
      <c r="CJ195" s="72">
        <f t="shared" si="1022"/>
        <v>108</v>
      </c>
      <c r="CK195" s="72">
        <f t="shared" si="1023"/>
        <v>116</v>
      </c>
      <c r="CL195" s="72">
        <f t="shared" si="1024"/>
        <v>152</v>
      </c>
      <c r="CM195" s="72" t="str">
        <f t="shared" si="1025"/>
        <v>-</v>
      </c>
      <c r="CN195" s="72">
        <f t="shared" si="1026"/>
        <v>185</v>
      </c>
      <c r="CO195" s="72" t="str">
        <f t="shared" si="1027"/>
        <v>-</v>
      </c>
      <c r="CP195" s="72">
        <f t="shared" si="1028"/>
        <v>235</v>
      </c>
      <c r="CQ195" s="72">
        <f t="shared" si="1029"/>
        <v>284</v>
      </c>
      <c r="CR195" s="72">
        <f t="shared" si="1030"/>
        <v>314</v>
      </c>
      <c r="CS195" s="72">
        <f t="shared" si="1031"/>
        <v>327</v>
      </c>
      <c r="CT195" s="23">
        <f t="shared" si="1032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033"/>
        <v>lpar1_human_4Z35</v>
      </c>
      <c r="B196" s="3" t="s">
        <v>103</v>
      </c>
      <c r="C196" s="3" t="s">
        <v>89</v>
      </c>
      <c r="D196" s="3" t="str">
        <f>IFERROR(MID(VLOOKUP($B196,Seqs!$A:$B,2,0),E196,1),"")</f>
        <v>T</v>
      </c>
      <c r="E196" s="3">
        <v>47</v>
      </c>
      <c r="F196" s="3" t="str">
        <f>IFERROR(MID(VLOOKUP($B196,Seqs!$A:$B,2,0),G196,1),"")</f>
        <v>N</v>
      </c>
      <c r="G196" s="3">
        <v>77</v>
      </c>
      <c r="H196" s="3" t="str">
        <f>IFERROR(MID(VLOOKUP($B196,Seqs!$A:$B,2,0),I196,1),"")</f>
        <v>R</v>
      </c>
      <c r="I196" s="23">
        <v>78</v>
      </c>
      <c r="J196" s="3" t="str">
        <f>IFERROR(MID(VLOOKUP($B196,Seqs!$A:$B,2,0),K196,1),"")</f>
        <v>H</v>
      </c>
      <c r="K196" s="23">
        <v>81</v>
      </c>
      <c r="L196" s="3" t="str">
        <f>IFERROR(MID(VLOOKUP($B196,Seqs!$A:$B,2,0),M196,1),"")</f>
        <v>F</v>
      </c>
      <c r="M196" s="3">
        <v>82</v>
      </c>
      <c r="N196" s="3" t="str">
        <f>IFERROR(MID(VLOOKUP($B196,Seqs!$A:$B,2,0),O196,1),"")</f>
        <v>N</v>
      </c>
      <c r="O196" s="3">
        <v>108</v>
      </c>
      <c r="P196" s="3" t="str">
        <f>IFERROR(MID(VLOOKUP($B196,Seqs!$A:$B,2,0),Q196,1),"")</f>
        <v>G</v>
      </c>
      <c r="Q196" s="3">
        <v>110</v>
      </c>
      <c r="R196" s="3" t="str">
        <f>IFERROR(MID(VLOOKUP($B196,Seqs!$A:$B,2,0),S196,1),"")</f>
        <v>L</v>
      </c>
      <c r="S196" s="3">
        <v>116</v>
      </c>
      <c r="T196" s="3" t="str">
        <f>IFERROR(MID(VLOOKUP($B196,Seqs!$A:$B,2,0),U196,1),"")</f>
        <v>T</v>
      </c>
      <c r="U196" s="3">
        <v>117</v>
      </c>
      <c r="V196" s="3" t="str">
        <f>IFERROR(MID(VLOOKUP($B196,Seqs!$A:$B,2,0),W196,1),"")</f>
        <v>R</v>
      </c>
      <c r="W196" s="3">
        <v>152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T</v>
      </c>
      <c r="AC196" s="9">
        <v>157</v>
      </c>
      <c r="AD196" s="3" t="str">
        <f>IFERROR(MID(VLOOKUP($B196,Seqs!$A:$B,2,0),AE196,1),"")</f>
        <v>G</v>
      </c>
      <c r="AE196" s="3">
        <v>185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S</v>
      </c>
      <c r="AK196" s="3">
        <v>203</v>
      </c>
      <c r="AL196" s="3" t="str">
        <f>IFERROR(MID(VLOOKUP($B196,Seqs!$A:$B,2,0),AM196,1),"")</f>
        <v>R</v>
      </c>
      <c r="AM196" s="3">
        <v>235</v>
      </c>
      <c r="AN196" s="3" t="str">
        <f>IFERROR(MID(VLOOKUP($B196,Seqs!$A:$B,2,0),AO196,1),"")</f>
        <v>G</v>
      </c>
      <c r="AO196" s="3">
        <v>245</v>
      </c>
      <c r="AP196" s="3" t="str">
        <f>IFERROR(MID(VLOOKUP($B196,Seqs!$A:$B,2,0),AQ196,1),"")</f>
        <v>C</v>
      </c>
      <c r="AQ196" s="3">
        <v>284</v>
      </c>
      <c r="AR196" s="3" t="str">
        <f>IFERROR(MID(VLOOKUP($B196,Seqs!$A:$B,2,0),AS196,1),"")</f>
        <v>E</v>
      </c>
      <c r="AS196" s="3">
        <v>293</v>
      </c>
      <c r="AT196" s="3" t="str">
        <f>IFERROR(MID(VLOOKUP($B196,Seqs!$A:$B,2,0),AU196,1),"")</f>
        <v>R</v>
      </c>
      <c r="AU196" s="3">
        <v>314</v>
      </c>
      <c r="AV196" s="3" t="str">
        <f>IFERROR(MID(VLOOKUP($B196,Seqs!$A:$B,2,0),AW196,1),"")</f>
        <v>D</v>
      </c>
      <c r="AW196" s="3">
        <v>315</v>
      </c>
      <c r="AX196" s="3" t="str">
        <f>IFERROR(MID(VLOOKUP($B196,Seqs!$A:$B,2,0),AY196,1),"")</f>
        <v>C</v>
      </c>
      <c r="AY196" s="3">
        <v>327</v>
      </c>
      <c r="AZ196" s="77" t="str">
        <f>VLOOKUP(B196,Classification!A:D,2,0)</f>
        <v>A</v>
      </c>
      <c r="BA196" s="94" t="str">
        <f>VLOOKUP(B196,Classification!A:D,4,0)</f>
        <v>Lysophospholipid(LPA)</v>
      </c>
      <c r="BB196" s="27" t="b">
        <f t="shared" si="1034"/>
        <v>1</v>
      </c>
      <c r="BC196" s="23">
        <f t="shared" si="1007"/>
        <v>244</v>
      </c>
      <c r="BD196" s="5" t="s">
        <v>1377</v>
      </c>
      <c r="BE196" s="3" t="s">
        <v>1375</v>
      </c>
      <c r="BF196" s="119">
        <v>2.9</v>
      </c>
      <c r="BG196" s="49" t="s">
        <v>1378</v>
      </c>
      <c r="BH196" s="49" t="s">
        <v>1378</v>
      </c>
      <c r="BI196" s="1"/>
      <c r="BJ196" s="70" t="s">
        <v>1288</v>
      </c>
      <c r="BK196" s="57" t="s">
        <v>1288</v>
      </c>
      <c r="BL196" s="57" t="s">
        <v>1288</v>
      </c>
      <c r="BM196" s="57" t="s">
        <v>1288</v>
      </c>
      <c r="BN196" s="57" t="s">
        <v>1288</v>
      </c>
      <c r="BO196" s="57" t="s">
        <v>1288</v>
      </c>
      <c r="BP196" s="57" t="s">
        <v>1288</v>
      </c>
      <c r="BQ196" s="57" t="s">
        <v>1288</v>
      </c>
      <c r="BR196" s="57" t="s">
        <v>1288</v>
      </c>
      <c r="BS196" s="57" t="s">
        <v>1288</v>
      </c>
      <c r="BT196" s="57" t="s">
        <v>1288</v>
      </c>
      <c r="BU196" s="57" t="s">
        <v>1288</v>
      </c>
      <c r="BV196" s="70">
        <f t="shared" si="1008"/>
        <v>47</v>
      </c>
      <c r="BW196" s="71">
        <f t="shared" si="1009"/>
        <v>78</v>
      </c>
      <c r="BX196" s="72">
        <f t="shared" si="1010"/>
        <v>82</v>
      </c>
      <c r="BY196" s="71">
        <f t="shared" si="1011"/>
        <v>110</v>
      </c>
      <c r="BZ196" s="72">
        <f t="shared" si="1012"/>
        <v>117</v>
      </c>
      <c r="CA196" s="71" t="str">
        <f t="shared" si="1013"/>
        <v>-</v>
      </c>
      <c r="CB196" s="72">
        <f t="shared" si="1014"/>
        <v>157</v>
      </c>
      <c r="CC196" s="71" t="str">
        <f t="shared" si="1015"/>
        <v>-</v>
      </c>
      <c r="CD196" s="72">
        <f t="shared" si="1016"/>
        <v>203</v>
      </c>
      <c r="CE196" s="71">
        <f t="shared" si="1017"/>
        <v>245</v>
      </c>
      <c r="CF196" s="72">
        <f t="shared" si="1018"/>
        <v>293</v>
      </c>
      <c r="CG196" s="71">
        <f t="shared" si="1019"/>
        <v>315</v>
      </c>
      <c r="CH196" s="70">
        <f t="shared" si="1020"/>
        <v>77</v>
      </c>
      <c r="CI196" s="71">
        <f t="shared" si="1021"/>
        <v>81</v>
      </c>
      <c r="CJ196" s="72">
        <f t="shared" si="1022"/>
        <v>108</v>
      </c>
      <c r="CK196" s="72">
        <f t="shared" si="1023"/>
        <v>116</v>
      </c>
      <c r="CL196" s="72">
        <f t="shared" si="1024"/>
        <v>152</v>
      </c>
      <c r="CM196" s="72" t="str">
        <f t="shared" si="1025"/>
        <v>-</v>
      </c>
      <c r="CN196" s="72">
        <f t="shared" si="1026"/>
        <v>185</v>
      </c>
      <c r="CO196" s="72" t="str">
        <f t="shared" si="1027"/>
        <v>-</v>
      </c>
      <c r="CP196" s="72">
        <f t="shared" si="1028"/>
        <v>235</v>
      </c>
      <c r="CQ196" s="72">
        <f t="shared" si="1029"/>
        <v>284</v>
      </c>
      <c r="CR196" s="72">
        <f t="shared" si="1030"/>
        <v>314</v>
      </c>
      <c r="CS196" s="72">
        <f t="shared" si="1031"/>
        <v>327</v>
      </c>
      <c r="CT196" s="23">
        <f t="shared" si="1032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033"/>
        <v>lpar1_human_4Z36</v>
      </c>
      <c r="B197" s="3" t="s">
        <v>103</v>
      </c>
      <c r="C197" s="3" t="s">
        <v>1058</v>
      </c>
      <c r="D197" s="3" t="str">
        <f>IFERROR(MID(VLOOKUP($B197,Seqs!$A:$B,2,0),E197,1),"")</f>
        <v>T</v>
      </c>
      <c r="E197" s="3">
        <v>47</v>
      </c>
      <c r="F197" s="3" t="str">
        <f>IFERROR(MID(VLOOKUP($B197,Seqs!$A:$B,2,0),G197,1),"")</f>
        <v>N</v>
      </c>
      <c r="G197" s="3">
        <v>77</v>
      </c>
      <c r="H197" s="3" t="str">
        <f>IFERROR(MID(VLOOKUP($B197,Seqs!$A:$B,2,0),I197,1),"")</f>
        <v>R</v>
      </c>
      <c r="I197" s="23">
        <v>78</v>
      </c>
      <c r="J197" s="3" t="str">
        <f>IFERROR(MID(VLOOKUP($B197,Seqs!$A:$B,2,0),K197,1),"")</f>
        <v>H</v>
      </c>
      <c r="K197" s="23">
        <v>81</v>
      </c>
      <c r="L197" s="3" t="str">
        <f>IFERROR(MID(VLOOKUP($B197,Seqs!$A:$B,2,0),M197,1),"")</f>
        <v>F</v>
      </c>
      <c r="M197" s="3">
        <v>82</v>
      </c>
      <c r="N197" s="3" t="str">
        <f>IFERROR(MID(VLOOKUP($B197,Seqs!$A:$B,2,0),O197,1),"")</f>
        <v>N</v>
      </c>
      <c r="O197" s="3">
        <v>108</v>
      </c>
      <c r="P197" s="3" t="str">
        <f>IFERROR(MID(VLOOKUP($B197,Seqs!$A:$B,2,0),Q197,1),"")</f>
        <v>G</v>
      </c>
      <c r="Q197" s="3">
        <v>110</v>
      </c>
      <c r="R197" s="3" t="str">
        <f>IFERROR(MID(VLOOKUP($B197,Seqs!$A:$B,2,0),S197,1),"")</f>
        <v>L</v>
      </c>
      <c r="S197" s="3">
        <v>116</v>
      </c>
      <c r="T197" s="3" t="str">
        <f>IFERROR(MID(VLOOKUP($B197,Seqs!$A:$B,2,0),U197,1),"")</f>
        <v>T</v>
      </c>
      <c r="U197" s="3">
        <v>117</v>
      </c>
      <c r="V197" s="3" t="str">
        <f>IFERROR(MID(VLOOKUP($B197,Seqs!$A:$B,2,0),W197,1),"")</f>
        <v>R</v>
      </c>
      <c r="W197" s="3">
        <v>152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T</v>
      </c>
      <c r="AC197" s="9">
        <v>157</v>
      </c>
      <c r="AD197" s="3" t="str">
        <f>IFERROR(MID(VLOOKUP($B197,Seqs!$A:$B,2,0),AE197,1),"")</f>
        <v>G</v>
      </c>
      <c r="AE197" s="3">
        <v>185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S</v>
      </c>
      <c r="AK197" s="3">
        <v>203</v>
      </c>
      <c r="AL197" s="3" t="str">
        <f>IFERROR(MID(VLOOKUP($B197,Seqs!$A:$B,2,0),AM197,1),"")</f>
        <v>R</v>
      </c>
      <c r="AM197" s="3">
        <v>235</v>
      </c>
      <c r="AN197" s="3" t="str">
        <f>IFERROR(MID(VLOOKUP($B197,Seqs!$A:$B,2,0),AO197,1),"")</f>
        <v>G</v>
      </c>
      <c r="AO197" s="3">
        <v>245</v>
      </c>
      <c r="AP197" s="3" t="str">
        <f>IFERROR(MID(VLOOKUP($B197,Seqs!$A:$B,2,0),AQ197,1),"")</f>
        <v>C</v>
      </c>
      <c r="AQ197" s="3">
        <v>284</v>
      </c>
      <c r="AR197" s="3" t="str">
        <f>IFERROR(MID(VLOOKUP($B197,Seqs!$A:$B,2,0),AS197,1),"")</f>
        <v>E</v>
      </c>
      <c r="AS197" s="3">
        <v>293</v>
      </c>
      <c r="AT197" s="3" t="str">
        <f>IFERROR(MID(VLOOKUP($B197,Seqs!$A:$B,2,0),AU197,1),"")</f>
        <v>R</v>
      </c>
      <c r="AU197" s="3">
        <v>314</v>
      </c>
      <c r="AV197" s="3" t="str">
        <f>IFERROR(MID(VLOOKUP($B197,Seqs!$A:$B,2,0),AW197,1),"")</f>
        <v>D</v>
      </c>
      <c r="AW197" s="3">
        <v>315</v>
      </c>
      <c r="AX197" s="3" t="str">
        <f>IFERROR(MID(VLOOKUP($B197,Seqs!$A:$B,2,0),AY197,1),"")</f>
        <v>C</v>
      </c>
      <c r="AY197" s="3">
        <v>327</v>
      </c>
      <c r="AZ197" s="77" t="str">
        <f>VLOOKUP(B197,Classification!A:D,2,0)</f>
        <v>A</v>
      </c>
      <c r="BA197" s="94" t="str">
        <f>VLOOKUP(B197,Classification!A:D,4,0)</f>
        <v>Lysophospholipid(LPA)</v>
      </c>
      <c r="BB197" s="27" t="b">
        <f t="shared" si="1034"/>
        <v>1</v>
      </c>
      <c r="BC197" s="23">
        <f t="shared" si="1007"/>
        <v>244</v>
      </c>
      <c r="BD197" s="5" t="s">
        <v>23</v>
      </c>
      <c r="BE197" s="3" t="s">
        <v>1375</v>
      </c>
      <c r="BF197" s="119">
        <v>2.9</v>
      </c>
      <c r="BG197" s="49" t="s">
        <v>1378</v>
      </c>
      <c r="BH197" s="49" t="s">
        <v>1378</v>
      </c>
      <c r="BI197" s="1"/>
      <c r="BJ197" s="70" t="s">
        <v>1288</v>
      </c>
      <c r="BK197" s="57" t="s">
        <v>1288</v>
      </c>
      <c r="BL197" s="57" t="s">
        <v>1288</v>
      </c>
      <c r="BM197" s="57" t="s">
        <v>1288</v>
      </c>
      <c r="BN197" s="57" t="s">
        <v>1288</v>
      </c>
      <c r="BO197" s="57" t="s">
        <v>1288</v>
      </c>
      <c r="BP197" s="57" t="s">
        <v>1288</v>
      </c>
      <c r="BQ197" s="57" t="s">
        <v>1288</v>
      </c>
      <c r="BR197" s="57" t="s">
        <v>1288</v>
      </c>
      <c r="BS197" s="57" t="s">
        <v>1288</v>
      </c>
      <c r="BT197" s="57" t="s">
        <v>1288</v>
      </c>
      <c r="BU197" s="57" t="s">
        <v>1288</v>
      </c>
      <c r="BV197" s="70">
        <f t="shared" si="1008"/>
        <v>47</v>
      </c>
      <c r="BW197" s="71">
        <f t="shared" si="1009"/>
        <v>78</v>
      </c>
      <c r="BX197" s="72">
        <f t="shared" si="1010"/>
        <v>82</v>
      </c>
      <c r="BY197" s="71">
        <f t="shared" si="1011"/>
        <v>110</v>
      </c>
      <c r="BZ197" s="72">
        <f t="shared" si="1012"/>
        <v>117</v>
      </c>
      <c r="CA197" s="71" t="str">
        <f t="shared" si="1013"/>
        <v>-</v>
      </c>
      <c r="CB197" s="72">
        <f t="shared" si="1014"/>
        <v>157</v>
      </c>
      <c r="CC197" s="71" t="str">
        <f t="shared" si="1015"/>
        <v>-</v>
      </c>
      <c r="CD197" s="72">
        <f t="shared" si="1016"/>
        <v>203</v>
      </c>
      <c r="CE197" s="71">
        <f t="shared" si="1017"/>
        <v>245</v>
      </c>
      <c r="CF197" s="72">
        <f t="shared" si="1018"/>
        <v>293</v>
      </c>
      <c r="CG197" s="71">
        <f t="shared" si="1019"/>
        <v>315</v>
      </c>
      <c r="CH197" s="70">
        <f t="shared" si="1020"/>
        <v>77</v>
      </c>
      <c r="CI197" s="71">
        <f t="shared" si="1021"/>
        <v>81</v>
      </c>
      <c r="CJ197" s="72">
        <f t="shared" si="1022"/>
        <v>108</v>
      </c>
      <c r="CK197" s="72">
        <f t="shared" si="1023"/>
        <v>116</v>
      </c>
      <c r="CL197" s="72">
        <f t="shared" si="1024"/>
        <v>152</v>
      </c>
      <c r="CM197" s="72" t="str">
        <f t="shared" si="1025"/>
        <v>-</v>
      </c>
      <c r="CN197" s="72">
        <f t="shared" si="1026"/>
        <v>185</v>
      </c>
      <c r="CO197" s="72" t="str">
        <f t="shared" si="1027"/>
        <v>-</v>
      </c>
      <c r="CP197" s="72">
        <f t="shared" si="1028"/>
        <v>235</v>
      </c>
      <c r="CQ197" s="72">
        <f t="shared" si="1029"/>
        <v>284</v>
      </c>
      <c r="CR197" s="72">
        <f t="shared" si="1030"/>
        <v>314</v>
      </c>
      <c r="CS197" s="72">
        <f t="shared" si="1031"/>
        <v>327</v>
      </c>
      <c r="CT197" s="23">
        <f t="shared" si="1032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s="12" customFormat="1" x14ac:dyDescent="0.2">
      <c r="A198" s="9" t="str">
        <f t="shared" ref="A198:A199" si="1035">CONCATENATE(B198,"_",C198)</f>
        <v>mtr1a_human__wt</v>
      </c>
      <c r="B198" s="9" t="s">
        <v>311</v>
      </c>
      <c r="C198" s="9" t="s">
        <v>100</v>
      </c>
      <c r="D198" s="9" t="str">
        <f>IFERROR(MID(VLOOKUP($B198,Seqs!$A:$B,2,0),E198,1),"")</f>
        <v>P</v>
      </c>
      <c r="E198" s="9">
        <v>23</v>
      </c>
      <c r="F198" s="9" t="str">
        <f>IFERROR(MID(VLOOKUP($B198,Seqs!$A:$B,2,0),G198,1),"")</f>
        <v>N</v>
      </c>
      <c r="G198" s="9">
        <v>55</v>
      </c>
      <c r="H198" s="9" t="str">
        <f>IFERROR(MID(VLOOKUP($B198,Seqs!$A:$B,2,0),I198,1),"")</f>
        <v>K</v>
      </c>
      <c r="I198" s="109">
        <v>56</v>
      </c>
      <c r="J198" s="9" t="str">
        <f>IFERROR(MID(VLOOKUP($B198,Seqs!$A:$B,2,0),K198,1),"")</f>
        <v>R</v>
      </c>
      <c r="K198" s="109">
        <v>59</v>
      </c>
      <c r="L198" s="9" t="str">
        <f>IFERROR(MID(VLOOKUP($B198,Seqs!$A:$B,2,0),M198,1),"")</f>
        <v>N</v>
      </c>
      <c r="M198" s="9">
        <v>60</v>
      </c>
      <c r="N198" s="9" t="str">
        <f>IFERROR(MID(VLOOKUP($B198,Seqs!$A:$B,2,0),O198,1),"")</f>
        <v>N</v>
      </c>
      <c r="O198" s="9">
        <v>91</v>
      </c>
      <c r="P198" s="9" t="str">
        <f>IFERROR(MID(VLOOKUP($B198,Seqs!$A:$B,2,0),Q198,1),"")</f>
        <v>G</v>
      </c>
      <c r="Q198" s="9">
        <v>92</v>
      </c>
      <c r="R198" s="9" t="str">
        <f>IFERROR(MID(VLOOKUP($B198,Seqs!$A:$B,2,0),S198,1),"")</f>
        <v>L</v>
      </c>
      <c r="S198" s="9">
        <v>95</v>
      </c>
      <c r="T198" s="9" t="str">
        <f>IFERROR(MID(VLOOKUP($B198,Seqs!$A:$B,2,0),U198,1),"")</f>
        <v>G</v>
      </c>
      <c r="U198" s="9">
        <v>96</v>
      </c>
      <c r="V198" s="9" t="str">
        <f>IFERROR(MID(VLOOKUP($B198,Seqs!$A:$B,2,0),W198,1),"")</f>
        <v>H</v>
      </c>
      <c r="W198" s="9">
        <v>131</v>
      </c>
      <c r="X198" s="9" t="str">
        <f>IFERROR(MID(VLOOKUP($B198,Seqs!$A:$B,2,0),Y198,1),"")</f>
        <v>S</v>
      </c>
      <c r="Y198" s="9">
        <v>132</v>
      </c>
      <c r="Z198" s="9" t="str">
        <f>IFERROR(MID(VLOOKUP($B198,Seqs!$A:$B,2,0),AA198,1),"")</f>
        <v>Y</v>
      </c>
      <c r="AA198" s="9">
        <v>139</v>
      </c>
      <c r="AB198" s="9" t="str">
        <f>IFERROR(MID(VLOOKUP($B198,Seqs!$A:$B,2,0),AC198,1),"")</f>
        <v>S</v>
      </c>
      <c r="AC198" s="9">
        <v>140</v>
      </c>
      <c r="AD198" s="9" t="str">
        <f>IFERROR(MID(VLOOKUP($B198,Seqs!$A:$B,2,0),AE198,1),"")</f>
        <v>G</v>
      </c>
      <c r="AE198" s="9">
        <v>166</v>
      </c>
      <c r="AF198" s="9" t="str">
        <f>IFERROR(MID(VLOOKUP($B198,Seqs!$A:$B,2,0),AG198,1),"")</f>
        <v>C</v>
      </c>
      <c r="AG198" s="9">
        <v>177</v>
      </c>
      <c r="AH198" s="3" t="str">
        <f>IFERROR(MID(VLOOKUP($B198,Seqs!$A:$B,2,0),AI198,1),"")</f>
        <v>F</v>
      </c>
      <c r="AI198" s="9">
        <v>179</v>
      </c>
      <c r="AJ198" s="9" t="str">
        <f>IFERROR(MID(VLOOKUP($B198,Seqs!$A:$B,2,0),AK198,1),"")</f>
        <v>S</v>
      </c>
      <c r="AK198" s="9">
        <v>184</v>
      </c>
      <c r="AL198" s="9" t="str">
        <f>IFERROR(MID(VLOOKUP($B198,Seqs!$A:$B,2,0),AM198,1),"")</f>
        <v>V</v>
      </c>
      <c r="AM198" s="9">
        <v>221</v>
      </c>
      <c r="AN198" s="9" t="str">
        <f>IFERROR(MID(VLOOKUP($B198,Seqs!$A:$B,2,0),AO198,1),"")</f>
        <v>P</v>
      </c>
      <c r="AO198" s="9">
        <v>227</v>
      </c>
      <c r="AP198" s="9" t="str">
        <f>IFERROR(MID(VLOOKUP($B198,Seqs!$A:$B,2,0),AQ198,1),"")</f>
        <v>D</v>
      </c>
      <c r="AQ198" s="9">
        <v>264</v>
      </c>
      <c r="AR198" s="9" t="str">
        <f>IFERROR(MID(VLOOKUP($B198,Seqs!$A:$B,2,0),AS198,1),"")</f>
        <v>P</v>
      </c>
      <c r="AS198" s="9">
        <v>273</v>
      </c>
      <c r="AT198" s="9" t="str">
        <f>IFERROR(MID(VLOOKUP($B198,Seqs!$A:$B,2,0),AU198,1),"")</f>
        <v>L</v>
      </c>
      <c r="AU198" s="9">
        <v>298</v>
      </c>
      <c r="AV198" s="9" t="str">
        <f>IFERROR(MID(VLOOKUP($B198,Seqs!$A:$B,2,0),AW198,1),"")</f>
        <v>N</v>
      </c>
      <c r="AW198" s="9">
        <v>299</v>
      </c>
      <c r="AX198" s="9" t="str">
        <f>IFERROR(MID(VLOOKUP($B198,Seqs!$A:$B,2,0),AY198,1),"")</f>
        <v>T</v>
      </c>
      <c r="AY198" s="9">
        <v>315</v>
      </c>
      <c r="AZ198" s="110" t="str">
        <f>VLOOKUP(B198,Classification!A:D,2,0)</f>
        <v>A</v>
      </c>
      <c r="BA198" s="98" t="str">
        <f>VLOOKUP(B198,Classification!A:D,4,0)</f>
        <v>Melatonin</v>
      </c>
      <c r="BB198" s="36" t="b">
        <f t="shared" ref="BB198:BB199" si="1036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109">
        <f t="shared" ref="BC198:BC200" si="1037">_xlfn.AGGREGATE(9,6,CH198:CS198)-_xlfn.AGGREGATE(9,6,BV198:CG198)+12</f>
        <v>266</v>
      </c>
      <c r="BD198" s="13" t="s">
        <v>23</v>
      </c>
      <c r="BE198" s="9" t="s">
        <v>23</v>
      </c>
      <c r="BF198" s="120" t="s">
        <v>23</v>
      </c>
      <c r="BG198" s="51" t="s">
        <v>1378</v>
      </c>
      <c r="BH198" s="51" t="s">
        <v>1378</v>
      </c>
      <c r="BJ198" s="111" t="s">
        <v>1288</v>
      </c>
      <c r="BK198" s="112" t="s">
        <v>1288</v>
      </c>
      <c r="BL198" s="112" t="s">
        <v>1288</v>
      </c>
      <c r="BM198" s="112" t="s">
        <v>1288</v>
      </c>
      <c r="BN198" s="112" t="s">
        <v>1288</v>
      </c>
      <c r="BO198" s="112" t="s">
        <v>1288</v>
      </c>
      <c r="BP198" s="112" t="s">
        <v>1288</v>
      </c>
      <c r="BQ198" s="112" t="s">
        <v>1288</v>
      </c>
      <c r="BR198" s="112" t="s">
        <v>1288</v>
      </c>
      <c r="BS198" s="112" t="s">
        <v>1288</v>
      </c>
      <c r="BT198" s="112" t="s">
        <v>1288</v>
      </c>
      <c r="BU198" s="112" t="s">
        <v>1288</v>
      </c>
      <c r="BV198" s="111">
        <f t="shared" ref="BV198:BV199" si="1038">E198</f>
        <v>23</v>
      </c>
      <c r="BW198" s="113">
        <f t="shared" ref="BW198:BW199" si="1039">I198</f>
        <v>56</v>
      </c>
      <c r="BX198" s="114">
        <f t="shared" ref="BX198:BX199" si="1040">M198</f>
        <v>60</v>
      </c>
      <c r="BY198" s="113">
        <f t="shared" ref="BY198:BY199" si="1041">Q198</f>
        <v>92</v>
      </c>
      <c r="BZ198" s="114">
        <f t="shared" ref="BZ198:BZ199" si="1042">U198</f>
        <v>96</v>
      </c>
      <c r="CA198" s="113">
        <f t="shared" ref="CA198:CA199" si="1043">Y198</f>
        <v>132</v>
      </c>
      <c r="CB198" s="114">
        <f t="shared" ref="CB198:CB199" si="1044">AC198</f>
        <v>140</v>
      </c>
      <c r="CC198" s="113">
        <f t="shared" ref="CC198:CC199" si="1045">AG198</f>
        <v>177</v>
      </c>
      <c r="CD198" s="114">
        <f t="shared" ref="CD198:CD199" si="1046">AK198</f>
        <v>184</v>
      </c>
      <c r="CE198" s="113">
        <f t="shared" ref="CE198:CE199" si="1047">AO198</f>
        <v>227</v>
      </c>
      <c r="CF198" s="114">
        <f t="shared" ref="CF198:CF199" si="1048">AS198</f>
        <v>273</v>
      </c>
      <c r="CG198" s="113">
        <f t="shared" ref="CG198:CG199" si="1049">AW198</f>
        <v>299</v>
      </c>
      <c r="CH198" s="111">
        <f t="shared" ref="CH198:CH199" si="1050">G198</f>
        <v>55</v>
      </c>
      <c r="CI198" s="113">
        <f t="shared" ref="CI198:CI199" si="1051">K198</f>
        <v>59</v>
      </c>
      <c r="CJ198" s="114">
        <f t="shared" ref="CJ198:CJ199" si="1052">O198</f>
        <v>91</v>
      </c>
      <c r="CK198" s="114">
        <f t="shared" ref="CK198:CK199" si="1053">S198</f>
        <v>95</v>
      </c>
      <c r="CL198" s="114">
        <f t="shared" ref="CL198:CL199" si="1054">W198</f>
        <v>131</v>
      </c>
      <c r="CM198" s="114">
        <f t="shared" ref="CM198:CM199" si="1055">AA198</f>
        <v>139</v>
      </c>
      <c r="CN198" s="114">
        <f t="shared" ref="CN198:CN199" si="1056">AE198</f>
        <v>166</v>
      </c>
      <c r="CO198" s="114">
        <f t="shared" ref="CO198:CO199" si="1057">AI198</f>
        <v>179</v>
      </c>
      <c r="CP198" s="114">
        <f t="shared" ref="CP198:CP199" si="1058">AM198</f>
        <v>221</v>
      </c>
      <c r="CQ198" s="114">
        <f t="shared" ref="CQ198:CQ199" si="1059">AQ198</f>
        <v>264</v>
      </c>
      <c r="CR198" s="114">
        <f t="shared" ref="CR198:CR199" si="1060">AU198</f>
        <v>298</v>
      </c>
      <c r="CS198" s="114">
        <f t="shared" ref="CS198:CS199" si="1061">AY198</f>
        <v>315</v>
      </c>
      <c r="CT198" s="109">
        <f t="shared" ref="CT198:CT199" si="1062">M198-K198</f>
        <v>1</v>
      </c>
    </row>
    <row r="199" spans="1:1029" s="12" customFormat="1" x14ac:dyDescent="0.2">
      <c r="A199" s="9" t="str">
        <f t="shared" si="1035"/>
        <v>mtr1a_human_6ME2</v>
      </c>
      <c r="B199" s="9" t="s">
        <v>311</v>
      </c>
      <c r="C199" s="9" t="s">
        <v>1565</v>
      </c>
      <c r="D199" s="9" t="str">
        <f>IFERROR(MID(VLOOKUP($B199,Seqs!$A:$B,2,0),E199,1),"")</f>
        <v>P</v>
      </c>
      <c r="E199" s="9">
        <v>23</v>
      </c>
      <c r="F199" s="9" t="str">
        <f>IFERROR(MID(VLOOKUP($B199,Seqs!$A:$B,2,0),G199,1),"")</f>
        <v>N</v>
      </c>
      <c r="G199" s="9">
        <v>55</v>
      </c>
      <c r="H199" s="9" t="str">
        <f>IFERROR(MID(VLOOKUP($B199,Seqs!$A:$B,2,0),I199,1),"")</f>
        <v>K</v>
      </c>
      <c r="I199" s="109">
        <v>56</v>
      </c>
      <c r="J199" s="9" t="str">
        <f>IFERROR(MID(VLOOKUP($B199,Seqs!$A:$B,2,0),K199,1),"")</f>
        <v>R</v>
      </c>
      <c r="K199" s="109">
        <v>59</v>
      </c>
      <c r="L199" s="9" t="str">
        <f>IFERROR(MID(VLOOKUP($B199,Seqs!$A:$B,2,0),M199,1),"")</f>
        <v>N</v>
      </c>
      <c r="M199" s="9">
        <v>60</v>
      </c>
      <c r="N199" s="9" t="str">
        <f>IFERROR(MID(VLOOKUP($B199,Seqs!$A:$B,2,0),O199,1),"")</f>
        <v>N</v>
      </c>
      <c r="O199" s="9">
        <v>91</v>
      </c>
      <c r="P199" s="9" t="str">
        <f>IFERROR(MID(VLOOKUP($B199,Seqs!$A:$B,2,0),Q199,1),"")</f>
        <v>G</v>
      </c>
      <c r="Q199" s="9">
        <v>92</v>
      </c>
      <c r="R199" s="9" t="str">
        <f>IFERROR(MID(VLOOKUP($B199,Seqs!$A:$B,2,0),S199,1),"")</f>
        <v>L</v>
      </c>
      <c r="S199" s="9">
        <v>95</v>
      </c>
      <c r="T199" s="9" t="str">
        <f>IFERROR(MID(VLOOKUP($B199,Seqs!$A:$B,2,0),U199,1),"")</f>
        <v>G</v>
      </c>
      <c r="U199" s="9">
        <v>96</v>
      </c>
      <c r="V199" s="9" t="str">
        <f>IFERROR(MID(VLOOKUP($B199,Seqs!$A:$B,2,0),W199,1),"")</f>
        <v>Y</v>
      </c>
      <c r="W199" s="9">
        <v>135</v>
      </c>
      <c r="X199" s="9" t="str">
        <f>IFERROR(MID(VLOOKUP($B199,Seqs!$A:$B,2,0),Y199,1),"")</f>
        <v/>
      </c>
      <c r="Y199" s="9" t="s">
        <v>23</v>
      </c>
      <c r="Z199" s="9" t="str">
        <f>IFERROR(MID(VLOOKUP($B199,Seqs!$A:$B,2,0),AA199,1),"")</f>
        <v/>
      </c>
      <c r="AA199" s="9" t="s">
        <v>23</v>
      </c>
      <c r="AB199" s="9" t="str">
        <f>IFERROR(MID(VLOOKUP($B199,Seqs!$A:$B,2,0),AC199,1),"")</f>
        <v>N</v>
      </c>
      <c r="AC199" s="9">
        <v>143</v>
      </c>
      <c r="AD199" s="9" t="str">
        <f>IFERROR(MID(VLOOKUP($B199,Seqs!$A:$B,2,0),AE199,1),"")</f>
        <v>G</v>
      </c>
      <c r="AE199" s="9">
        <v>166</v>
      </c>
      <c r="AF199" s="9" t="str">
        <f>IFERROR(MID(VLOOKUP($B199,Seqs!$A:$B,2,0),AG199,1),"")</f>
        <v>C</v>
      </c>
      <c r="AG199" s="9">
        <v>177</v>
      </c>
      <c r="AH199" s="9" t="str">
        <f>IFERROR(MID(VLOOKUP($B199,Seqs!$A:$B,2,0),AI199,1),"")</f>
        <v>F</v>
      </c>
      <c r="AI199" s="9">
        <v>179</v>
      </c>
      <c r="AJ199" s="9" t="str">
        <f>IFERROR(MID(VLOOKUP($B199,Seqs!$A:$B,2,0),AK199,1),"")</f>
        <v>S</v>
      </c>
      <c r="AK199" s="9">
        <v>184</v>
      </c>
      <c r="AL199" s="9" t="str">
        <f>IFERROR(MID(VLOOKUP($B199,Seqs!$A:$B,2,0),AM199,1),"")</f>
        <v>R</v>
      </c>
      <c r="AM199" s="9">
        <v>218</v>
      </c>
      <c r="AN199" s="9" t="str">
        <f>IFERROR(MID(VLOOKUP($B199,Seqs!$A:$B,2,0),AO199,1),"")</f>
        <v>R</v>
      </c>
      <c r="AO199" s="9">
        <v>235</v>
      </c>
      <c r="AP199" s="9" t="str">
        <f>IFERROR(MID(VLOOKUP($B199,Seqs!$A:$B,2,0),AQ199,1),"")</f>
        <v>D</v>
      </c>
      <c r="AQ199" s="9">
        <v>264</v>
      </c>
      <c r="AR199" s="9" t="str">
        <f>IFERROR(MID(VLOOKUP($B199,Seqs!$A:$B,2,0),AS199,1),"")</f>
        <v>P</v>
      </c>
      <c r="AS199" s="9">
        <v>273</v>
      </c>
      <c r="AT199" s="9" t="str">
        <f>IFERROR(MID(VLOOKUP($B199,Seqs!$A:$B,2,0),AU199,1),"")</f>
        <v>L</v>
      </c>
      <c r="AU199" s="9">
        <v>298</v>
      </c>
      <c r="AV199" s="9" t="str">
        <f>IFERROR(MID(VLOOKUP($B199,Seqs!$A:$B,2,0),AW199,1),"")</f>
        <v>N</v>
      </c>
      <c r="AW199" s="9">
        <v>299</v>
      </c>
      <c r="AX199" s="9" t="str">
        <f>IFERROR(MID(VLOOKUP($B199,Seqs!$A:$B,2,0),AY199,1),"")</f>
        <v>T</v>
      </c>
      <c r="AY199" s="9">
        <v>315</v>
      </c>
      <c r="AZ199" s="110" t="str">
        <f>VLOOKUP(B199,Classification!A:D,2,0)</f>
        <v>A</v>
      </c>
      <c r="BA199" s="98" t="str">
        <f>VLOOKUP(B199,Classification!A:D,4,0)</f>
        <v>Melatonin</v>
      </c>
      <c r="BB199" s="36" t="b">
        <f t="shared" si="1036"/>
        <v>1</v>
      </c>
      <c r="BC199" s="109">
        <f t="shared" si="1037"/>
        <v>249</v>
      </c>
      <c r="BD199" s="13" t="s">
        <v>1377</v>
      </c>
      <c r="BE199" s="9" t="s">
        <v>1375</v>
      </c>
      <c r="BF199" s="120">
        <v>2.8</v>
      </c>
      <c r="BG199" s="51" t="s">
        <v>1</v>
      </c>
      <c r="BH199" s="51" t="s">
        <v>1</v>
      </c>
      <c r="BJ199" s="111" t="s">
        <v>1288</v>
      </c>
      <c r="BK199" s="112" t="s">
        <v>1288</v>
      </c>
      <c r="BL199" s="112" t="s">
        <v>1288</v>
      </c>
      <c r="BM199" s="112" t="s">
        <v>1288</v>
      </c>
      <c r="BN199" s="112" t="s">
        <v>1288</v>
      </c>
      <c r="BO199" s="112" t="s">
        <v>1288</v>
      </c>
      <c r="BP199" s="112" t="s">
        <v>1288</v>
      </c>
      <c r="BQ199" s="112" t="s">
        <v>1288</v>
      </c>
      <c r="BR199" s="112" t="s">
        <v>1288</v>
      </c>
      <c r="BS199" s="112" t="s">
        <v>1288</v>
      </c>
      <c r="BT199" s="112" t="s">
        <v>1288</v>
      </c>
      <c r="BU199" s="112" t="s">
        <v>1288</v>
      </c>
      <c r="BV199" s="111">
        <f t="shared" si="1038"/>
        <v>23</v>
      </c>
      <c r="BW199" s="113">
        <f t="shared" si="1039"/>
        <v>56</v>
      </c>
      <c r="BX199" s="114">
        <f t="shared" si="1040"/>
        <v>60</v>
      </c>
      <c r="BY199" s="113">
        <f t="shared" si="1041"/>
        <v>92</v>
      </c>
      <c r="BZ199" s="114">
        <f t="shared" si="1042"/>
        <v>96</v>
      </c>
      <c r="CA199" s="113" t="str">
        <f t="shared" si="1043"/>
        <v>-</v>
      </c>
      <c r="CB199" s="114">
        <f t="shared" si="1044"/>
        <v>143</v>
      </c>
      <c r="CC199" s="113">
        <f t="shared" si="1045"/>
        <v>177</v>
      </c>
      <c r="CD199" s="114">
        <f t="shared" si="1046"/>
        <v>184</v>
      </c>
      <c r="CE199" s="113">
        <f t="shared" si="1047"/>
        <v>235</v>
      </c>
      <c r="CF199" s="114">
        <f t="shared" si="1048"/>
        <v>273</v>
      </c>
      <c r="CG199" s="113">
        <f t="shared" si="1049"/>
        <v>299</v>
      </c>
      <c r="CH199" s="111">
        <f t="shared" si="1050"/>
        <v>55</v>
      </c>
      <c r="CI199" s="113">
        <f t="shared" si="1051"/>
        <v>59</v>
      </c>
      <c r="CJ199" s="114">
        <f t="shared" si="1052"/>
        <v>91</v>
      </c>
      <c r="CK199" s="114">
        <f t="shared" si="1053"/>
        <v>95</v>
      </c>
      <c r="CL199" s="114">
        <f t="shared" si="1054"/>
        <v>135</v>
      </c>
      <c r="CM199" s="114" t="str">
        <f t="shared" si="1055"/>
        <v>-</v>
      </c>
      <c r="CN199" s="114">
        <f t="shared" si="1056"/>
        <v>166</v>
      </c>
      <c r="CO199" s="114">
        <f t="shared" si="1057"/>
        <v>179</v>
      </c>
      <c r="CP199" s="114">
        <f t="shared" si="1058"/>
        <v>218</v>
      </c>
      <c r="CQ199" s="114">
        <f t="shared" si="1059"/>
        <v>264</v>
      </c>
      <c r="CR199" s="114">
        <f t="shared" si="1060"/>
        <v>298</v>
      </c>
      <c r="CS199" s="114">
        <f t="shared" si="1061"/>
        <v>315</v>
      </c>
      <c r="CT199" s="109">
        <f t="shared" si="1062"/>
        <v>1</v>
      </c>
    </row>
    <row r="200" spans="1:1029" s="12" customFormat="1" x14ac:dyDescent="0.2">
      <c r="A200" s="9" t="str">
        <f t="shared" ref="A200" si="1063">CONCATENATE(B200,"_",C200)</f>
        <v>mtr1a_human_6ME3</v>
      </c>
      <c r="B200" s="9" t="s">
        <v>311</v>
      </c>
      <c r="C200" s="9" t="s">
        <v>1566</v>
      </c>
      <c r="D200" s="9" t="str">
        <f>IFERROR(MID(VLOOKUP($B200,Seqs!$A:$B,2,0),E200,1),"")</f>
        <v>P</v>
      </c>
      <c r="E200" s="9">
        <v>23</v>
      </c>
      <c r="F200" s="9" t="str">
        <f>IFERROR(MID(VLOOKUP($B200,Seqs!$A:$B,2,0),G200,1),"")</f>
        <v>N</v>
      </c>
      <c r="G200" s="9">
        <v>55</v>
      </c>
      <c r="H200" s="9" t="str">
        <f>IFERROR(MID(VLOOKUP($B200,Seqs!$A:$B,2,0),I200,1),"")</f>
        <v>K</v>
      </c>
      <c r="I200" s="109">
        <v>56</v>
      </c>
      <c r="J200" s="9" t="str">
        <f>IFERROR(MID(VLOOKUP($B200,Seqs!$A:$B,2,0),K200,1),"")</f>
        <v>R</v>
      </c>
      <c r="K200" s="109">
        <v>59</v>
      </c>
      <c r="L200" s="9" t="str">
        <f>IFERROR(MID(VLOOKUP($B200,Seqs!$A:$B,2,0),M200,1),"")</f>
        <v>N</v>
      </c>
      <c r="M200" s="9">
        <v>60</v>
      </c>
      <c r="N200" s="9" t="str">
        <f>IFERROR(MID(VLOOKUP($B200,Seqs!$A:$B,2,0),O200,1),"")</f>
        <v>N</v>
      </c>
      <c r="O200" s="9">
        <v>91</v>
      </c>
      <c r="P200" s="9" t="str">
        <f>IFERROR(MID(VLOOKUP($B200,Seqs!$A:$B,2,0),Q200,1),"")</f>
        <v>G</v>
      </c>
      <c r="Q200" s="9">
        <v>92</v>
      </c>
      <c r="R200" s="9" t="str">
        <f>IFERROR(MID(VLOOKUP($B200,Seqs!$A:$B,2,0),S200,1),"")</f>
        <v>L</v>
      </c>
      <c r="S200" s="9">
        <v>95</v>
      </c>
      <c r="T200" s="9" t="str">
        <f>IFERROR(MID(VLOOKUP($B200,Seqs!$A:$B,2,0),U200,1),"")</f>
        <v>G</v>
      </c>
      <c r="U200" s="9">
        <v>96</v>
      </c>
      <c r="V200" s="9" t="str">
        <f>IFERROR(MID(VLOOKUP($B200,Seqs!$A:$B,2,0),W200,1),"")</f>
        <v>Y</v>
      </c>
      <c r="W200" s="9">
        <v>135</v>
      </c>
      <c r="X200" s="9" t="str">
        <f>IFERROR(MID(VLOOKUP($B200,Seqs!$A:$B,2,0),Y200,1),"")</f>
        <v/>
      </c>
      <c r="Y200" s="9" t="s">
        <v>23</v>
      </c>
      <c r="Z200" s="9" t="str">
        <f>IFERROR(MID(VLOOKUP($B200,Seqs!$A:$B,2,0),AA200,1),"")</f>
        <v/>
      </c>
      <c r="AA200" s="9" t="s">
        <v>23</v>
      </c>
      <c r="AB200" s="9" t="str">
        <f>IFERROR(MID(VLOOKUP($B200,Seqs!$A:$B,2,0),AC200,1),"")</f>
        <v>N</v>
      </c>
      <c r="AC200" s="9">
        <v>143</v>
      </c>
      <c r="AD200" s="9" t="str">
        <f>IFERROR(MID(VLOOKUP($B200,Seqs!$A:$B,2,0),AE200,1),"")</f>
        <v>G</v>
      </c>
      <c r="AE200" s="9">
        <v>166</v>
      </c>
      <c r="AF200" s="9" t="str">
        <f>IFERROR(MID(VLOOKUP($B200,Seqs!$A:$B,2,0),AG200,1),"")</f>
        <v>C</v>
      </c>
      <c r="AG200" s="9">
        <v>177</v>
      </c>
      <c r="AH200" s="9" t="str">
        <f>IFERROR(MID(VLOOKUP($B200,Seqs!$A:$B,2,0),AI200,1),"")</f>
        <v>F</v>
      </c>
      <c r="AI200" s="9">
        <v>179</v>
      </c>
      <c r="AJ200" s="9" t="str">
        <f>IFERROR(MID(VLOOKUP($B200,Seqs!$A:$B,2,0),AK200,1),"")</f>
        <v>S</v>
      </c>
      <c r="AK200" s="9">
        <v>184</v>
      </c>
      <c r="AL200" s="9" t="str">
        <f>IFERROR(MID(VLOOKUP($B200,Seqs!$A:$B,2,0),AM200,1),"")</f>
        <v>R</v>
      </c>
      <c r="AM200" s="9">
        <v>218</v>
      </c>
      <c r="AN200" s="9" t="str">
        <f>IFERROR(MID(VLOOKUP($B200,Seqs!$A:$B,2,0),AO200,1),"")</f>
        <v>R</v>
      </c>
      <c r="AO200" s="9">
        <v>235</v>
      </c>
      <c r="AP200" s="9" t="str">
        <f>IFERROR(MID(VLOOKUP($B200,Seqs!$A:$B,2,0),AQ200,1),"")</f>
        <v>D</v>
      </c>
      <c r="AQ200" s="9">
        <v>264</v>
      </c>
      <c r="AR200" s="9" t="str">
        <f>IFERROR(MID(VLOOKUP($B200,Seqs!$A:$B,2,0),AS200,1),"")</f>
        <v>P</v>
      </c>
      <c r="AS200" s="9">
        <v>273</v>
      </c>
      <c r="AT200" s="9" t="str">
        <f>IFERROR(MID(VLOOKUP($B200,Seqs!$A:$B,2,0),AU200,1),"")</f>
        <v>L</v>
      </c>
      <c r="AU200" s="9">
        <v>298</v>
      </c>
      <c r="AV200" s="9" t="str">
        <f>IFERROR(MID(VLOOKUP($B200,Seqs!$A:$B,2,0),AW200,1),"")</f>
        <v>N</v>
      </c>
      <c r="AW200" s="9">
        <v>299</v>
      </c>
      <c r="AX200" s="9" t="str">
        <f>IFERROR(MID(VLOOKUP($B200,Seqs!$A:$B,2,0),AY200,1),"")</f>
        <v>T</v>
      </c>
      <c r="AY200" s="9">
        <v>315</v>
      </c>
      <c r="AZ200" s="110" t="str">
        <f>VLOOKUP(B200,Classification!A:D,2,0)</f>
        <v>A</v>
      </c>
      <c r="BA200" s="98" t="str">
        <f>VLOOKUP(B200,Classification!A:D,4,0)</f>
        <v>Melatonin</v>
      </c>
      <c r="BB200" s="36" t="b">
        <f t="shared" ref="BB200" si="1064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si="1037"/>
        <v>249</v>
      </c>
      <c r="BD200" s="13" t="s">
        <v>23</v>
      </c>
      <c r="BE200" s="9" t="s">
        <v>1375</v>
      </c>
      <c r="BF200" s="120">
        <v>2.9</v>
      </c>
      <c r="BG200" s="51" t="s">
        <v>1</v>
      </c>
      <c r="BH200" s="51" t="s">
        <v>1</v>
      </c>
      <c r="BJ200" s="111" t="s">
        <v>1288</v>
      </c>
      <c r="BK200" s="112" t="s">
        <v>1288</v>
      </c>
      <c r="BL200" s="112" t="s">
        <v>1288</v>
      </c>
      <c r="BM200" s="112" t="s">
        <v>1288</v>
      </c>
      <c r="BN200" s="112" t="s">
        <v>1288</v>
      </c>
      <c r="BO200" s="112" t="s">
        <v>1288</v>
      </c>
      <c r="BP200" s="112" t="s">
        <v>1288</v>
      </c>
      <c r="BQ200" s="112" t="s">
        <v>1288</v>
      </c>
      <c r="BR200" s="112" t="s">
        <v>1288</v>
      </c>
      <c r="BS200" s="112" t="s">
        <v>1288</v>
      </c>
      <c r="BT200" s="112" t="s">
        <v>1288</v>
      </c>
      <c r="BU200" s="112" t="s">
        <v>1288</v>
      </c>
      <c r="BV200" s="111">
        <f t="shared" ref="BV200" si="1065">E200</f>
        <v>23</v>
      </c>
      <c r="BW200" s="113">
        <f t="shared" ref="BW200" si="1066">I200</f>
        <v>56</v>
      </c>
      <c r="BX200" s="114">
        <f t="shared" ref="BX200" si="1067">M200</f>
        <v>60</v>
      </c>
      <c r="BY200" s="113">
        <f t="shared" ref="BY200" si="1068">Q200</f>
        <v>92</v>
      </c>
      <c r="BZ200" s="114">
        <f t="shared" ref="BZ200" si="1069">U200</f>
        <v>96</v>
      </c>
      <c r="CA200" s="113" t="str">
        <f t="shared" ref="CA200" si="1070">Y200</f>
        <v>-</v>
      </c>
      <c r="CB200" s="114">
        <f t="shared" ref="CB200" si="1071">AC200</f>
        <v>143</v>
      </c>
      <c r="CC200" s="113">
        <f t="shared" ref="CC200" si="1072">AG200</f>
        <v>177</v>
      </c>
      <c r="CD200" s="114">
        <f t="shared" ref="CD200" si="1073">AK200</f>
        <v>184</v>
      </c>
      <c r="CE200" s="113">
        <f t="shared" ref="CE200" si="1074">AO200</f>
        <v>235</v>
      </c>
      <c r="CF200" s="114">
        <f t="shared" ref="CF200" si="1075">AS200</f>
        <v>273</v>
      </c>
      <c r="CG200" s="113">
        <f t="shared" ref="CG200" si="1076">AW200</f>
        <v>299</v>
      </c>
      <c r="CH200" s="111">
        <f t="shared" ref="CH200" si="1077">G200</f>
        <v>55</v>
      </c>
      <c r="CI200" s="113">
        <f t="shared" ref="CI200" si="1078">K200</f>
        <v>59</v>
      </c>
      <c r="CJ200" s="114">
        <f t="shared" ref="CJ200" si="1079">O200</f>
        <v>91</v>
      </c>
      <c r="CK200" s="114">
        <f t="shared" ref="CK200" si="1080">S200</f>
        <v>95</v>
      </c>
      <c r="CL200" s="114">
        <f t="shared" ref="CL200" si="1081">W200</f>
        <v>135</v>
      </c>
      <c r="CM200" s="114" t="str">
        <f t="shared" ref="CM200" si="1082">AA200</f>
        <v>-</v>
      </c>
      <c r="CN200" s="114">
        <f t="shared" ref="CN200" si="1083">AE200</f>
        <v>166</v>
      </c>
      <c r="CO200" s="114">
        <f t="shared" ref="CO200" si="1084">AI200</f>
        <v>179</v>
      </c>
      <c r="CP200" s="114">
        <f t="shared" ref="CP200" si="1085">AM200</f>
        <v>218</v>
      </c>
      <c r="CQ200" s="114">
        <f t="shared" ref="CQ200" si="1086">AQ200</f>
        <v>264</v>
      </c>
      <c r="CR200" s="114">
        <f t="shared" ref="CR200" si="1087">AU200</f>
        <v>298</v>
      </c>
      <c r="CS200" s="114">
        <f t="shared" ref="CS200" si="1088">AY200</f>
        <v>315</v>
      </c>
      <c r="CT200" s="109">
        <f t="shared" ref="CT200" si="1089">M200-K200</f>
        <v>1</v>
      </c>
    </row>
    <row r="201" spans="1:1029" s="12" customFormat="1" x14ac:dyDescent="0.2">
      <c r="A201" s="9" t="str">
        <f t="shared" ref="A201" si="1090">CONCATENATE(B201,"_",C201)</f>
        <v>mtr1a_human_6ME4</v>
      </c>
      <c r="B201" s="9" t="s">
        <v>311</v>
      </c>
      <c r="C201" s="9" t="s">
        <v>1567</v>
      </c>
      <c r="D201" s="9" t="str">
        <f>IFERROR(MID(VLOOKUP($B201,Seqs!$A:$B,2,0),E201,1),"")</f>
        <v>P</v>
      </c>
      <c r="E201" s="9">
        <v>23</v>
      </c>
      <c r="F201" s="9" t="str">
        <f>IFERROR(MID(VLOOKUP($B201,Seqs!$A:$B,2,0),G201,1),"")</f>
        <v>N</v>
      </c>
      <c r="G201" s="9">
        <v>55</v>
      </c>
      <c r="H201" s="9" t="str">
        <f>IFERROR(MID(VLOOKUP($B201,Seqs!$A:$B,2,0),I201,1),"")</f>
        <v>K</v>
      </c>
      <c r="I201" s="109">
        <v>56</v>
      </c>
      <c r="J201" s="9" t="str">
        <f>IFERROR(MID(VLOOKUP($B201,Seqs!$A:$B,2,0),K201,1),"")</f>
        <v>R</v>
      </c>
      <c r="K201" s="109">
        <v>59</v>
      </c>
      <c r="L201" s="9" t="str">
        <f>IFERROR(MID(VLOOKUP($B201,Seqs!$A:$B,2,0),M201,1),"")</f>
        <v>N</v>
      </c>
      <c r="M201" s="9">
        <v>60</v>
      </c>
      <c r="N201" s="9" t="str">
        <f>IFERROR(MID(VLOOKUP($B201,Seqs!$A:$B,2,0),O201,1),"")</f>
        <v>N</v>
      </c>
      <c r="O201" s="9">
        <v>91</v>
      </c>
      <c r="P201" s="9" t="str">
        <f>IFERROR(MID(VLOOKUP($B201,Seqs!$A:$B,2,0),Q201,1),"")</f>
        <v>G</v>
      </c>
      <c r="Q201" s="9">
        <v>92</v>
      </c>
      <c r="R201" s="9" t="str">
        <f>IFERROR(MID(VLOOKUP($B201,Seqs!$A:$B,2,0),S201,1),"")</f>
        <v>L</v>
      </c>
      <c r="S201" s="9">
        <v>95</v>
      </c>
      <c r="T201" s="9" t="str">
        <f>IFERROR(MID(VLOOKUP($B201,Seqs!$A:$B,2,0),U201,1),"")</f>
        <v>G</v>
      </c>
      <c r="U201" s="9">
        <v>96</v>
      </c>
      <c r="V201" s="9" t="str">
        <f>IFERROR(MID(VLOOKUP($B201,Seqs!$A:$B,2,0),W201,1),"")</f>
        <v>Y</v>
      </c>
      <c r="W201" s="9">
        <v>135</v>
      </c>
      <c r="X201" s="9" t="str">
        <f>IFERROR(MID(VLOOKUP($B201,Seqs!$A:$B,2,0),Y201,1),"")</f>
        <v/>
      </c>
      <c r="Y201" s="9" t="s">
        <v>23</v>
      </c>
      <c r="Z201" s="9" t="str">
        <f>IFERROR(MID(VLOOKUP($B201,Seqs!$A:$B,2,0),AA201,1),"")</f>
        <v/>
      </c>
      <c r="AA201" s="9" t="s">
        <v>23</v>
      </c>
      <c r="AB201" s="9" t="str">
        <f>IFERROR(MID(VLOOKUP($B201,Seqs!$A:$B,2,0),AC201,1),"")</f>
        <v>N</v>
      </c>
      <c r="AC201" s="9">
        <v>143</v>
      </c>
      <c r="AD201" s="9" t="str">
        <f>IFERROR(MID(VLOOKUP($B201,Seqs!$A:$B,2,0),AE201,1),"")</f>
        <v>G</v>
      </c>
      <c r="AE201" s="9">
        <v>166</v>
      </c>
      <c r="AF201" s="9" t="str">
        <f>IFERROR(MID(VLOOKUP($B201,Seqs!$A:$B,2,0),AG201,1),"")</f>
        <v>C</v>
      </c>
      <c r="AG201" s="9">
        <v>177</v>
      </c>
      <c r="AH201" s="9" t="str">
        <f>IFERROR(MID(VLOOKUP($B201,Seqs!$A:$B,2,0),AI201,1),"")</f>
        <v>F</v>
      </c>
      <c r="AI201" s="9">
        <v>179</v>
      </c>
      <c r="AJ201" s="9" t="str">
        <f>IFERROR(MID(VLOOKUP($B201,Seqs!$A:$B,2,0),AK201,1),"")</f>
        <v>S</v>
      </c>
      <c r="AK201" s="9">
        <v>184</v>
      </c>
      <c r="AL201" s="9" t="str">
        <f>IFERROR(MID(VLOOKUP($B201,Seqs!$A:$B,2,0),AM201,1),"")</f>
        <v>R</v>
      </c>
      <c r="AM201" s="9">
        <v>218</v>
      </c>
      <c r="AN201" s="9" t="str">
        <f>IFERROR(MID(VLOOKUP($B201,Seqs!$A:$B,2,0),AO201,1),"")</f>
        <v>R</v>
      </c>
      <c r="AO201" s="9">
        <v>235</v>
      </c>
      <c r="AP201" s="9" t="str">
        <f>IFERROR(MID(VLOOKUP($B201,Seqs!$A:$B,2,0),AQ201,1),"")</f>
        <v>D</v>
      </c>
      <c r="AQ201" s="9">
        <v>264</v>
      </c>
      <c r="AR201" s="9" t="str">
        <f>IFERROR(MID(VLOOKUP($B201,Seqs!$A:$B,2,0),AS201,1),"")</f>
        <v>P</v>
      </c>
      <c r="AS201" s="9">
        <v>273</v>
      </c>
      <c r="AT201" s="9" t="str">
        <f>IFERROR(MID(VLOOKUP($B201,Seqs!$A:$B,2,0),AU201,1),"")</f>
        <v>L</v>
      </c>
      <c r="AU201" s="9">
        <v>298</v>
      </c>
      <c r="AV201" s="9" t="str">
        <f>IFERROR(MID(VLOOKUP($B201,Seqs!$A:$B,2,0),AW201,1),"")</f>
        <v>N</v>
      </c>
      <c r="AW201" s="9">
        <v>299</v>
      </c>
      <c r="AX201" s="9" t="str">
        <f>IFERROR(MID(VLOOKUP($B201,Seqs!$A:$B,2,0),AY201,1),"")</f>
        <v>T</v>
      </c>
      <c r="AY201" s="9">
        <v>315</v>
      </c>
      <c r="AZ201" s="110" t="str">
        <f>VLOOKUP(B201,Classification!A:D,2,0)</f>
        <v>A</v>
      </c>
      <c r="BA201" s="98" t="str">
        <f>VLOOKUP(B201,Classification!A:D,4,0)</f>
        <v>Melatonin</v>
      </c>
      <c r="BB201" s="36" t="b">
        <f t="shared" ref="BB201" si="1091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109">
        <f t="shared" ref="BC201" si="1092">_xlfn.AGGREGATE(9,6,CH201:CS201)-_xlfn.AGGREGATE(9,6,BV201:CG201)+12</f>
        <v>249</v>
      </c>
      <c r="BD201" s="13" t="s">
        <v>23</v>
      </c>
      <c r="BE201" s="9" t="s">
        <v>1375</v>
      </c>
      <c r="BF201" s="120">
        <v>3.2</v>
      </c>
      <c r="BG201" s="51" t="s">
        <v>1</v>
      </c>
      <c r="BH201" s="51" t="s">
        <v>1</v>
      </c>
      <c r="BJ201" s="111" t="s">
        <v>1288</v>
      </c>
      <c r="BK201" s="112" t="s">
        <v>1288</v>
      </c>
      <c r="BL201" s="112" t="s">
        <v>1288</v>
      </c>
      <c r="BM201" s="112" t="s">
        <v>1288</v>
      </c>
      <c r="BN201" s="112" t="s">
        <v>1288</v>
      </c>
      <c r="BO201" s="112" t="s">
        <v>1288</v>
      </c>
      <c r="BP201" s="112" t="s">
        <v>1288</v>
      </c>
      <c r="BQ201" s="112" t="s">
        <v>1288</v>
      </c>
      <c r="BR201" s="112" t="s">
        <v>1288</v>
      </c>
      <c r="BS201" s="112" t="s">
        <v>1288</v>
      </c>
      <c r="BT201" s="112" t="s">
        <v>1288</v>
      </c>
      <c r="BU201" s="112" t="s">
        <v>1288</v>
      </c>
      <c r="BV201" s="111">
        <f t="shared" ref="BV201" si="1093">E201</f>
        <v>23</v>
      </c>
      <c r="BW201" s="113">
        <f t="shared" ref="BW201" si="1094">I201</f>
        <v>56</v>
      </c>
      <c r="BX201" s="114">
        <f t="shared" ref="BX201" si="1095">M201</f>
        <v>60</v>
      </c>
      <c r="BY201" s="113">
        <f t="shared" ref="BY201" si="1096">Q201</f>
        <v>92</v>
      </c>
      <c r="BZ201" s="114">
        <f t="shared" ref="BZ201" si="1097">U201</f>
        <v>96</v>
      </c>
      <c r="CA201" s="113" t="str">
        <f t="shared" ref="CA201" si="1098">Y201</f>
        <v>-</v>
      </c>
      <c r="CB201" s="114">
        <f t="shared" ref="CB201" si="1099">AC201</f>
        <v>143</v>
      </c>
      <c r="CC201" s="113">
        <f t="shared" ref="CC201" si="1100">AG201</f>
        <v>177</v>
      </c>
      <c r="CD201" s="114">
        <f t="shared" ref="CD201" si="1101">AK201</f>
        <v>184</v>
      </c>
      <c r="CE201" s="113">
        <f t="shared" ref="CE201" si="1102">AO201</f>
        <v>235</v>
      </c>
      <c r="CF201" s="114">
        <f t="shared" ref="CF201" si="1103">AS201</f>
        <v>273</v>
      </c>
      <c r="CG201" s="113">
        <f t="shared" ref="CG201" si="1104">AW201</f>
        <v>299</v>
      </c>
      <c r="CH201" s="111">
        <f t="shared" ref="CH201" si="1105">G201</f>
        <v>55</v>
      </c>
      <c r="CI201" s="113">
        <f t="shared" ref="CI201" si="1106">K201</f>
        <v>59</v>
      </c>
      <c r="CJ201" s="114">
        <f t="shared" ref="CJ201" si="1107">O201</f>
        <v>91</v>
      </c>
      <c r="CK201" s="114">
        <f t="shared" ref="CK201" si="1108">S201</f>
        <v>95</v>
      </c>
      <c r="CL201" s="114">
        <f t="shared" ref="CL201" si="1109">W201</f>
        <v>135</v>
      </c>
      <c r="CM201" s="114" t="str">
        <f t="shared" ref="CM201" si="1110">AA201</f>
        <v>-</v>
      </c>
      <c r="CN201" s="114">
        <f t="shared" ref="CN201" si="1111">AE201</f>
        <v>166</v>
      </c>
      <c r="CO201" s="114">
        <f t="shared" ref="CO201" si="1112">AI201</f>
        <v>179</v>
      </c>
      <c r="CP201" s="114">
        <f t="shared" ref="CP201" si="1113">AM201</f>
        <v>218</v>
      </c>
      <c r="CQ201" s="114">
        <f t="shared" ref="CQ201" si="1114">AQ201</f>
        <v>264</v>
      </c>
      <c r="CR201" s="114">
        <f t="shared" ref="CR201" si="1115">AU201</f>
        <v>298</v>
      </c>
      <c r="CS201" s="114">
        <f t="shared" ref="CS201" si="1116">AY201</f>
        <v>315</v>
      </c>
      <c r="CT201" s="109">
        <f t="shared" ref="CT201" si="1117">M201-K201</f>
        <v>1</v>
      </c>
    </row>
    <row r="202" spans="1:1029" s="12" customFormat="1" x14ac:dyDescent="0.2">
      <c r="A202" s="9" t="str">
        <f t="shared" ref="A202" si="1118">CONCATENATE(B202,"_",C202)</f>
        <v>mtr1a_human_6ME5</v>
      </c>
      <c r="B202" s="9" t="s">
        <v>311</v>
      </c>
      <c r="C202" s="9" t="s">
        <v>1568</v>
      </c>
      <c r="D202" s="9" t="str">
        <f>IFERROR(MID(VLOOKUP($B202,Seqs!$A:$B,2,0),E202,1),"")</f>
        <v>P</v>
      </c>
      <c r="E202" s="9">
        <v>23</v>
      </c>
      <c r="F202" s="9" t="str">
        <f>IFERROR(MID(VLOOKUP($B202,Seqs!$A:$B,2,0),G202,1),"")</f>
        <v>N</v>
      </c>
      <c r="G202" s="9">
        <v>55</v>
      </c>
      <c r="H202" s="9" t="str">
        <f>IFERROR(MID(VLOOKUP($B202,Seqs!$A:$B,2,0),I202,1),"")</f>
        <v>K</v>
      </c>
      <c r="I202" s="109">
        <v>56</v>
      </c>
      <c r="J202" s="9" t="str">
        <f>IFERROR(MID(VLOOKUP($B202,Seqs!$A:$B,2,0),K202,1),"")</f>
        <v>R</v>
      </c>
      <c r="K202" s="109">
        <v>59</v>
      </c>
      <c r="L202" s="9" t="str">
        <f>IFERROR(MID(VLOOKUP($B202,Seqs!$A:$B,2,0),M202,1),"")</f>
        <v>N</v>
      </c>
      <c r="M202" s="9">
        <v>60</v>
      </c>
      <c r="N202" s="9" t="str">
        <f>IFERROR(MID(VLOOKUP($B202,Seqs!$A:$B,2,0),O202,1),"")</f>
        <v>N</v>
      </c>
      <c r="O202" s="9">
        <v>91</v>
      </c>
      <c r="P202" s="9" t="str">
        <f>IFERROR(MID(VLOOKUP($B202,Seqs!$A:$B,2,0),Q202,1),"")</f>
        <v>G</v>
      </c>
      <c r="Q202" s="9">
        <v>92</v>
      </c>
      <c r="R202" s="9" t="str">
        <f>IFERROR(MID(VLOOKUP($B202,Seqs!$A:$B,2,0),S202,1),"")</f>
        <v>L</v>
      </c>
      <c r="S202" s="9">
        <v>95</v>
      </c>
      <c r="T202" s="9" t="str">
        <f>IFERROR(MID(VLOOKUP($B202,Seqs!$A:$B,2,0),U202,1),"")</f>
        <v>G</v>
      </c>
      <c r="U202" s="9">
        <v>96</v>
      </c>
      <c r="V202" s="9" t="str">
        <f>IFERROR(MID(VLOOKUP($B202,Seqs!$A:$B,2,0),W202,1),"")</f>
        <v>Y</v>
      </c>
      <c r="W202" s="9">
        <v>135</v>
      </c>
      <c r="X202" s="9" t="str">
        <f>IFERROR(MID(VLOOKUP($B202,Seqs!$A:$B,2,0),Y202,1),"")</f>
        <v/>
      </c>
      <c r="Y202" s="9" t="s">
        <v>23</v>
      </c>
      <c r="Z202" s="9" t="str">
        <f>IFERROR(MID(VLOOKUP($B202,Seqs!$A:$B,2,0),AA202,1),"")</f>
        <v/>
      </c>
      <c r="AA202" s="9" t="s">
        <v>23</v>
      </c>
      <c r="AB202" s="9" t="str">
        <f>IFERROR(MID(VLOOKUP($B202,Seqs!$A:$B,2,0),AC202,1),"")</f>
        <v>N</v>
      </c>
      <c r="AC202" s="9">
        <v>143</v>
      </c>
      <c r="AD202" s="9" t="str">
        <f>IFERROR(MID(VLOOKUP($B202,Seqs!$A:$B,2,0),AE202,1),"")</f>
        <v>G</v>
      </c>
      <c r="AE202" s="9">
        <v>166</v>
      </c>
      <c r="AF202" s="9" t="str">
        <f>IFERROR(MID(VLOOKUP($B202,Seqs!$A:$B,2,0),AG202,1),"")</f>
        <v>C</v>
      </c>
      <c r="AG202" s="9">
        <v>177</v>
      </c>
      <c r="AH202" s="9" t="str">
        <f>IFERROR(MID(VLOOKUP($B202,Seqs!$A:$B,2,0),AI202,1),"")</f>
        <v>F</v>
      </c>
      <c r="AI202" s="9">
        <v>179</v>
      </c>
      <c r="AJ202" s="9" t="str">
        <f>IFERROR(MID(VLOOKUP($B202,Seqs!$A:$B,2,0),AK202,1),"")</f>
        <v>S</v>
      </c>
      <c r="AK202" s="9">
        <v>184</v>
      </c>
      <c r="AL202" s="9" t="str">
        <f>IFERROR(MID(VLOOKUP($B202,Seqs!$A:$B,2,0),AM202,1),"")</f>
        <v>R</v>
      </c>
      <c r="AM202" s="9">
        <v>218</v>
      </c>
      <c r="AN202" s="9" t="str">
        <f>IFERROR(MID(VLOOKUP($B202,Seqs!$A:$B,2,0),AO202,1),"")</f>
        <v>R</v>
      </c>
      <c r="AO202" s="9">
        <v>235</v>
      </c>
      <c r="AP202" s="9" t="str">
        <f>IFERROR(MID(VLOOKUP($B202,Seqs!$A:$B,2,0),AQ202,1),"")</f>
        <v>D</v>
      </c>
      <c r="AQ202" s="9">
        <v>264</v>
      </c>
      <c r="AR202" s="9" t="str">
        <f>IFERROR(MID(VLOOKUP($B202,Seqs!$A:$B,2,0),AS202,1),"")</f>
        <v>P</v>
      </c>
      <c r="AS202" s="9">
        <v>273</v>
      </c>
      <c r="AT202" s="9" t="str">
        <f>IFERROR(MID(VLOOKUP($B202,Seqs!$A:$B,2,0),AU202,1),"")</f>
        <v>L</v>
      </c>
      <c r="AU202" s="9">
        <v>298</v>
      </c>
      <c r="AV202" s="9" t="str">
        <f>IFERROR(MID(VLOOKUP($B202,Seqs!$A:$B,2,0),AW202,1),"")</f>
        <v>N</v>
      </c>
      <c r="AW202" s="9">
        <v>299</v>
      </c>
      <c r="AX202" s="9" t="str">
        <f>IFERROR(MID(VLOOKUP($B202,Seqs!$A:$B,2,0),AY202,1),"")</f>
        <v>T</v>
      </c>
      <c r="AY202" s="9">
        <v>315</v>
      </c>
      <c r="AZ202" s="110" t="str">
        <f>VLOOKUP(B202,Classification!A:D,2,0)</f>
        <v>A</v>
      </c>
      <c r="BA202" s="98" t="str">
        <f>VLOOKUP(B202,Classification!A:D,4,0)</f>
        <v>Melatonin</v>
      </c>
      <c r="BB202" s="36" t="b">
        <f t="shared" ref="BB202" si="1119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09">
        <f t="shared" ref="BC202" si="1120">_xlfn.AGGREGATE(9,6,CH202:CS202)-_xlfn.AGGREGATE(9,6,BV202:CG202)+12</f>
        <v>249</v>
      </c>
      <c r="BD202" s="13" t="s">
        <v>23</v>
      </c>
      <c r="BE202" s="9" t="s">
        <v>1375</v>
      </c>
      <c r="BF202" s="120">
        <v>3.2</v>
      </c>
      <c r="BG202" s="51" t="s">
        <v>1</v>
      </c>
      <c r="BH202" s="51" t="s">
        <v>1</v>
      </c>
      <c r="BJ202" s="111" t="s">
        <v>1288</v>
      </c>
      <c r="BK202" s="112" t="s">
        <v>1288</v>
      </c>
      <c r="BL202" s="112" t="s">
        <v>1288</v>
      </c>
      <c r="BM202" s="112" t="s">
        <v>1288</v>
      </c>
      <c r="BN202" s="112" t="s">
        <v>1288</v>
      </c>
      <c r="BO202" s="112" t="s">
        <v>1288</v>
      </c>
      <c r="BP202" s="112" t="s">
        <v>1288</v>
      </c>
      <c r="BQ202" s="112" t="s">
        <v>1288</v>
      </c>
      <c r="BR202" s="112" t="s">
        <v>1288</v>
      </c>
      <c r="BS202" s="112" t="s">
        <v>1288</v>
      </c>
      <c r="BT202" s="112" t="s">
        <v>1288</v>
      </c>
      <c r="BU202" s="112" t="s">
        <v>1288</v>
      </c>
      <c r="BV202" s="111">
        <f t="shared" ref="BV202" si="1121">E202</f>
        <v>23</v>
      </c>
      <c r="BW202" s="113">
        <f t="shared" ref="BW202" si="1122">I202</f>
        <v>56</v>
      </c>
      <c r="BX202" s="114">
        <f t="shared" ref="BX202" si="1123">M202</f>
        <v>60</v>
      </c>
      <c r="BY202" s="113">
        <f t="shared" ref="BY202" si="1124">Q202</f>
        <v>92</v>
      </c>
      <c r="BZ202" s="114">
        <f t="shared" ref="BZ202" si="1125">U202</f>
        <v>96</v>
      </c>
      <c r="CA202" s="113" t="str">
        <f t="shared" ref="CA202" si="1126">Y202</f>
        <v>-</v>
      </c>
      <c r="CB202" s="114">
        <f t="shared" ref="CB202" si="1127">AC202</f>
        <v>143</v>
      </c>
      <c r="CC202" s="113">
        <f t="shared" ref="CC202" si="1128">AG202</f>
        <v>177</v>
      </c>
      <c r="CD202" s="114">
        <f t="shared" ref="CD202" si="1129">AK202</f>
        <v>184</v>
      </c>
      <c r="CE202" s="113">
        <f t="shared" ref="CE202" si="1130">AO202</f>
        <v>235</v>
      </c>
      <c r="CF202" s="114">
        <f t="shared" ref="CF202" si="1131">AS202</f>
        <v>273</v>
      </c>
      <c r="CG202" s="113">
        <f t="shared" ref="CG202" si="1132">AW202</f>
        <v>299</v>
      </c>
      <c r="CH202" s="111">
        <f t="shared" ref="CH202" si="1133">G202</f>
        <v>55</v>
      </c>
      <c r="CI202" s="113">
        <f t="shared" ref="CI202" si="1134">K202</f>
        <v>59</v>
      </c>
      <c r="CJ202" s="114">
        <f t="shared" ref="CJ202" si="1135">O202</f>
        <v>91</v>
      </c>
      <c r="CK202" s="114">
        <f t="shared" ref="CK202" si="1136">S202</f>
        <v>95</v>
      </c>
      <c r="CL202" s="114">
        <f t="shared" ref="CL202" si="1137">W202</f>
        <v>135</v>
      </c>
      <c r="CM202" s="114" t="str">
        <f t="shared" ref="CM202" si="1138">AA202</f>
        <v>-</v>
      </c>
      <c r="CN202" s="114">
        <f t="shared" ref="CN202" si="1139">AE202</f>
        <v>166</v>
      </c>
      <c r="CO202" s="114">
        <f t="shared" ref="CO202" si="1140">AI202</f>
        <v>179</v>
      </c>
      <c r="CP202" s="114">
        <f t="shared" ref="CP202" si="1141">AM202</f>
        <v>218</v>
      </c>
      <c r="CQ202" s="114">
        <f t="shared" ref="CQ202" si="1142">AQ202</f>
        <v>264</v>
      </c>
      <c r="CR202" s="114">
        <f t="shared" ref="CR202" si="1143">AU202</f>
        <v>298</v>
      </c>
      <c r="CS202" s="114">
        <f t="shared" ref="CS202" si="1144">AY202</f>
        <v>315</v>
      </c>
      <c r="CT202" s="109">
        <f t="shared" ref="CT202" si="1145">M202-K202</f>
        <v>1</v>
      </c>
    </row>
    <row r="203" spans="1:1029" s="12" customFormat="1" x14ac:dyDescent="0.2">
      <c r="A203" s="9" t="str">
        <f t="shared" ref="A203:A204" si="1146">CONCATENATE(B203,"_",C203)</f>
        <v>mtr1b_human__wt</v>
      </c>
      <c r="B203" s="9" t="s">
        <v>312</v>
      </c>
      <c r="C203" s="9" t="s">
        <v>100</v>
      </c>
      <c r="D203" s="9" t="str">
        <f>IFERROR(MID(VLOOKUP($B203,Seqs!$A:$B,2,0),E203,1),"")</f>
        <v>W</v>
      </c>
      <c r="E203" s="9">
        <v>38</v>
      </c>
      <c r="F203" s="9" t="str">
        <f>IFERROR(MID(VLOOKUP($B203,Seqs!$A:$B,2,0),G203,1),"")</f>
        <v>N</v>
      </c>
      <c r="G203" s="9">
        <v>68</v>
      </c>
      <c r="H203" s="9" t="str">
        <f>IFERROR(MID(VLOOKUP($B203,Seqs!$A:$B,2,0),I203,1),"")</f>
        <v>R</v>
      </c>
      <c r="I203" s="109">
        <v>69</v>
      </c>
      <c r="J203" s="9" t="str">
        <f>IFERROR(MID(VLOOKUP($B203,Seqs!$A:$B,2,0),K203,1),"")</f>
        <v>R</v>
      </c>
      <c r="K203" s="109">
        <v>72</v>
      </c>
      <c r="L203" s="9" t="str">
        <f>IFERROR(MID(VLOOKUP($B203,Seqs!$A:$B,2,0),M203,1),"")</f>
        <v>N</v>
      </c>
      <c r="M203" s="9">
        <v>73</v>
      </c>
      <c r="N203" s="9" t="str">
        <f>IFERROR(MID(VLOOKUP($B203,Seqs!$A:$B,2,0),O203,1),"")</f>
        <v>D</v>
      </c>
      <c r="O203" s="9">
        <v>104</v>
      </c>
      <c r="P203" s="9" t="str">
        <f>IFERROR(MID(VLOOKUP($B203,Seqs!$A:$B,2,0),Q203,1),"")</f>
        <v>G</v>
      </c>
      <c r="Q203" s="9">
        <v>105</v>
      </c>
      <c r="R203" s="9" t="str">
        <f>IFERROR(MID(VLOOKUP($B203,Seqs!$A:$B,2,0),S203,1),"")</f>
        <v>L</v>
      </c>
      <c r="S203" s="9">
        <v>108</v>
      </c>
      <c r="T203" s="9" t="str">
        <f>IFERROR(MID(VLOOKUP($B203,Seqs!$A:$B,2,0),U203,1),"")</f>
        <v>G</v>
      </c>
      <c r="U203" s="9">
        <v>109</v>
      </c>
      <c r="V203" s="9" t="str">
        <f>IFERROR(MID(VLOOKUP($B203,Seqs!$A:$B,2,0),W203,1),"")</f>
        <v>H</v>
      </c>
      <c r="W203" s="9">
        <v>144</v>
      </c>
      <c r="X203" s="9" t="str">
        <f>IFERROR(MID(VLOOKUP($B203,Seqs!$A:$B,2,0),Y203,1),"")</f>
        <v>S</v>
      </c>
      <c r="Y203" s="9">
        <v>145</v>
      </c>
      <c r="Z203" s="9" t="str">
        <f>IFERROR(MID(VLOOKUP($B203,Seqs!$A:$B,2,0),AA203,1),"")</f>
        <v>Y</v>
      </c>
      <c r="AA203" s="9">
        <v>152</v>
      </c>
      <c r="AB203" s="9" t="str">
        <f>IFERROR(MID(VLOOKUP($B203,Seqs!$A:$B,2,0),AC203,1),"")</f>
        <v>R</v>
      </c>
      <c r="AC203" s="9">
        <v>153</v>
      </c>
      <c r="AD203" s="9" t="str">
        <f>IFERROR(MID(VLOOKUP($B203,Seqs!$A:$B,2,0),AE203,1),"")</f>
        <v>G</v>
      </c>
      <c r="AE203" s="9">
        <v>179</v>
      </c>
      <c r="AF203" s="9" t="str">
        <f>IFERROR(MID(VLOOKUP($B203,Seqs!$A:$B,2,0),AG203,1),"")</f>
        <v>C</v>
      </c>
      <c r="AG203" s="9">
        <v>190</v>
      </c>
      <c r="AH203" s="9" t="str">
        <f>IFERROR(MID(VLOOKUP($B203,Seqs!$A:$B,2,0),AI203,1),"")</f>
        <v>F</v>
      </c>
      <c r="AI203" s="9">
        <v>192</v>
      </c>
      <c r="AJ203" s="9" t="str">
        <f>IFERROR(MID(VLOOKUP($B203,Seqs!$A:$B,2,0),AK203,1),"")</f>
        <v>S</v>
      </c>
      <c r="AK203" s="9">
        <v>197</v>
      </c>
      <c r="AL203" s="9" t="str">
        <f>IFERROR(MID(VLOOKUP($B203,Seqs!$A:$B,2,0),AM203,1),"")</f>
        <v>A</v>
      </c>
      <c r="AM203" s="9">
        <v>234</v>
      </c>
      <c r="AN203" s="9" t="str">
        <f>IFERROR(MID(VLOOKUP($B203,Seqs!$A:$B,2,0),AO203,1),"")</f>
        <v>L</v>
      </c>
      <c r="AO203" s="9">
        <v>240</v>
      </c>
      <c r="AP203" s="9" t="str">
        <f>IFERROR(MID(VLOOKUP($B203,Seqs!$A:$B,2,0),AQ203,1),"")</f>
        <v>N</v>
      </c>
      <c r="AQ203" s="9">
        <v>277</v>
      </c>
      <c r="AR203" s="9" t="str">
        <f>IFERROR(MID(VLOOKUP($B203,Seqs!$A:$B,2,0),AS203,1),"")</f>
        <v>P</v>
      </c>
      <c r="AS203" s="9">
        <v>286</v>
      </c>
      <c r="AT203" s="9" t="str">
        <f>IFERROR(MID(VLOOKUP($B203,Seqs!$A:$B,2,0),AU203,1),"")</f>
        <v>L</v>
      </c>
      <c r="AU203" s="9">
        <v>311</v>
      </c>
      <c r="AV203" s="9" t="str">
        <f>IFERROR(MID(VLOOKUP($B203,Seqs!$A:$B,2,0),AW203,1),"")</f>
        <v>N</v>
      </c>
      <c r="AW203" s="9">
        <v>312</v>
      </c>
      <c r="AX203" s="9" t="str">
        <f>IFERROR(MID(VLOOKUP($B203,Seqs!$A:$B,2,0),AY203,1),"")</f>
        <v>N</v>
      </c>
      <c r="AY203" s="9">
        <v>328</v>
      </c>
      <c r="AZ203" s="110" t="str">
        <f>VLOOKUP(B203,Classification!A:D,2,0)</f>
        <v>A</v>
      </c>
      <c r="BA203" s="98" t="str">
        <f>VLOOKUP(B203,Classification!A:D,4,0)</f>
        <v>Melatonin</v>
      </c>
      <c r="BB203" s="36" t="b">
        <f t="shared" ref="BB203:BB204" si="1147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:BC204" si="1148">_xlfn.AGGREGATE(9,6,CH203:CS203)-_xlfn.AGGREGATE(9,6,BV203:CG203)+12</f>
        <v>264</v>
      </c>
      <c r="BD203" s="13" t="s">
        <v>23</v>
      </c>
      <c r="BE203" s="9" t="s">
        <v>23</v>
      </c>
      <c r="BF203" s="120" t="s">
        <v>23</v>
      </c>
      <c r="BG203" s="51"/>
      <c r="BH203" s="51"/>
      <c r="BJ203" s="111" t="s">
        <v>1288</v>
      </c>
      <c r="BK203" s="112" t="s">
        <v>1288</v>
      </c>
      <c r="BL203" s="112" t="s">
        <v>1288</v>
      </c>
      <c r="BM203" s="112" t="s">
        <v>1288</v>
      </c>
      <c r="BN203" s="112" t="s">
        <v>1288</v>
      </c>
      <c r="BO203" s="112" t="s">
        <v>1288</v>
      </c>
      <c r="BP203" s="112" t="s">
        <v>1288</v>
      </c>
      <c r="BQ203" s="112" t="s">
        <v>1288</v>
      </c>
      <c r="BR203" s="112" t="s">
        <v>1288</v>
      </c>
      <c r="BS203" s="112" t="s">
        <v>1288</v>
      </c>
      <c r="BT203" s="112" t="s">
        <v>1288</v>
      </c>
      <c r="BU203" s="112" t="s">
        <v>1288</v>
      </c>
      <c r="BV203" s="111">
        <f t="shared" ref="BV203:BV204" si="1149">E203</f>
        <v>38</v>
      </c>
      <c r="BW203" s="113">
        <f t="shared" ref="BW203:BW204" si="1150">I203</f>
        <v>69</v>
      </c>
      <c r="BX203" s="114">
        <f t="shared" ref="BX203:BX204" si="1151">M203</f>
        <v>73</v>
      </c>
      <c r="BY203" s="113">
        <f t="shared" ref="BY203:BY204" si="1152">Q203</f>
        <v>105</v>
      </c>
      <c r="BZ203" s="114">
        <f t="shared" ref="BZ203:BZ204" si="1153">U203</f>
        <v>109</v>
      </c>
      <c r="CA203" s="113">
        <f t="shared" ref="CA203:CA204" si="1154">Y203</f>
        <v>145</v>
      </c>
      <c r="CB203" s="114">
        <f t="shared" ref="CB203:CB204" si="1155">AC203</f>
        <v>153</v>
      </c>
      <c r="CC203" s="113">
        <f t="shared" ref="CC203:CC204" si="1156">AG203</f>
        <v>190</v>
      </c>
      <c r="CD203" s="114">
        <f t="shared" ref="CD203:CD204" si="1157">AK203</f>
        <v>197</v>
      </c>
      <c r="CE203" s="113">
        <f t="shared" ref="CE203:CE204" si="1158">AO203</f>
        <v>240</v>
      </c>
      <c r="CF203" s="114">
        <f t="shared" ref="CF203:CF204" si="1159">AS203</f>
        <v>286</v>
      </c>
      <c r="CG203" s="113">
        <f t="shared" ref="CG203:CG204" si="1160">AW203</f>
        <v>312</v>
      </c>
      <c r="CH203" s="111">
        <f t="shared" ref="CH203:CH204" si="1161">G203</f>
        <v>68</v>
      </c>
      <c r="CI203" s="113">
        <f t="shared" ref="CI203:CI204" si="1162">K203</f>
        <v>72</v>
      </c>
      <c r="CJ203" s="114">
        <f t="shared" ref="CJ203:CJ204" si="1163">O203</f>
        <v>104</v>
      </c>
      <c r="CK203" s="114">
        <f t="shared" ref="CK203:CK204" si="1164">S203</f>
        <v>108</v>
      </c>
      <c r="CL203" s="114">
        <f t="shared" ref="CL203:CL204" si="1165">W203</f>
        <v>144</v>
      </c>
      <c r="CM203" s="114">
        <f t="shared" ref="CM203:CM204" si="1166">AA203</f>
        <v>152</v>
      </c>
      <c r="CN203" s="114">
        <f t="shared" ref="CN203:CN204" si="1167">AE203</f>
        <v>179</v>
      </c>
      <c r="CO203" s="114">
        <f t="shared" ref="CO203:CO204" si="1168">AI203</f>
        <v>192</v>
      </c>
      <c r="CP203" s="114">
        <f t="shared" ref="CP203:CP204" si="1169">AM203</f>
        <v>234</v>
      </c>
      <c r="CQ203" s="114">
        <f t="shared" ref="CQ203:CQ204" si="1170">AQ203</f>
        <v>277</v>
      </c>
      <c r="CR203" s="114">
        <f t="shared" ref="CR203:CR204" si="1171">AU203</f>
        <v>311</v>
      </c>
      <c r="CS203" s="114">
        <f t="shared" ref="CS203:CS204" si="1172">AY203</f>
        <v>328</v>
      </c>
      <c r="CT203" s="109">
        <f t="shared" ref="CT203:CT204" si="1173">M203-K203</f>
        <v>1</v>
      </c>
    </row>
    <row r="204" spans="1:1029" s="12" customFormat="1" x14ac:dyDescent="0.2">
      <c r="A204" s="9" t="str">
        <f t="shared" si="1146"/>
        <v>mtr1b_human_6ME6</v>
      </c>
      <c r="B204" s="9" t="s">
        <v>312</v>
      </c>
      <c r="C204" s="9" t="s">
        <v>1569</v>
      </c>
      <c r="D204" s="9" t="str">
        <f>IFERROR(MID(VLOOKUP($B204,Seqs!$A:$B,2,0),E204,1),"")</f>
        <v>W</v>
      </c>
      <c r="E204" s="9">
        <v>38</v>
      </c>
      <c r="F204" s="9" t="str">
        <f>IFERROR(MID(VLOOKUP($B204,Seqs!$A:$B,2,0),G204,1),"")</f>
        <v>R</v>
      </c>
      <c r="G204" s="9">
        <v>67</v>
      </c>
      <c r="H204" s="9" t="str">
        <f>IFERROR(MID(VLOOKUP($B204,Seqs!$A:$B,2,0),I204,1),"")</f>
        <v>R</v>
      </c>
      <c r="I204" s="109">
        <v>69</v>
      </c>
      <c r="J204" s="9" t="str">
        <f>IFERROR(MID(VLOOKUP($B204,Seqs!$A:$B,2,0),K204,1),"")</f>
        <v>R</v>
      </c>
      <c r="K204" s="109">
        <v>72</v>
      </c>
      <c r="L204" s="9" t="str">
        <f>IFERROR(MID(VLOOKUP($B204,Seqs!$A:$B,2,0),M204,1),"")</f>
        <v>N</v>
      </c>
      <c r="M204" s="9">
        <v>73</v>
      </c>
      <c r="N204" s="9" t="str">
        <f>IFERROR(MID(VLOOKUP($B204,Seqs!$A:$B,2,0),O204,1),"")</f>
        <v>D</v>
      </c>
      <c r="O204" s="9">
        <v>104</v>
      </c>
      <c r="P204" s="9" t="str">
        <f>IFERROR(MID(VLOOKUP($B204,Seqs!$A:$B,2,0),Q204,1),"")</f>
        <v>G</v>
      </c>
      <c r="Q204" s="9">
        <v>105</v>
      </c>
      <c r="R204" s="9" t="str">
        <f>IFERROR(MID(VLOOKUP($B204,Seqs!$A:$B,2,0),S204,1),"")</f>
        <v>L</v>
      </c>
      <c r="S204" s="9">
        <v>108</v>
      </c>
      <c r="T204" s="9" t="str">
        <f>IFERROR(MID(VLOOKUP($B204,Seqs!$A:$B,2,0),U204,1),"")</f>
        <v>E</v>
      </c>
      <c r="U204" s="9">
        <v>110</v>
      </c>
      <c r="V204" s="9" t="str">
        <f>IFERROR(MID(VLOOKUP($B204,Seqs!$A:$B,2,0),W204,1),"")</f>
        <v>H</v>
      </c>
      <c r="W204" s="9">
        <v>144</v>
      </c>
      <c r="X204" s="9" t="str">
        <f>IFERROR(MID(VLOOKUP($B204,Seqs!$A:$B,2,0),Y204,1),"")</f>
        <v>S</v>
      </c>
      <c r="Y204" s="9">
        <v>145</v>
      </c>
      <c r="Z204" s="9" t="str">
        <f>IFERROR(MID(VLOOKUP($B204,Seqs!$A:$B,2,0),AA204,1),"")</f>
        <v>Y</v>
      </c>
      <c r="AA204" s="9">
        <v>152</v>
      </c>
      <c r="AB204" s="9" t="str">
        <f>IFERROR(MID(VLOOKUP($B204,Seqs!$A:$B,2,0),AC204,1),"")</f>
        <v>R</v>
      </c>
      <c r="AC204" s="9">
        <v>153</v>
      </c>
      <c r="AD204" s="9" t="str">
        <f>IFERROR(MID(VLOOKUP($B204,Seqs!$A:$B,2,0),AE204,1),"")</f>
        <v>V</v>
      </c>
      <c r="AE204" s="9">
        <v>178</v>
      </c>
      <c r="AF204" s="9" t="str">
        <f>IFERROR(MID(VLOOKUP($B204,Seqs!$A:$B,2,0),AG204,1),"")</f>
        <v>C</v>
      </c>
      <c r="AG204" s="9">
        <v>190</v>
      </c>
      <c r="AH204" s="9" t="str">
        <f>IFERROR(MID(VLOOKUP($B204,Seqs!$A:$B,2,0),AI204,1),"")</f>
        <v>F</v>
      </c>
      <c r="AI204" s="9">
        <v>192</v>
      </c>
      <c r="AJ204" s="9" t="str">
        <f>IFERROR(MID(VLOOKUP($B204,Seqs!$A:$B,2,0),AK204,1),"")</f>
        <v>S</v>
      </c>
      <c r="AK204" s="9">
        <v>197</v>
      </c>
      <c r="AL204" s="9" t="str">
        <f>IFERROR(MID(VLOOKUP($B204,Seqs!$A:$B,2,0),AM204,1),"")</f>
        <v>R</v>
      </c>
      <c r="AM204" s="9">
        <v>231</v>
      </c>
      <c r="AN204" s="9" t="str">
        <f>IFERROR(MID(VLOOKUP($B204,Seqs!$A:$B,2,0),AO204,1),"")</f>
        <v>F</v>
      </c>
      <c r="AO204" s="9">
        <v>250</v>
      </c>
      <c r="AP204" s="9" t="str">
        <f>IFERROR(MID(VLOOKUP($B204,Seqs!$A:$B,2,0),AQ204,1),"")</f>
        <v>N</v>
      </c>
      <c r="AQ204" s="9">
        <v>277</v>
      </c>
      <c r="AR204" s="9" t="str">
        <f>IFERROR(MID(VLOOKUP($B204,Seqs!$A:$B,2,0),AS204,1),"")</f>
        <v>P</v>
      </c>
      <c r="AS204" s="9">
        <v>286</v>
      </c>
      <c r="AT204" s="9" t="str">
        <f>IFERROR(MID(VLOOKUP($B204,Seqs!$A:$B,2,0),AU204,1),"")</f>
        <v>L</v>
      </c>
      <c r="AU204" s="9">
        <v>311</v>
      </c>
      <c r="AV204" s="9" t="str">
        <f>IFERROR(MID(VLOOKUP($B204,Seqs!$A:$B,2,0),AW204,1),"")</f>
        <v>N</v>
      </c>
      <c r="AW204" s="9">
        <v>312</v>
      </c>
      <c r="AX204" s="9" t="str">
        <f>IFERROR(MID(VLOOKUP($B204,Seqs!$A:$B,2,0),AY204,1),"")</f>
        <v>N</v>
      </c>
      <c r="AY204" s="9">
        <v>328</v>
      </c>
      <c r="AZ204" s="110" t="str">
        <f>VLOOKUP(B204,Classification!A:D,2,0)</f>
        <v>A</v>
      </c>
      <c r="BA204" s="98" t="str">
        <f>VLOOKUP(B204,Classification!A:D,4,0)</f>
        <v>Melatonin</v>
      </c>
      <c r="BB204" s="36" t="b">
        <f t="shared" si="1147"/>
        <v>1</v>
      </c>
      <c r="BC204" s="109">
        <f t="shared" si="1148"/>
        <v>248</v>
      </c>
      <c r="BD204" s="13" t="s">
        <v>23</v>
      </c>
      <c r="BE204" s="9" t="s">
        <v>1375</v>
      </c>
      <c r="BF204" s="120">
        <v>2.8</v>
      </c>
      <c r="BG204" s="51" t="s">
        <v>1282</v>
      </c>
      <c r="BH204" s="51" t="s">
        <v>1282</v>
      </c>
      <c r="BJ204" s="111" t="s">
        <v>1288</v>
      </c>
      <c r="BK204" s="112" t="s">
        <v>1288</v>
      </c>
      <c r="BL204" s="112" t="s">
        <v>1288</v>
      </c>
      <c r="BM204" s="112" t="s">
        <v>1288</v>
      </c>
      <c r="BN204" s="112" t="s">
        <v>1288</v>
      </c>
      <c r="BO204" s="112" t="s">
        <v>1288</v>
      </c>
      <c r="BP204" s="112" t="s">
        <v>1288</v>
      </c>
      <c r="BQ204" s="112" t="s">
        <v>1288</v>
      </c>
      <c r="BR204" s="112" t="s">
        <v>1288</v>
      </c>
      <c r="BS204" s="112" t="s">
        <v>1288</v>
      </c>
      <c r="BT204" s="112" t="s">
        <v>1288</v>
      </c>
      <c r="BU204" s="112" t="s">
        <v>1288</v>
      </c>
      <c r="BV204" s="111">
        <f t="shared" si="1149"/>
        <v>38</v>
      </c>
      <c r="BW204" s="113">
        <f t="shared" si="1150"/>
        <v>69</v>
      </c>
      <c r="BX204" s="114">
        <f t="shared" si="1151"/>
        <v>73</v>
      </c>
      <c r="BY204" s="113">
        <f t="shared" si="1152"/>
        <v>105</v>
      </c>
      <c r="BZ204" s="114">
        <f t="shared" si="1153"/>
        <v>110</v>
      </c>
      <c r="CA204" s="113">
        <f t="shared" si="1154"/>
        <v>145</v>
      </c>
      <c r="CB204" s="114">
        <f t="shared" si="1155"/>
        <v>153</v>
      </c>
      <c r="CC204" s="113">
        <f t="shared" si="1156"/>
        <v>190</v>
      </c>
      <c r="CD204" s="114">
        <f t="shared" si="1157"/>
        <v>197</v>
      </c>
      <c r="CE204" s="113">
        <f t="shared" si="1158"/>
        <v>250</v>
      </c>
      <c r="CF204" s="114">
        <f t="shared" si="1159"/>
        <v>286</v>
      </c>
      <c r="CG204" s="113">
        <f t="shared" si="1160"/>
        <v>312</v>
      </c>
      <c r="CH204" s="111">
        <f t="shared" si="1161"/>
        <v>67</v>
      </c>
      <c r="CI204" s="113">
        <f t="shared" si="1162"/>
        <v>72</v>
      </c>
      <c r="CJ204" s="114">
        <f t="shared" si="1163"/>
        <v>104</v>
      </c>
      <c r="CK204" s="114">
        <f t="shared" si="1164"/>
        <v>108</v>
      </c>
      <c r="CL204" s="114">
        <f t="shared" si="1165"/>
        <v>144</v>
      </c>
      <c r="CM204" s="114">
        <f t="shared" si="1166"/>
        <v>152</v>
      </c>
      <c r="CN204" s="114">
        <f t="shared" si="1167"/>
        <v>178</v>
      </c>
      <c r="CO204" s="114">
        <f t="shared" si="1168"/>
        <v>192</v>
      </c>
      <c r="CP204" s="114">
        <f t="shared" si="1169"/>
        <v>231</v>
      </c>
      <c r="CQ204" s="114">
        <f t="shared" si="1170"/>
        <v>277</v>
      </c>
      <c r="CR204" s="114">
        <f t="shared" si="1171"/>
        <v>311</v>
      </c>
      <c r="CS204" s="114">
        <f t="shared" si="1172"/>
        <v>328</v>
      </c>
      <c r="CT204" s="109">
        <f t="shared" si="1173"/>
        <v>1</v>
      </c>
    </row>
    <row r="205" spans="1:1029" s="12" customFormat="1" x14ac:dyDescent="0.2">
      <c r="A205" s="9" t="str">
        <f t="shared" ref="A205" si="1174">CONCATENATE(B205,"_",C205)</f>
        <v>mtr1b_human_6ME7</v>
      </c>
      <c r="B205" s="9" t="s">
        <v>312</v>
      </c>
      <c r="C205" s="9" t="s">
        <v>1570</v>
      </c>
      <c r="D205" s="9" t="str">
        <f>IFERROR(MID(VLOOKUP($B205,Seqs!$A:$B,2,0),E205,1),"")</f>
        <v>W</v>
      </c>
      <c r="E205" s="9">
        <v>38</v>
      </c>
      <c r="F205" s="9" t="str">
        <f>IFERROR(MID(VLOOKUP($B205,Seqs!$A:$B,2,0),G205,1),"")</f>
        <v>N</v>
      </c>
      <c r="G205" s="9">
        <v>68</v>
      </c>
      <c r="H205" s="9" t="str">
        <f>IFERROR(MID(VLOOKUP($B205,Seqs!$A:$B,2,0),I205,1),"")</f>
        <v>R</v>
      </c>
      <c r="I205" s="109">
        <v>69</v>
      </c>
      <c r="J205" s="9" t="str">
        <f>IFERROR(MID(VLOOKUP($B205,Seqs!$A:$B,2,0),K205,1),"")</f>
        <v>R</v>
      </c>
      <c r="K205" s="109">
        <v>72</v>
      </c>
      <c r="L205" s="9" t="str">
        <f>IFERROR(MID(VLOOKUP($B205,Seqs!$A:$B,2,0),M205,1),"")</f>
        <v>G</v>
      </c>
      <c r="M205" s="9">
        <v>75</v>
      </c>
      <c r="N205" s="9" t="str">
        <f>IFERROR(MID(VLOOKUP($B205,Seqs!$A:$B,2,0),O205,1),"")</f>
        <v>D</v>
      </c>
      <c r="O205" s="9">
        <v>104</v>
      </c>
      <c r="P205" s="9" t="str">
        <f>IFERROR(MID(VLOOKUP($B205,Seqs!$A:$B,2,0),Q205,1),"")</f>
        <v>G</v>
      </c>
      <c r="Q205" s="9">
        <v>105</v>
      </c>
      <c r="R205" s="9" t="str">
        <f>IFERROR(MID(VLOOKUP($B205,Seqs!$A:$B,2,0),S205,1),"")</f>
        <v>L</v>
      </c>
      <c r="S205" s="9">
        <v>108</v>
      </c>
      <c r="T205" s="9" t="str">
        <f>IFERROR(MID(VLOOKUP($B205,Seqs!$A:$B,2,0),U205,1),"")</f>
        <v>G</v>
      </c>
      <c r="U205" s="9">
        <v>109</v>
      </c>
      <c r="V205" s="9" t="str">
        <f>IFERROR(MID(VLOOKUP($B205,Seqs!$A:$B,2,0),W205,1),"")</f>
        <v>H</v>
      </c>
      <c r="W205" s="9">
        <v>144</v>
      </c>
      <c r="X205" s="9" t="str">
        <f>IFERROR(MID(VLOOKUP($B205,Seqs!$A:$B,2,0),Y205,1),"")</f>
        <v>S</v>
      </c>
      <c r="Y205" s="9">
        <v>145</v>
      </c>
      <c r="Z205" s="9" t="str">
        <f>IFERROR(MID(VLOOKUP($B205,Seqs!$A:$B,2,0),AA205,1),"")</f>
        <v>Y</v>
      </c>
      <c r="AA205" s="9">
        <v>152</v>
      </c>
      <c r="AB205" s="9" t="str">
        <f>IFERROR(MID(VLOOKUP($B205,Seqs!$A:$B,2,0),AC205,1),"")</f>
        <v>R</v>
      </c>
      <c r="AC205" s="9">
        <v>153</v>
      </c>
      <c r="AD205" s="9" t="str">
        <f>IFERROR(MID(VLOOKUP($B205,Seqs!$A:$B,2,0),AE205,1),"")</f>
        <v>G</v>
      </c>
      <c r="AE205" s="9">
        <v>179</v>
      </c>
      <c r="AF205" s="9" t="str">
        <f>IFERROR(MID(VLOOKUP($B205,Seqs!$A:$B,2,0),AG205,1),"")</f>
        <v>C</v>
      </c>
      <c r="AG205" s="9">
        <v>190</v>
      </c>
      <c r="AH205" s="9" t="str">
        <f>IFERROR(MID(VLOOKUP($B205,Seqs!$A:$B,2,0),AI205,1),"")</f>
        <v>F</v>
      </c>
      <c r="AI205" s="9">
        <v>192</v>
      </c>
      <c r="AJ205" s="9" t="str">
        <f>IFERROR(MID(VLOOKUP($B205,Seqs!$A:$B,2,0),AK205,1),"")</f>
        <v>S</v>
      </c>
      <c r="AK205" s="9">
        <v>197</v>
      </c>
      <c r="AL205" s="9" t="str">
        <f>IFERROR(MID(VLOOKUP($B205,Seqs!$A:$B,2,0),AM205,1),"")</f>
        <v>A</v>
      </c>
      <c r="AM205" s="9">
        <v>230</v>
      </c>
      <c r="AN205" s="9" t="str">
        <f>IFERROR(MID(VLOOKUP($B205,Seqs!$A:$B,2,0),AO205,1),"")</f>
        <v>S</v>
      </c>
      <c r="AO205" s="9">
        <v>249</v>
      </c>
      <c r="AP205" s="9" t="str">
        <f>IFERROR(MID(VLOOKUP($B205,Seqs!$A:$B,2,0),AQ205,1),"")</f>
        <v>N</v>
      </c>
      <c r="AQ205" s="9">
        <v>277</v>
      </c>
      <c r="AR205" s="9" t="str">
        <f>IFERROR(MID(VLOOKUP($B205,Seqs!$A:$B,2,0),AS205,1),"")</f>
        <v>P</v>
      </c>
      <c r="AS205" s="9">
        <v>286</v>
      </c>
      <c r="AT205" s="9" t="str">
        <f>IFERROR(MID(VLOOKUP($B205,Seqs!$A:$B,2,0),AU205,1),"")</f>
        <v>L</v>
      </c>
      <c r="AU205" s="9">
        <v>311</v>
      </c>
      <c r="AV205" s="9" t="str">
        <f>IFERROR(MID(VLOOKUP($B205,Seqs!$A:$B,2,0),AW205,1),"")</f>
        <v>N</v>
      </c>
      <c r="AW205" s="9">
        <v>312</v>
      </c>
      <c r="AX205" s="9" t="str">
        <f>IFERROR(MID(VLOOKUP($B205,Seqs!$A:$B,2,0),AY205,1),"")</f>
        <v>N</v>
      </c>
      <c r="AY205" s="9">
        <v>328</v>
      </c>
      <c r="AZ205" s="110" t="str">
        <f>VLOOKUP(B205,Classification!A:D,2,0)</f>
        <v>A</v>
      </c>
      <c r="BA205" s="98" t="str">
        <f>VLOOKUP(B205,Classification!A:D,4,0)</f>
        <v>Melatonin</v>
      </c>
      <c r="BB205" s="36" t="b">
        <f t="shared" ref="BB205" si="1175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" si="1176">_xlfn.AGGREGATE(9,6,CH205:CS205)-_xlfn.AGGREGATE(9,6,BV205:CG205)+12</f>
        <v>249</v>
      </c>
      <c r="BD205" s="13" t="s">
        <v>1377</v>
      </c>
      <c r="BE205" s="9" t="s">
        <v>1375</v>
      </c>
      <c r="BF205" s="120">
        <v>3.2</v>
      </c>
      <c r="BG205" s="51" t="s">
        <v>1</v>
      </c>
      <c r="BH205" s="51" t="s">
        <v>1</v>
      </c>
      <c r="BJ205" s="111" t="s">
        <v>1288</v>
      </c>
      <c r="BK205" s="112" t="s">
        <v>1288</v>
      </c>
      <c r="BL205" s="112" t="s">
        <v>1288</v>
      </c>
      <c r="BM205" s="112" t="s">
        <v>1288</v>
      </c>
      <c r="BN205" s="112" t="s">
        <v>1288</v>
      </c>
      <c r="BO205" s="112" t="s">
        <v>1288</v>
      </c>
      <c r="BP205" s="112" t="s">
        <v>1288</v>
      </c>
      <c r="BQ205" s="112" t="s">
        <v>1288</v>
      </c>
      <c r="BR205" s="112" t="s">
        <v>1288</v>
      </c>
      <c r="BS205" s="112" t="s">
        <v>1288</v>
      </c>
      <c r="BT205" s="112" t="s">
        <v>1288</v>
      </c>
      <c r="BU205" s="112" t="s">
        <v>1288</v>
      </c>
      <c r="BV205" s="111">
        <f t="shared" ref="BV205" si="1177">E205</f>
        <v>38</v>
      </c>
      <c r="BW205" s="113">
        <f t="shared" ref="BW205" si="1178">I205</f>
        <v>69</v>
      </c>
      <c r="BX205" s="114">
        <f t="shared" ref="BX205" si="1179">M205</f>
        <v>75</v>
      </c>
      <c r="BY205" s="113">
        <f t="shared" ref="BY205" si="1180">Q205</f>
        <v>105</v>
      </c>
      <c r="BZ205" s="114">
        <f t="shared" ref="BZ205" si="1181">U205</f>
        <v>109</v>
      </c>
      <c r="CA205" s="113">
        <f t="shared" ref="CA205" si="1182">Y205</f>
        <v>145</v>
      </c>
      <c r="CB205" s="114">
        <f t="shared" ref="CB205" si="1183">AC205</f>
        <v>153</v>
      </c>
      <c r="CC205" s="113">
        <f t="shared" ref="CC205" si="1184">AG205</f>
        <v>190</v>
      </c>
      <c r="CD205" s="114">
        <f t="shared" ref="CD205" si="1185">AK205</f>
        <v>197</v>
      </c>
      <c r="CE205" s="113">
        <f t="shared" ref="CE205" si="1186">AO205</f>
        <v>249</v>
      </c>
      <c r="CF205" s="114">
        <f t="shared" ref="CF205" si="1187">AS205</f>
        <v>286</v>
      </c>
      <c r="CG205" s="113">
        <f t="shared" ref="CG205" si="1188">AW205</f>
        <v>312</v>
      </c>
      <c r="CH205" s="111">
        <f t="shared" ref="CH205" si="1189">G205</f>
        <v>68</v>
      </c>
      <c r="CI205" s="113">
        <f t="shared" ref="CI205" si="1190">K205</f>
        <v>72</v>
      </c>
      <c r="CJ205" s="114">
        <f t="shared" ref="CJ205" si="1191">O205</f>
        <v>104</v>
      </c>
      <c r="CK205" s="114">
        <f t="shared" ref="CK205" si="1192">S205</f>
        <v>108</v>
      </c>
      <c r="CL205" s="114">
        <f t="shared" ref="CL205" si="1193">W205</f>
        <v>144</v>
      </c>
      <c r="CM205" s="114">
        <f t="shared" ref="CM205" si="1194">AA205</f>
        <v>152</v>
      </c>
      <c r="CN205" s="114">
        <f t="shared" ref="CN205" si="1195">AE205</f>
        <v>179</v>
      </c>
      <c r="CO205" s="114">
        <f t="shared" ref="CO205" si="1196">AI205</f>
        <v>192</v>
      </c>
      <c r="CP205" s="114">
        <f t="shared" ref="CP205" si="1197">AM205</f>
        <v>230</v>
      </c>
      <c r="CQ205" s="114">
        <f t="shared" ref="CQ205" si="1198">AQ205</f>
        <v>277</v>
      </c>
      <c r="CR205" s="114">
        <f t="shared" ref="CR205" si="1199">AU205</f>
        <v>311</v>
      </c>
      <c r="CS205" s="114">
        <f t="shared" ref="CS205" si="1200">AY205</f>
        <v>328</v>
      </c>
      <c r="CT205" s="109">
        <f t="shared" ref="CT205" si="1201">M205-K205</f>
        <v>3</v>
      </c>
    </row>
    <row r="206" spans="1:1029" s="12" customFormat="1" x14ac:dyDescent="0.2">
      <c r="A206" s="9" t="str">
        <f t="shared" ref="A206" si="1202">CONCATENATE(B206,"_",C206)</f>
        <v>mtr1b_human_6ME8</v>
      </c>
      <c r="B206" s="9" t="s">
        <v>312</v>
      </c>
      <c r="C206" s="9" t="s">
        <v>1571</v>
      </c>
      <c r="D206" s="9" t="str">
        <f>IFERROR(MID(VLOOKUP($B206,Seqs!$A:$B,2,0),E206,1),"")</f>
        <v>W</v>
      </c>
      <c r="E206" s="9">
        <v>38</v>
      </c>
      <c r="F206" s="9" t="str">
        <f>IFERROR(MID(VLOOKUP($B206,Seqs!$A:$B,2,0),G206,1),"")</f>
        <v>R</v>
      </c>
      <c r="G206" s="9">
        <v>67</v>
      </c>
      <c r="H206" s="9" t="str">
        <f>IFERROR(MID(VLOOKUP($B206,Seqs!$A:$B,2,0),I206,1),"")</f>
        <v>R</v>
      </c>
      <c r="I206" s="109">
        <v>69</v>
      </c>
      <c r="J206" s="9" t="str">
        <f>IFERROR(MID(VLOOKUP($B206,Seqs!$A:$B,2,0),K206,1),"")</f>
        <v>R</v>
      </c>
      <c r="K206" s="109">
        <v>72</v>
      </c>
      <c r="L206" s="9" t="str">
        <f>IFERROR(MID(VLOOKUP($B206,Seqs!$A:$B,2,0),M206,1),"")</f>
        <v>N</v>
      </c>
      <c r="M206" s="9">
        <v>73</v>
      </c>
      <c r="N206" s="9" t="str">
        <f>IFERROR(MID(VLOOKUP($B206,Seqs!$A:$B,2,0),O206,1),"")</f>
        <v>D</v>
      </c>
      <c r="O206" s="9">
        <v>104</v>
      </c>
      <c r="P206" s="9" t="str">
        <f>IFERROR(MID(VLOOKUP($B206,Seqs!$A:$B,2,0),Q206,1),"")</f>
        <v>G</v>
      </c>
      <c r="Q206" s="9">
        <v>105</v>
      </c>
      <c r="R206" s="9" t="str">
        <f>IFERROR(MID(VLOOKUP($B206,Seqs!$A:$B,2,0),S206,1),"")</f>
        <v>L</v>
      </c>
      <c r="S206" s="9">
        <v>108</v>
      </c>
      <c r="T206" s="9" t="str">
        <f>IFERROR(MID(VLOOKUP($B206,Seqs!$A:$B,2,0),U206,1),"")</f>
        <v>G</v>
      </c>
      <c r="U206" s="9">
        <v>109</v>
      </c>
      <c r="V206" s="9" t="str">
        <f>IFERROR(MID(VLOOKUP($B206,Seqs!$A:$B,2,0),W206,1),"")</f>
        <v>C</v>
      </c>
      <c r="W206" s="9">
        <v>143</v>
      </c>
      <c r="X206" s="9" t="str">
        <f>IFERROR(MID(VLOOKUP($B206,Seqs!$A:$B,2,0),Y206,1),"")</f>
        <v>S</v>
      </c>
      <c r="Y206" s="9">
        <v>145</v>
      </c>
      <c r="Z206" s="9" t="str">
        <f>IFERROR(MID(VLOOKUP($B206,Seqs!$A:$B,2,0),AA206,1),"")</f>
        <v>Y</v>
      </c>
      <c r="AA206" s="9">
        <v>152</v>
      </c>
      <c r="AB206" s="9" t="str">
        <f>IFERROR(MID(VLOOKUP($B206,Seqs!$A:$B,2,0),AC206,1),"")</f>
        <v>H</v>
      </c>
      <c r="AC206" s="9">
        <v>156</v>
      </c>
      <c r="AD206" s="9" t="str">
        <f>IFERROR(MID(VLOOKUP($B206,Seqs!$A:$B,2,0),AE206,1),"")</f>
        <v>G</v>
      </c>
      <c r="AE206" s="9">
        <v>179</v>
      </c>
      <c r="AF206" s="9" t="str">
        <f>IFERROR(MID(VLOOKUP($B206,Seqs!$A:$B,2,0),AG206,1),"")</f>
        <v>C</v>
      </c>
      <c r="AG206" s="9">
        <v>190</v>
      </c>
      <c r="AH206" s="9" t="str">
        <f>IFERROR(MID(VLOOKUP($B206,Seqs!$A:$B,2,0),AI206,1),"")</f>
        <v>F</v>
      </c>
      <c r="AI206" s="9">
        <v>192</v>
      </c>
      <c r="AJ206" s="9" t="str">
        <f>IFERROR(MID(VLOOKUP($B206,Seqs!$A:$B,2,0),AK206,1),"")</f>
        <v>S</v>
      </c>
      <c r="AK206" s="9">
        <v>197</v>
      </c>
      <c r="AL206" s="9" t="str">
        <f>IFERROR(MID(VLOOKUP($B206,Seqs!$A:$B,2,0),AM206,1),"")</f>
        <v>A</v>
      </c>
      <c r="AM206" s="9">
        <v>230</v>
      </c>
      <c r="AN206" s="9" t="str">
        <f>IFERROR(MID(VLOOKUP($B206,Seqs!$A:$B,2,0),AO206,1),"")</f>
        <v>F</v>
      </c>
      <c r="AO206" s="9">
        <v>250</v>
      </c>
      <c r="AP206" s="9" t="str">
        <f>IFERROR(MID(VLOOKUP($B206,Seqs!$A:$B,2,0),AQ206,1),"")</f>
        <v>N</v>
      </c>
      <c r="AQ206" s="9">
        <v>277</v>
      </c>
      <c r="AR206" s="9" t="str">
        <f>IFERROR(MID(VLOOKUP($B206,Seqs!$A:$B,2,0),AS206,1),"")</f>
        <v>P</v>
      </c>
      <c r="AS206" s="9">
        <v>286</v>
      </c>
      <c r="AT206" s="9" t="str">
        <f>IFERROR(MID(VLOOKUP($B206,Seqs!$A:$B,2,0),AU206,1),"")</f>
        <v>L</v>
      </c>
      <c r="AU206" s="9">
        <v>311</v>
      </c>
      <c r="AV206" s="9" t="str">
        <f>IFERROR(MID(VLOOKUP($B206,Seqs!$A:$B,2,0),AW206,1),"")</f>
        <v>N</v>
      </c>
      <c r="AW206" s="9">
        <v>312</v>
      </c>
      <c r="AX206" s="9" t="str">
        <f>IFERROR(MID(VLOOKUP($B206,Seqs!$A:$B,2,0),AY206,1),"")</f>
        <v>N</v>
      </c>
      <c r="AY206" s="9">
        <v>328</v>
      </c>
      <c r="AZ206" s="110" t="str">
        <f>VLOOKUP(B206,Classification!A:D,2,0)</f>
        <v>A</v>
      </c>
      <c r="BA206" s="98" t="str">
        <f>VLOOKUP(B206,Classification!A:D,4,0)</f>
        <v>Melatonin</v>
      </c>
      <c r="BB206" s="36" t="b">
        <f t="shared" ref="BB206" si="1203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109">
        <f t="shared" ref="BC206" si="1204">_xlfn.AGGREGATE(9,6,CH206:CS206)-_xlfn.AGGREGATE(9,6,BV206:CG206)+12</f>
        <v>245</v>
      </c>
      <c r="BD206" s="13" t="s">
        <v>23</v>
      </c>
      <c r="BE206" s="9" t="s">
        <v>1375</v>
      </c>
      <c r="BF206" s="120">
        <v>3.1</v>
      </c>
      <c r="BG206" s="51" t="s">
        <v>1282</v>
      </c>
      <c r="BH206" s="51" t="s">
        <v>1282</v>
      </c>
      <c r="BJ206" s="111" t="s">
        <v>1288</v>
      </c>
      <c r="BK206" s="112" t="s">
        <v>1288</v>
      </c>
      <c r="BL206" s="112" t="s">
        <v>1288</v>
      </c>
      <c r="BM206" s="112" t="s">
        <v>1288</v>
      </c>
      <c r="BN206" s="112" t="s">
        <v>1288</v>
      </c>
      <c r="BO206" s="112" t="s">
        <v>1288</v>
      </c>
      <c r="BP206" s="112" t="s">
        <v>1288</v>
      </c>
      <c r="BQ206" s="112" t="s">
        <v>1288</v>
      </c>
      <c r="BR206" s="112" t="s">
        <v>1288</v>
      </c>
      <c r="BS206" s="112" t="s">
        <v>1288</v>
      </c>
      <c r="BT206" s="112" t="s">
        <v>1288</v>
      </c>
      <c r="BU206" s="112" t="s">
        <v>1288</v>
      </c>
      <c r="BV206" s="111">
        <f t="shared" ref="BV206" si="1205">E206</f>
        <v>38</v>
      </c>
      <c r="BW206" s="113">
        <f t="shared" ref="BW206" si="1206">I206</f>
        <v>69</v>
      </c>
      <c r="BX206" s="114">
        <f t="shared" ref="BX206" si="1207">M206</f>
        <v>73</v>
      </c>
      <c r="BY206" s="113">
        <f t="shared" ref="BY206" si="1208">Q206</f>
        <v>105</v>
      </c>
      <c r="BZ206" s="114">
        <f t="shared" ref="BZ206" si="1209">U206</f>
        <v>109</v>
      </c>
      <c r="CA206" s="113">
        <f t="shared" ref="CA206" si="1210">Y206</f>
        <v>145</v>
      </c>
      <c r="CB206" s="114">
        <f t="shared" ref="CB206" si="1211">AC206</f>
        <v>156</v>
      </c>
      <c r="CC206" s="113">
        <f t="shared" ref="CC206" si="1212">AG206</f>
        <v>190</v>
      </c>
      <c r="CD206" s="114">
        <f t="shared" ref="CD206" si="1213">AK206</f>
        <v>197</v>
      </c>
      <c r="CE206" s="113">
        <f t="shared" ref="CE206" si="1214">AO206</f>
        <v>250</v>
      </c>
      <c r="CF206" s="114">
        <f t="shared" ref="CF206" si="1215">AS206</f>
        <v>286</v>
      </c>
      <c r="CG206" s="113">
        <f t="shared" ref="CG206" si="1216">AW206</f>
        <v>312</v>
      </c>
      <c r="CH206" s="111">
        <f t="shared" ref="CH206" si="1217">G206</f>
        <v>67</v>
      </c>
      <c r="CI206" s="113">
        <f t="shared" ref="CI206" si="1218">K206</f>
        <v>72</v>
      </c>
      <c r="CJ206" s="114">
        <f t="shared" ref="CJ206" si="1219">O206</f>
        <v>104</v>
      </c>
      <c r="CK206" s="114">
        <f t="shared" ref="CK206" si="1220">S206</f>
        <v>108</v>
      </c>
      <c r="CL206" s="114">
        <f t="shared" ref="CL206" si="1221">W206</f>
        <v>143</v>
      </c>
      <c r="CM206" s="114">
        <f t="shared" ref="CM206" si="1222">AA206</f>
        <v>152</v>
      </c>
      <c r="CN206" s="114">
        <f t="shared" ref="CN206" si="1223">AE206</f>
        <v>179</v>
      </c>
      <c r="CO206" s="114">
        <f t="shared" ref="CO206" si="1224">AI206</f>
        <v>192</v>
      </c>
      <c r="CP206" s="114">
        <f t="shared" ref="CP206" si="1225">AM206</f>
        <v>230</v>
      </c>
      <c r="CQ206" s="114">
        <f t="shared" ref="CQ206" si="1226">AQ206</f>
        <v>277</v>
      </c>
      <c r="CR206" s="114">
        <f t="shared" ref="CR206" si="1227">AU206</f>
        <v>311</v>
      </c>
      <c r="CS206" s="114">
        <f t="shared" ref="CS206" si="1228">AY206</f>
        <v>328</v>
      </c>
      <c r="CT206" s="109">
        <f t="shared" ref="CT206" si="1229">M206-K206</f>
        <v>1</v>
      </c>
    </row>
    <row r="207" spans="1:1029" s="12" customFormat="1" x14ac:dyDescent="0.2">
      <c r="A207" s="9" t="str">
        <f t="shared" ref="A207" si="1230">CONCATENATE(B207,"_",C207)</f>
        <v>mtr1b_human_6ME9</v>
      </c>
      <c r="B207" s="9" t="s">
        <v>312</v>
      </c>
      <c r="C207" s="9" t="s">
        <v>1572</v>
      </c>
      <c r="D207" s="9" t="str">
        <f>IFERROR(MID(VLOOKUP($B207,Seqs!$A:$B,2,0),E207,1),"")</f>
        <v>W</v>
      </c>
      <c r="E207" s="9">
        <v>38</v>
      </c>
      <c r="F207" s="9" t="str">
        <f>IFERROR(MID(VLOOKUP($B207,Seqs!$A:$B,2,0),G207,1),"")</f>
        <v>R</v>
      </c>
      <c r="G207" s="9">
        <v>67</v>
      </c>
      <c r="H207" s="9" t="str">
        <f>IFERROR(MID(VLOOKUP($B207,Seqs!$A:$B,2,0),I207,1),"")</f>
        <v>R</v>
      </c>
      <c r="I207" s="109">
        <v>69</v>
      </c>
      <c r="J207" s="9" t="str">
        <f>IFERROR(MID(VLOOKUP($B207,Seqs!$A:$B,2,0),K207,1),"")</f>
        <v>R</v>
      </c>
      <c r="K207" s="109">
        <v>72</v>
      </c>
      <c r="L207" s="9" t="str">
        <f>IFERROR(MID(VLOOKUP($B207,Seqs!$A:$B,2,0),M207,1),"")</f>
        <v>N</v>
      </c>
      <c r="M207" s="9">
        <v>73</v>
      </c>
      <c r="N207" s="9" t="str">
        <f>IFERROR(MID(VLOOKUP($B207,Seqs!$A:$B,2,0),O207,1),"")</f>
        <v>D</v>
      </c>
      <c r="O207" s="9">
        <v>104</v>
      </c>
      <c r="P207" s="9" t="str">
        <f>IFERROR(MID(VLOOKUP($B207,Seqs!$A:$B,2,0),Q207,1),"")</f>
        <v>G</v>
      </c>
      <c r="Q207" s="9">
        <v>105</v>
      </c>
      <c r="R207" s="9" t="str">
        <f>IFERROR(MID(VLOOKUP($B207,Seqs!$A:$B,2,0),S207,1),"")</f>
        <v>L</v>
      </c>
      <c r="S207" s="9">
        <v>108</v>
      </c>
      <c r="T207" s="9" t="str">
        <f>IFERROR(MID(VLOOKUP($B207,Seqs!$A:$B,2,0),U207,1),"")</f>
        <v>G</v>
      </c>
      <c r="U207" s="9">
        <v>109</v>
      </c>
      <c r="V207" s="9" t="str">
        <f>IFERROR(MID(VLOOKUP($B207,Seqs!$A:$B,2,0),W207,1),"")</f>
        <v>C</v>
      </c>
      <c r="W207" s="9">
        <v>143</v>
      </c>
      <c r="X207" s="9" t="str">
        <f>IFERROR(MID(VLOOKUP($B207,Seqs!$A:$B,2,0),Y207,1),"")</f>
        <v>S</v>
      </c>
      <c r="Y207" s="9">
        <v>145</v>
      </c>
      <c r="Z207" s="9" t="str">
        <f>IFERROR(MID(VLOOKUP($B207,Seqs!$A:$B,2,0),AA207,1),"")</f>
        <v>Y</v>
      </c>
      <c r="AA207" s="9">
        <v>152</v>
      </c>
      <c r="AB207" s="9" t="str">
        <f>IFERROR(MID(VLOOKUP($B207,Seqs!$A:$B,2,0),AC207,1),"")</f>
        <v>H</v>
      </c>
      <c r="AC207" s="9">
        <v>156</v>
      </c>
      <c r="AD207" s="9" t="str">
        <f>IFERROR(MID(VLOOKUP($B207,Seqs!$A:$B,2,0),AE207,1),"")</f>
        <v>G</v>
      </c>
      <c r="AE207" s="9">
        <v>179</v>
      </c>
      <c r="AF207" s="9" t="str">
        <f>IFERROR(MID(VLOOKUP($B207,Seqs!$A:$B,2,0),AG207,1),"")</f>
        <v>C</v>
      </c>
      <c r="AG207" s="9">
        <v>190</v>
      </c>
      <c r="AH207" s="9" t="str">
        <f>IFERROR(MID(VLOOKUP($B207,Seqs!$A:$B,2,0),AI207,1),"")</f>
        <v>F</v>
      </c>
      <c r="AI207" s="9">
        <v>192</v>
      </c>
      <c r="AJ207" s="9" t="str">
        <f>IFERROR(MID(VLOOKUP($B207,Seqs!$A:$B,2,0),AK207,1),"")</f>
        <v>S</v>
      </c>
      <c r="AK207" s="9">
        <v>197</v>
      </c>
      <c r="AL207" s="9" t="str">
        <f>IFERROR(MID(VLOOKUP($B207,Seqs!$A:$B,2,0),AM207,1),"")</f>
        <v>A</v>
      </c>
      <c r="AM207" s="9">
        <v>230</v>
      </c>
      <c r="AN207" s="9" t="str">
        <f>IFERROR(MID(VLOOKUP($B207,Seqs!$A:$B,2,0),AO207,1),"")</f>
        <v>F</v>
      </c>
      <c r="AO207" s="9">
        <v>250</v>
      </c>
      <c r="AP207" s="9" t="str">
        <f>IFERROR(MID(VLOOKUP($B207,Seqs!$A:$B,2,0),AQ207,1),"")</f>
        <v>N</v>
      </c>
      <c r="AQ207" s="9">
        <v>277</v>
      </c>
      <c r="AR207" s="9" t="str">
        <f>IFERROR(MID(VLOOKUP($B207,Seqs!$A:$B,2,0),AS207,1),"")</f>
        <v>P</v>
      </c>
      <c r="AS207" s="9">
        <v>286</v>
      </c>
      <c r="AT207" s="9" t="str">
        <f>IFERROR(MID(VLOOKUP($B207,Seqs!$A:$B,2,0),AU207,1),"")</f>
        <v>L</v>
      </c>
      <c r="AU207" s="9">
        <v>311</v>
      </c>
      <c r="AV207" s="9" t="str">
        <f>IFERROR(MID(VLOOKUP($B207,Seqs!$A:$B,2,0),AW207,1),"")</f>
        <v>N</v>
      </c>
      <c r="AW207" s="9">
        <v>312</v>
      </c>
      <c r="AX207" s="9" t="str">
        <f>IFERROR(MID(VLOOKUP($B207,Seqs!$A:$B,2,0),AY207,1),"")</f>
        <v>N</v>
      </c>
      <c r="AY207" s="9">
        <v>328</v>
      </c>
      <c r="AZ207" s="110" t="str">
        <f>VLOOKUP(B207,Classification!A:D,2,0)</f>
        <v>A</v>
      </c>
      <c r="BA207" s="98" t="str">
        <f>VLOOKUP(B207,Classification!A:D,4,0)</f>
        <v>Melatonin</v>
      </c>
      <c r="BB207" s="36" t="b">
        <f t="shared" ref="BB207" si="1231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 t="shared" ref="BC207" si="1232">_xlfn.AGGREGATE(9,6,CH207:CS207)-_xlfn.AGGREGATE(9,6,BV207:CG207)+12</f>
        <v>245</v>
      </c>
      <c r="BD207" s="13" t="s">
        <v>23</v>
      </c>
      <c r="BE207" s="9" t="s">
        <v>1375</v>
      </c>
      <c r="BF207" s="120">
        <v>3.3</v>
      </c>
      <c r="BG207" s="51" t="s">
        <v>1282</v>
      </c>
      <c r="BH207" s="51" t="s">
        <v>1282</v>
      </c>
      <c r="BJ207" s="111" t="s">
        <v>1288</v>
      </c>
      <c r="BK207" s="112" t="s">
        <v>1288</v>
      </c>
      <c r="BL207" s="112" t="s">
        <v>1288</v>
      </c>
      <c r="BM207" s="112" t="s">
        <v>1288</v>
      </c>
      <c r="BN207" s="112" t="s">
        <v>1288</v>
      </c>
      <c r="BO207" s="112" t="s">
        <v>1288</v>
      </c>
      <c r="BP207" s="112" t="s">
        <v>1288</v>
      </c>
      <c r="BQ207" s="112" t="s">
        <v>1288</v>
      </c>
      <c r="BR207" s="112" t="s">
        <v>1288</v>
      </c>
      <c r="BS207" s="112" t="s">
        <v>1288</v>
      </c>
      <c r="BT207" s="112" t="s">
        <v>1288</v>
      </c>
      <c r="BU207" s="112" t="s">
        <v>1288</v>
      </c>
      <c r="BV207" s="111">
        <f t="shared" ref="BV207" si="1233">E207</f>
        <v>38</v>
      </c>
      <c r="BW207" s="113">
        <f t="shared" ref="BW207" si="1234">I207</f>
        <v>69</v>
      </c>
      <c r="BX207" s="114">
        <f t="shared" ref="BX207" si="1235">M207</f>
        <v>73</v>
      </c>
      <c r="BY207" s="113">
        <f t="shared" ref="BY207" si="1236">Q207</f>
        <v>105</v>
      </c>
      <c r="BZ207" s="114">
        <f t="shared" ref="BZ207" si="1237">U207</f>
        <v>109</v>
      </c>
      <c r="CA207" s="113">
        <f t="shared" ref="CA207" si="1238">Y207</f>
        <v>145</v>
      </c>
      <c r="CB207" s="114">
        <f t="shared" ref="CB207" si="1239">AC207</f>
        <v>156</v>
      </c>
      <c r="CC207" s="113">
        <f t="shared" ref="CC207" si="1240">AG207</f>
        <v>190</v>
      </c>
      <c r="CD207" s="114">
        <f t="shared" ref="CD207" si="1241">AK207</f>
        <v>197</v>
      </c>
      <c r="CE207" s="113">
        <f t="shared" ref="CE207" si="1242">AO207</f>
        <v>250</v>
      </c>
      <c r="CF207" s="114">
        <f t="shared" ref="CF207" si="1243">AS207</f>
        <v>286</v>
      </c>
      <c r="CG207" s="113">
        <f t="shared" ref="CG207" si="1244">AW207</f>
        <v>312</v>
      </c>
      <c r="CH207" s="111">
        <f t="shared" ref="CH207" si="1245">G207</f>
        <v>67</v>
      </c>
      <c r="CI207" s="113">
        <f t="shared" ref="CI207" si="1246">K207</f>
        <v>72</v>
      </c>
      <c r="CJ207" s="114">
        <f t="shared" ref="CJ207" si="1247">O207</f>
        <v>104</v>
      </c>
      <c r="CK207" s="114">
        <f t="shared" ref="CK207" si="1248">S207</f>
        <v>108</v>
      </c>
      <c r="CL207" s="114">
        <f t="shared" ref="CL207" si="1249">W207</f>
        <v>143</v>
      </c>
      <c r="CM207" s="114">
        <f t="shared" ref="CM207" si="1250">AA207</f>
        <v>152</v>
      </c>
      <c r="CN207" s="114">
        <f t="shared" ref="CN207" si="1251">AE207</f>
        <v>179</v>
      </c>
      <c r="CO207" s="114">
        <f t="shared" ref="CO207" si="1252">AI207</f>
        <v>192</v>
      </c>
      <c r="CP207" s="114">
        <f t="shared" ref="CP207" si="1253">AM207</f>
        <v>230</v>
      </c>
      <c r="CQ207" s="114">
        <f t="shared" ref="CQ207" si="1254">AQ207</f>
        <v>277</v>
      </c>
      <c r="CR207" s="114">
        <f t="shared" ref="CR207" si="1255">AU207</f>
        <v>311</v>
      </c>
      <c r="CS207" s="114">
        <f t="shared" ref="CS207" si="1256">AY207</f>
        <v>328</v>
      </c>
      <c r="CT207" s="109">
        <f t="shared" ref="CT207" si="1257">M207-K207</f>
        <v>1</v>
      </c>
    </row>
    <row r="208" spans="1:1029" x14ac:dyDescent="0.2">
      <c r="A208" s="3" t="str">
        <f t="shared" ref="A208" si="1258">CONCATENATE(B208,"_",C208)</f>
        <v>nk1r_human__wt</v>
      </c>
      <c r="B208" s="3" t="s">
        <v>314</v>
      </c>
      <c r="C208" s="133" t="s">
        <v>100</v>
      </c>
      <c r="D208" s="3" t="str">
        <f>IFERROR(MID(VLOOKUP($B208,Seqs!$A:$B,2,0),E208,1),"")</f>
        <v>P</v>
      </c>
      <c r="E208" s="3">
        <v>28</v>
      </c>
      <c r="F208" s="3" t="str">
        <f>IFERROR(MID(VLOOKUP($B208,Seqs!$A:$B,2,0),G208,1),"")</f>
        <v>H</v>
      </c>
      <c r="G208" s="3">
        <v>60</v>
      </c>
      <c r="H208" s="3" t="str">
        <f>IFERROR(MID(VLOOKUP($B208,Seqs!$A:$B,2,0),I208,1),"")</f>
        <v>K</v>
      </c>
      <c r="I208" s="23">
        <v>61</v>
      </c>
      <c r="J208" s="3" t="str">
        <f>IFERROR(MID(VLOOKUP($B208,Seqs!$A:$B,2,0),K208,1),"")</f>
        <v>R</v>
      </c>
      <c r="K208" s="23">
        <v>64</v>
      </c>
      <c r="L208" s="3" t="str">
        <f>IFERROR(MID(VLOOKUP($B208,Seqs!$A:$B,2,0),M208,1),"")</f>
        <v>T</v>
      </c>
      <c r="M208" s="3">
        <v>65</v>
      </c>
      <c r="N208" s="3" t="str">
        <f>IFERROR(MID(VLOOKUP($B208,Seqs!$A:$B,2,0),O208,1),"")</f>
        <v>N</v>
      </c>
      <c r="O208" s="3">
        <v>96</v>
      </c>
      <c r="P208" s="3" t="str">
        <f>IFERROR(MID(VLOOKUP($B208,Seqs!$A:$B,2,0),Q208,1),"")</f>
        <v>E</v>
      </c>
      <c r="Q208" s="3">
        <v>97</v>
      </c>
      <c r="R208" s="3" t="str">
        <f>IFERROR(MID(VLOOKUP($B208,Seqs!$A:$B,2,0),S208,1),"")</f>
        <v>Y</v>
      </c>
      <c r="S208" s="3">
        <v>100</v>
      </c>
      <c r="T208" s="3" t="str">
        <f>IFERROR(MID(VLOOKUP($B208,Seqs!$A:$B,2,0),U208,1),"")</f>
        <v>G</v>
      </c>
      <c r="U208" s="3">
        <v>101</v>
      </c>
      <c r="V208" s="3" t="str">
        <f>IFERROR(MID(VLOOKUP($B208,Seqs!$A:$B,2,0),W208,1),"")</f>
        <v>H</v>
      </c>
      <c r="W208" s="3">
        <v>136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3">
        <v>143</v>
      </c>
      <c r="AD208" s="3" t="str">
        <f>IFERROR(MID(VLOOKUP($B208,Seqs!$A:$B,2,0),AE208,1),"")</f>
        <v>S</v>
      </c>
      <c r="AE208" s="3">
        <v>169</v>
      </c>
      <c r="AF208" s="3" t="str">
        <f>IFERROR(MID(VLOOKUP($B208,Seqs!$A:$B,2,0),AG208,1),"")</f>
        <v>C</v>
      </c>
      <c r="AG208" s="3">
        <v>180</v>
      </c>
      <c r="AH208" s="3" t="str">
        <f>IFERROR(MID(VLOOKUP($B208,Seqs!$A:$B,2,0),AI208,1),"")</f>
        <v>I</v>
      </c>
      <c r="AI208" s="3">
        <v>182</v>
      </c>
      <c r="AJ208" s="3" t="str">
        <f>IFERROR(MID(VLOOKUP($B208,Seqs!$A:$B,2,0),AK208,1),"")</f>
        <v>P</v>
      </c>
      <c r="AK208" s="3">
        <v>188</v>
      </c>
      <c r="AL208" s="3" t="str">
        <f>IFERROR(MID(VLOOKUP($B208,Seqs!$A:$B,2,0),AM208,1),"")</f>
        <v>D</v>
      </c>
      <c r="AM208" s="3">
        <v>231</v>
      </c>
      <c r="AN208" s="3" t="str">
        <f>IFERROR(MID(VLOOKUP($B208,Seqs!$A:$B,2,0),AO208,1),"")</f>
        <v>R</v>
      </c>
      <c r="AO208" s="3">
        <v>235</v>
      </c>
      <c r="AP208" s="3" t="str">
        <f>IFERROR(MID(VLOOKUP($B208,Seqs!$A:$B,2,0),AQ208,1),"")</f>
        <v>N</v>
      </c>
      <c r="AQ208" s="3">
        <v>274</v>
      </c>
      <c r="AR208" s="3" t="str">
        <f>IFERROR(MID(VLOOKUP($B208,Seqs!$A:$B,2,0),AS208,1),"")</f>
        <v>F</v>
      </c>
      <c r="AS208" s="3">
        <v>282</v>
      </c>
      <c r="AT208" s="3" t="str">
        <f>IFERROR(MID(VLOOKUP($B208,Seqs!$A:$B,2,0),AU208,1),"")</f>
        <v>L</v>
      </c>
      <c r="AU208" s="3">
        <v>308</v>
      </c>
      <c r="AV208" s="3" t="str">
        <f>IFERROR(MID(VLOOKUP($B208,Seqs!$A:$B,2,0),AW208,1),"")</f>
        <v>N</v>
      </c>
      <c r="AW208" s="3">
        <v>309</v>
      </c>
      <c r="AX208" s="3" t="str">
        <f>IFERROR(MID(VLOOKUP($B208,Seqs!$A:$B,2,0),AY208,1),"")</f>
        <v>F</v>
      </c>
      <c r="AY208" s="3">
        <v>320</v>
      </c>
      <c r="AZ208" s="77" t="str">
        <f>VLOOKUP(B208,Classification!A:D,2,0)</f>
        <v>A</v>
      </c>
      <c r="BA208" s="94" t="str">
        <f>VLOOKUP(B208,Classification!A:D,4,0)</f>
        <v>Tachykinin</v>
      </c>
      <c r="BB208" s="27" t="b">
        <f t="shared" ref="BB208" si="1259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260">_xlfn.AGGREGATE(9,6,CH208:CS208)-_xlfn.AGGREGATE(9,6,BV208:CG208)+12</f>
        <v>263</v>
      </c>
      <c r="BD208" s="5" t="s">
        <v>23</v>
      </c>
      <c r="BE208" s="3" t="s">
        <v>23</v>
      </c>
      <c r="BF208" s="119" t="s">
        <v>23</v>
      </c>
      <c r="BG208" s="49" t="s">
        <v>1378</v>
      </c>
      <c r="BH208" s="49" t="s">
        <v>1378</v>
      </c>
      <c r="BI208" s="1"/>
      <c r="BJ208" s="70" t="s">
        <v>1288</v>
      </c>
      <c r="BK208" s="57" t="s">
        <v>1288</v>
      </c>
      <c r="BL208" s="57" t="s">
        <v>1288</v>
      </c>
      <c r="BM208" s="57" t="s">
        <v>1288</v>
      </c>
      <c r="BN208" s="57" t="s">
        <v>1288</v>
      </c>
      <c r="BO208" s="57" t="s">
        <v>1288</v>
      </c>
      <c r="BP208" s="57" t="s">
        <v>1288</v>
      </c>
      <c r="BQ208" s="57" t="s">
        <v>1288</v>
      </c>
      <c r="BR208" s="57" t="s">
        <v>1288</v>
      </c>
      <c r="BS208" s="57" t="s">
        <v>1288</v>
      </c>
      <c r="BT208" s="57" t="s">
        <v>1288</v>
      </c>
      <c r="BU208" s="57" t="s">
        <v>1288</v>
      </c>
      <c r="BV208" s="70">
        <f t="shared" ref="BV208" si="1261">E208</f>
        <v>28</v>
      </c>
      <c r="BW208" s="71">
        <f t="shared" ref="BW208" si="1262">I208</f>
        <v>61</v>
      </c>
      <c r="BX208" s="72">
        <f t="shared" ref="BX208" si="1263">M208</f>
        <v>65</v>
      </c>
      <c r="BY208" s="71">
        <f t="shared" ref="BY208" si="1264">Q208</f>
        <v>97</v>
      </c>
      <c r="BZ208" s="72">
        <f t="shared" ref="BZ208" si="1265">U208</f>
        <v>101</v>
      </c>
      <c r="CA208" s="71" t="str">
        <f t="shared" ref="CA208" si="1266">Y208</f>
        <v>-</v>
      </c>
      <c r="CB208" s="72">
        <f t="shared" ref="CB208" si="1267">AC208</f>
        <v>143</v>
      </c>
      <c r="CC208" s="71">
        <f t="shared" ref="CC208" si="1268">AG208</f>
        <v>180</v>
      </c>
      <c r="CD208" s="72">
        <f t="shared" ref="CD208" si="1269">AK208</f>
        <v>188</v>
      </c>
      <c r="CE208" s="71">
        <f t="shared" ref="CE208" si="1270">AO208</f>
        <v>235</v>
      </c>
      <c r="CF208" s="72">
        <f t="shared" ref="CF208" si="1271">AS208</f>
        <v>282</v>
      </c>
      <c r="CG208" s="71">
        <f t="shared" ref="CG208" si="1272">AW208</f>
        <v>309</v>
      </c>
      <c r="CH208" s="70">
        <f t="shared" ref="CH208" si="1273">G208</f>
        <v>60</v>
      </c>
      <c r="CI208" s="71">
        <f t="shared" ref="CI208" si="1274">K208</f>
        <v>64</v>
      </c>
      <c r="CJ208" s="72">
        <f t="shared" ref="CJ208" si="1275">O208</f>
        <v>96</v>
      </c>
      <c r="CK208" s="72">
        <f t="shared" ref="CK208" si="1276">S208</f>
        <v>100</v>
      </c>
      <c r="CL208" s="72">
        <f t="shared" ref="CL208" si="1277">W208</f>
        <v>136</v>
      </c>
      <c r="CM208" s="72" t="str">
        <f t="shared" ref="CM208" si="1278">AA208</f>
        <v>-</v>
      </c>
      <c r="CN208" s="72">
        <f t="shared" ref="CN208" si="1279">AE208</f>
        <v>169</v>
      </c>
      <c r="CO208" s="72">
        <f t="shared" ref="CO208" si="1280">AI208</f>
        <v>182</v>
      </c>
      <c r="CP208" s="72">
        <f t="shared" ref="CP208" si="1281">AM208</f>
        <v>231</v>
      </c>
      <c r="CQ208" s="72">
        <f t="shared" ref="CQ208" si="1282">AQ208</f>
        <v>274</v>
      </c>
      <c r="CR208" s="72">
        <f t="shared" ref="CR208" si="1283">AU208</f>
        <v>308</v>
      </c>
      <c r="CS208" s="72">
        <f t="shared" ref="CS208" si="1284">AY208</f>
        <v>320</v>
      </c>
      <c r="CT208" s="23">
        <f t="shared" ref="CT208" si="1285">M208-K208</f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ref="A209" si="1286">CONCATENATE(B209,"_",C209)</f>
        <v>nk1r_human_6E59</v>
      </c>
      <c r="B209" s="3" t="s">
        <v>314</v>
      </c>
      <c r="C209" s="134" t="s">
        <v>1536</v>
      </c>
      <c r="D209" s="3" t="str">
        <f>IFERROR(MID(VLOOKUP($B209,Seqs!$A:$B,2,0),E209,1),"")</f>
        <v>V</v>
      </c>
      <c r="E209" s="3">
        <v>33</v>
      </c>
      <c r="F209" s="3" t="str">
        <f>IFERROR(MID(VLOOKUP($B209,Seqs!$A:$B,2,0),G209,1),"")</f>
        <v>H</v>
      </c>
      <c r="G209" s="3">
        <v>60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T</v>
      </c>
      <c r="M209" s="3">
        <v>65</v>
      </c>
      <c r="N209" s="3" t="str">
        <f>IFERROR(MID(VLOOKUP($B209,Seqs!$A:$B,2,0),O209,1),"")</f>
        <v>V</v>
      </c>
      <c r="O209" s="3">
        <v>94</v>
      </c>
      <c r="P209" s="3" t="str">
        <f>IFERROR(MID(VLOOKUP($B209,Seqs!$A:$B,2,0),Q209,1),"")</f>
        <v>E</v>
      </c>
      <c r="Q209" s="3">
        <v>97</v>
      </c>
      <c r="R209" s="3" t="str">
        <f>IFERROR(MID(VLOOKUP($B209,Seqs!$A:$B,2,0),S209,1),"")</f>
        <v>Y</v>
      </c>
      <c r="S209" s="3">
        <v>100</v>
      </c>
      <c r="T209" s="3" t="str">
        <f>IFERROR(MID(VLOOKUP($B209,Seqs!$A:$B,2,0),U209,1),"")</f>
        <v>F</v>
      </c>
      <c r="U209" s="3">
        <v>103</v>
      </c>
      <c r="V209" s="3" t="str">
        <f>IFERROR(MID(VLOOKUP($B209,Seqs!$A:$B,2,0),W209,1),"")</f>
        <v>H</v>
      </c>
      <c r="W209" s="3">
        <v>136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3">
        <v>143</v>
      </c>
      <c r="AD209" s="3" t="str">
        <f>IFERROR(MID(VLOOKUP($B209,Seqs!$A:$B,2,0),AE209,1),"")</f>
        <v>S</v>
      </c>
      <c r="AE209" s="3">
        <v>169</v>
      </c>
      <c r="AF209" s="3" t="str">
        <f>IFERROR(MID(VLOOKUP($B209,Seqs!$A:$B,2,0),AG209,1),"")</f>
        <v>C</v>
      </c>
      <c r="AG209" s="3">
        <v>180</v>
      </c>
      <c r="AH209" s="3" t="str">
        <f>IFERROR(MID(VLOOKUP($B209,Seqs!$A:$B,2,0),AI209,1),"")</f>
        <v>I</v>
      </c>
      <c r="AI209" s="3">
        <v>182</v>
      </c>
      <c r="AJ209" s="3" t="str">
        <f>IFERROR(MID(VLOOKUP($B209,Seqs!$A:$B,2,0),AK209,1),"")</f>
        <v>P</v>
      </c>
      <c r="AK209" s="3">
        <v>188</v>
      </c>
      <c r="AL209" s="3" t="str">
        <f>IFERROR(MID(VLOOKUP($B209,Seqs!$A:$B,2,0),AM209,1),"")</f>
        <v>W</v>
      </c>
      <c r="AM209" s="3">
        <v>224</v>
      </c>
      <c r="AN209" s="3" t="str">
        <f>IFERROR(MID(VLOOKUP($B209,Seqs!$A:$B,2,0),AO209,1),"")</f>
        <v>E</v>
      </c>
      <c r="AO209" s="3">
        <v>238</v>
      </c>
      <c r="AP209" s="3" t="str">
        <f>IFERROR(MID(VLOOKUP($B209,Seqs!$A:$B,2,0),AQ209,1),"")</f>
        <v>N</v>
      </c>
      <c r="AQ209" s="3">
        <v>274</v>
      </c>
      <c r="AR209" s="3" t="str">
        <f>IFERROR(MID(VLOOKUP($B209,Seqs!$A:$B,2,0),AS209,1),"")</f>
        <v>I</v>
      </c>
      <c r="AS209" s="3">
        <v>283</v>
      </c>
      <c r="AT209" s="3" t="str">
        <f>IFERROR(MID(VLOOKUP($B209,Seqs!$A:$B,2,0),AU209,1),"")</f>
        <v>L</v>
      </c>
      <c r="AU209" s="3">
        <v>308</v>
      </c>
      <c r="AV209" s="3" t="str">
        <f>IFERROR(MID(VLOOKUP($B209,Seqs!$A:$B,2,0),AW209,1),"")</f>
        <v>N</v>
      </c>
      <c r="AW209" s="3">
        <v>309</v>
      </c>
      <c r="AX209" s="3" t="str">
        <f>IFERROR(MID(VLOOKUP($B209,Seqs!$A:$B,2,0),AY209,1),"")</f>
        <v>H</v>
      </c>
      <c r="AY209" s="3">
        <v>318</v>
      </c>
      <c r="AZ209" s="77" t="str">
        <f>VLOOKUP(B209,Classification!A:D,2,0)</f>
        <v>A</v>
      </c>
      <c r="BA209" s="94" t="str">
        <f>VLOOKUP(B209,Classification!A:D,4,0)</f>
        <v>Tachykinin</v>
      </c>
      <c r="BB209" s="27" t="b">
        <f t="shared" ref="BB209" si="1287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288">_xlfn.AGGREGATE(9,6,CH209:CS209)-_xlfn.AGGREGATE(9,6,BV209:CG209)+12</f>
        <v>238</v>
      </c>
      <c r="BD209" s="5" t="s">
        <v>23</v>
      </c>
      <c r="BE209" s="3" t="s">
        <v>1375</v>
      </c>
      <c r="BF209" s="119">
        <v>3.4</v>
      </c>
      <c r="BG209" s="49" t="s">
        <v>1</v>
      </c>
      <c r="BH209" s="49" t="s">
        <v>1</v>
      </c>
      <c r="BI209" s="1"/>
      <c r="BJ209" s="70" t="s">
        <v>1288</v>
      </c>
      <c r="BK209" s="57" t="s">
        <v>1288</v>
      </c>
      <c r="BL209" s="57" t="s">
        <v>1288</v>
      </c>
      <c r="BM209" s="57" t="s">
        <v>1288</v>
      </c>
      <c r="BN209" s="57" t="s">
        <v>1288</v>
      </c>
      <c r="BO209" s="57" t="s">
        <v>1288</v>
      </c>
      <c r="BP209" s="57" t="s">
        <v>1288</v>
      </c>
      <c r="BQ209" s="57" t="s">
        <v>1288</v>
      </c>
      <c r="BR209" s="57" t="s">
        <v>1288</v>
      </c>
      <c r="BS209" s="57" t="s">
        <v>1288</v>
      </c>
      <c r="BT209" s="57" t="s">
        <v>1288</v>
      </c>
      <c r="BU209" s="57" t="s">
        <v>1288</v>
      </c>
      <c r="BV209" s="70">
        <f t="shared" ref="BV209" si="1289">E209</f>
        <v>33</v>
      </c>
      <c r="BW209" s="71" t="str">
        <f t="shared" ref="BW209" si="1290">I209</f>
        <v>-</v>
      </c>
      <c r="BX209" s="72">
        <f t="shared" ref="BX209" si="1291">M209</f>
        <v>65</v>
      </c>
      <c r="BY209" s="71">
        <f t="shared" ref="BY209" si="1292">Q209</f>
        <v>97</v>
      </c>
      <c r="BZ209" s="72">
        <f t="shared" ref="BZ209" si="1293">U209</f>
        <v>103</v>
      </c>
      <c r="CA209" s="71" t="str">
        <f t="shared" ref="CA209" si="1294">Y209</f>
        <v>-</v>
      </c>
      <c r="CB209" s="72">
        <f t="shared" ref="CB209" si="1295">AC209</f>
        <v>143</v>
      </c>
      <c r="CC209" s="71">
        <f t="shared" ref="CC209" si="1296">AG209</f>
        <v>180</v>
      </c>
      <c r="CD209" s="72">
        <f t="shared" ref="CD209" si="1297">AK209</f>
        <v>188</v>
      </c>
      <c r="CE209" s="71">
        <f t="shared" ref="CE209" si="1298">AO209</f>
        <v>238</v>
      </c>
      <c r="CF209" s="72">
        <f t="shared" ref="CF209" si="1299">AS209</f>
        <v>283</v>
      </c>
      <c r="CG209" s="71">
        <f t="shared" ref="CG209" si="1300">AW209</f>
        <v>309</v>
      </c>
      <c r="CH209" s="70">
        <f t="shared" ref="CH209" si="1301">G209</f>
        <v>60</v>
      </c>
      <c r="CI209" s="71" t="str">
        <f t="shared" ref="CI209" si="1302">K209</f>
        <v>-</v>
      </c>
      <c r="CJ209" s="72">
        <f t="shared" ref="CJ209" si="1303">O209</f>
        <v>94</v>
      </c>
      <c r="CK209" s="72">
        <f t="shared" ref="CK209" si="1304">S209</f>
        <v>100</v>
      </c>
      <c r="CL209" s="72">
        <f t="shared" ref="CL209" si="1305">W209</f>
        <v>136</v>
      </c>
      <c r="CM209" s="72" t="str">
        <f t="shared" ref="CM209" si="1306">AA209</f>
        <v>-</v>
      </c>
      <c r="CN209" s="72">
        <f t="shared" ref="CN209" si="1307">AE209</f>
        <v>169</v>
      </c>
      <c r="CO209" s="72">
        <f t="shared" ref="CO209" si="1308">AI209</f>
        <v>182</v>
      </c>
      <c r="CP209" s="72">
        <f t="shared" ref="CP209" si="1309">AM209</f>
        <v>224</v>
      </c>
      <c r="CQ209" s="72">
        <f t="shared" ref="CQ209" si="1310">AQ209</f>
        <v>274</v>
      </c>
      <c r="CR209" s="72">
        <f t="shared" ref="CR209" si="1311">AU209</f>
        <v>308</v>
      </c>
      <c r="CS209" s="72">
        <f t="shared" ref="CS209" si="1312">AY209</f>
        <v>318</v>
      </c>
      <c r="CT209" s="23" t="e">
        <f t="shared" ref="CT209" si="1313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 t="shared" ref="A210" si="1314">CONCATENATE(B210,"_",C210)</f>
        <v>nk1r_human_6HLL</v>
      </c>
      <c r="B210" s="3" t="s">
        <v>314</v>
      </c>
      <c r="C210" s="134" t="s">
        <v>1544</v>
      </c>
      <c r="D210" s="3" t="str">
        <f>IFERROR(MID(VLOOKUP($B210,Seqs!$A:$B,2,0),E210,1),"")</f>
        <v>P</v>
      </c>
      <c r="E210" s="3">
        <v>28</v>
      </c>
      <c r="F210" s="3" t="str">
        <f>IFERROR(MID(VLOOKUP($B210,Seqs!$A:$B,2,0),G210,1),"")</f>
        <v>A</v>
      </c>
      <c r="G210" s="3">
        <v>59</v>
      </c>
      <c r="H210" s="3" t="str">
        <f>IFERROR(MID(VLOOKUP($B210,Seqs!$A:$B,2,0),I210,1),"")</f>
        <v>K</v>
      </c>
      <c r="I210" s="23">
        <v>61</v>
      </c>
      <c r="J210" s="3" t="str">
        <f>IFERROR(MID(VLOOKUP($B210,Seqs!$A:$B,2,0),K210,1),"")</f>
        <v>R</v>
      </c>
      <c r="K210" s="23">
        <v>64</v>
      </c>
      <c r="L210" s="3" t="str">
        <f>IFERROR(MID(VLOOKUP($B210,Seqs!$A:$B,2,0),M210,1),"")</f>
        <v>T</v>
      </c>
      <c r="M210" s="3">
        <v>65</v>
      </c>
      <c r="N210" s="3" t="str">
        <f>IFERROR(MID(VLOOKUP($B210,Seqs!$A:$B,2,0),O210,1),"")</f>
        <v>N</v>
      </c>
      <c r="O210" s="3">
        <v>96</v>
      </c>
      <c r="P210" s="3" t="str">
        <f>IFERROR(MID(VLOOKUP($B210,Seqs!$A:$B,2,0),Q210,1),"")</f>
        <v>E</v>
      </c>
      <c r="Q210" s="3">
        <v>97</v>
      </c>
      <c r="R210" s="3" t="str">
        <f>IFERROR(MID(VLOOKUP($B210,Seqs!$A:$B,2,0),S210,1),"")</f>
        <v>Y</v>
      </c>
      <c r="S210" s="3">
        <v>100</v>
      </c>
      <c r="T210" s="3" t="str">
        <f>IFERROR(MID(VLOOKUP($B210,Seqs!$A:$B,2,0),U210,1),"")</f>
        <v>G</v>
      </c>
      <c r="U210" s="3">
        <v>101</v>
      </c>
      <c r="V210" s="3" t="str">
        <f>IFERROR(MID(VLOOKUP($B210,Seqs!$A:$B,2,0),W210,1),"")</f>
        <v>H</v>
      </c>
      <c r="W210" s="3">
        <v>136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3">
        <v>143</v>
      </c>
      <c r="AD210" s="3" t="str">
        <f>IFERROR(MID(VLOOKUP($B210,Seqs!$A:$B,2,0),AE210,1),"")</f>
        <v>S</v>
      </c>
      <c r="AE210" s="3">
        <v>169</v>
      </c>
      <c r="AF210" s="3" t="str">
        <f>IFERROR(MID(VLOOKUP($B210,Seqs!$A:$B,2,0),AG210,1),"")</f>
        <v>C</v>
      </c>
      <c r="AG210" s="3">
        <v>180</v>
      </c>
      <c r="AH210" s="3" t="str">
        <f>IFERROR(MID(VLOOKUP($B210,Seqs!$A:$B,2,0),AI210,1),"")</f>
        <v>I</v>
      </c>
      <c r="AI210" s="3">
        <v>182</v>
      </c>
      <c r="AJ210" s="3" t="str">
        <f>IFERROR(MID(VLOOKUP($B210,Seqs!$A:$B,2,0),AK210,1),"")</f>
        <v>K</v>
      </c>
      <c r="AK210" s="3">
        <v>190</v>
      </c>
      <c r="AL210" s="3" t="str">
        <f>IFERROR(MID(VLOOKUP($B210,Seqs!$A:$B,2,0),AM210,1),"")</f>
        <v>S</v>
      </c>
      <c r="AM210" s="3">
        <v>226</v>
      </c>
      <c r="AN210" s="3" t="str">
        <f>IFERROR(MID(VLOOKUP($B210,Seqs!$A:$B,2,0),AO210,1),"")</f>
        <v>E</v>
      </c>
      <c r="AO210" s="3">
        <v>238</v>
      </c>
      <c r="AP210" s="3" t="str">
        <f>IFERROR(MID(VLOOKUP($B210,Seqs!$A:$B,2,0),AQ210,1),"")</f>
        <v>L</v>
      </c>
      <c r="AQ210" s="3">
        <v>270</v>
      </c>
      <c r="AR210" s="3" t="str">
        <f>IFERROR(MID(VLOOKUP($B210,Seqs!$A:$B,2,0),AS210,1),"")</f>
        <v>I</v>
      </c>
      <c r="AS210" s="3">
        <v>283</v>
      </c>
      <c r="AT210" s="3" t="str">
        <f>IFERROR(MID(VLOOKUP($B210,Seqs!$A:$B,2,0),AU210,1),"")</f>
        <v>L</v>
      </c>
      <c r="AU210" s="3">
        <v>308</v>
      </c>
      <c r="AV210" s="3" t="str">
        <f>IFERROR(MID(VLOOKUP($B210,Seqs!$A:$B,2,0),AW210,1),"")</f>
        <v>N</v>
      </c>
      <c r="AW210" s="3">
        <v>309</v>
      </c>
      <c r="AX210" s="3" t="str">
        <f>IFERROR(MID(VLOOKUP($B210,Seqs!$A:$B,2,0),AY210,1),"")</f>
        <v>F</v>
      </c>
      <c r="AY210" s="3">
        <v>320</v>
      </c>
      <c r="AZ210" s="77" t="str">
        <f>VLOOKUP(B210,Classification!A:D,2,0)</f>
        <v>A</v>
      </c>
      <c r="BA210" s="94" t="str">
        <f>VLOOKUP(B210,Classification!A:D,4,0)</f>
        <v>Tachykinin</v>
      </c>
      <c r="BB210" s="27" t="b">
        <f t="shared" ref="BB210" si="1315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316">_xlfn.AGGREGATE(9,6,CH210:CS210)-_xlfn.AGGREGATE(9,6,BV210:CG210)+12</f>
        <v>247</v>
      </c>
      <c r="BD210" s="5" t="s">
        <v>23</v>
      </c>
      <c r="BE210" s="3" t="s">
        <v>1375</v>
      </c>
      <c r="BF210" s="119">
        <v>3.27</v>
      </c>
      <c r="BG210" s="49" t="s">
        <v>1</v>
      </c>
      <c r="BH210" s="49" t="s">
        <v>1</v>
      </c>
      <c r="BI210" s="1"/>
      <c r="BJ210" s="70" t="s">
        <v>1288</v>
      </c>
      <c r="BK210" s="57" t="s">
        <v>1288</v>
      </c>
      <c r="BL210" s="57" t="s">
        <v>1288</v>
      </c>
      <c r="BM210" s="57" t="s">
        <v>1288</v>
      </c>
      <c r="BN210" s="57" t="s">
        <v>1288</v>
      </c>
      <c r="BO210" s="57" t="s">
        <v>1288</v>
      </c>
      <c r="BP210" s="57" t="s">
        <v>1288</v>
      </c>
      <c r="BQ210" s="57" t="s">
        <v>1288</v>
      </c>
      <c r="BR210" s="57" t="s">
        <v>1288</v>
      </c>
      <c r="BS210" s="57" t="s">
        <v>1288</v>
      </c>
      <c r="BT210" s="57" t="s">
        <v>1288</v>
      </c>
      <c r="BU210" s="57" t="s">
        <v>1288</v>
      </c>
      <c r="BV210" s="70">
        <f t="shared" ref="BV210" si="1317">E210</f>
        <v>28</v>
      </c>
      <c r="BW210" s="71">
        <f t="shared" ref="BW210" si="1318">I210</f>
        <v>61</v>
      </c>
      <c r="BX210" s="72">
        <f t="shared" ref="BX210" si="1319">M210</f>
        <v>65</v>
      </c>
      <c r="BY210" s="71">
        <f t="shared" ref="BY210" si="1320">Q210</f>
        <v>97</v>
      </c>
      <c r="BZ210" s="72">
        <f t="shared" ref="BZ210" si="1321">U210</f>
        <v>101</v>
      </c>
      <c r="CA210" s="71" t="str">
        <f t="shared" ref="CA210" si="1322">Y210</f>
        <v>-</v>
      </c>
      <c r="CB210" s="72">
        <f t="shared" ref="CB210" si="1323">AC210</f>
        <v>143</v>
      </c>
      <c r="CC210" s="71">
        <f t="shared" ref="CC210" si="1324">AG210</f>
        <v>180</v>
      </c>
      <c r="CD210" s="72">
        <f t="shared" ref="CD210" si="1325">AK210</f>
        <v>190</v>
      </c>
      <c r="CE210" s="71">
        <f t="shared" ref="CE210" si="1326">AO210</f>
        <v>238</v>
      </c>
      <c r="CF210" s="72">
        <f t="shared" ref="CF210" si="1327">AS210</f>
        <v>283</v>
      </c>
      <c r="CG210" s="71">
        <f t="shared" ref="CG210" si="1328">AW210</f>
        <v>309</v>
      </c>
      <c r="CH210" s="70">
        <f t="shared" ref="CH210" si="1329">G210</f>
        <v>59</v>
      </c>
      <c r="CI210" s="71">
        <f t="shared" ref="CI210" si="1330">K210</f>
        <v>64</v>
      </c>
      <c r="CJ210" s="72">
        <f t="shared" ref="CJ210" si="1331">O210</f>
        <v>96</v>
      </c>
      <c r="CK210" s="72">
        <f t="shared" ref="CK210" si="1332">S210</f>
        <v>100</v>
      </c>
      <c r="CL210" s="72">
        <f t="shared" ref="CL210" si="1333">W210</f>
        <v>136</v>
      </c>
      <c r="CM210" s="72" t="str">
        <f t="shared" ref="CM210" si="1334">AA210</f>
        <v>-</v>
      </c>
      <c r="CN210" s="72">
        <f t="shared" ref="CN210" si="1335">AE210</f>
        <v>169</v>
      </c>
      <c r="CO210" s="72">
        <f t="shared" ref="CO210" si="1336">AI210</f>
        <v>182</v>
      </c>
      <c r="CP210" s="72">
        <f t="shared" ref="CP210" si="1337">AM210</f>
        <v>226</v>
      </c>
      <c r="CQ210" s="72">
        <f t="shared" ref="CQ210" si="1338">AQ210</f>
        <v>270</v>
      </c>
      <c r="CR210" s="72">
        <f t="shared" ref="CR210" si="1339">AU210</f>
        <v>308</v>
      </c>
      <c r="CS210" s="72">
        <f t="shared" ref="CS210" si="1340">AY210</f>
        <v>320</v>
      </c>
      <c r="CT210" s="23">
        <f t="shared" ref="CT210" si="1341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ref="A211" si="1342">CONCATENATE(B211,"_",C211)</f>
        <v>nk1r_human_6HLO</v>
      </c>
      <c r="B211" s="3" t="s">
        <v>314</v>
      </c>
      <c r="C211" s="134" t="s">
        <v>1545</v>
      </c>
      <c r="D211" s="3" t="str">
        <f>IFERROR(MID(VLOOKUP($B211,Seqs!$A:$B,2,0),E211,1),"")</f>
        <v>P</v>
      </c>
      <c r="E211" s="3">
        <v>28</v>
      </c>
      <c r="F211" s="3" t="str">
        <f>IFERROR(MID(VLOOKUP($B211,Seqs!$A:$B,2,0),G211,1),"")</f>
        <v>H</v>
      </c>
      <c r="G211" s="3">
        <v>60</v>
      </c>
      <c r="H211" s="3" t="str">
        <f>IFERROR(MID(VLOOKUP($B211,Seqs!$A:$B,2,0),I211,1),"")</f>
        <v>K</v>
      </c>
      <c r="I211" s="23">
        <v>61</v>
      </c>
      <c r="J211" s="3" t="str">
        <f>IFERROR(MID(VLOOKUP($B211,Seqs!$A:$B,2,0),K211,1),"")</f>
        <v>R</v>
      </c>
      <c r="K211" s="23">
        <v>64</v>
      </c>
      <c r="L211" s="3" t="str">
        <f>IFERROR(MID(VLOOKUP($B211,Seqs!$A:$B,2,0),M211,1),"")</f>
        <v>T</v>
      </c>
      <c r="M211" s="3">
        <v>65</v>
      </c>
      <c r="N211" s="3" t="str">
        <f>IFERROR(MID(VLOOKUP($B211,Seqs!$A:$B,2,0),O211,1),"")</f>
        <v>H</v>
      </c>
      <c r="O211" s="3">
        <v>95</v>
      </c>
      <c r="P211" s="3" t="str">
        <f>IFERROR(MID(VLOOKUP($B211,Seqs!$A:$B,2,0),Q211,1),"")</f>
        <v>E</v>
      </c>
      <c r="Q211" s="3">
        <v>97</v>
      </c>
      <c r="R211" s="3" t="str">
        <f>IFERROR(MID(VLOOKUP($B211,Seqs!$A:$B,2,0),S211,1),"")</f>
        <v>Y</v>
      </c>
      <c r="S211" s="3">
        <v>100</v>
      </c>
      <c r="T211" s="3" t="str">
        <f>IFERROR(MID(VLOOKUP($B211,Seqs!$A:$B,2,0),U211,1),"")</f>
        <v>G</v>
      </c>
      <c r="U211" s="3">
        <v>101</v>
      </c>
      <c r="V211" s="3" t="str">
        <f>IFERROR(MID(VLOOKUP($B211,Seqs!$A:$B,2,0),W211,1),"")</f>
        <v>H</v>
      </c>
      <c r="W211" s="3">
        <v>136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143</v>
      </c>
      <c r="AD211" s="3" t="str">
        <f>IFERROR(MID(VLOOKUP($B211,Seqs!$A:$B,2,0),AE211,1),"")</f>
        <v>S</v>
      </c>
      <c r="AE211" s="3">
        <v>169</v>
      </c>
      <c r="AF211" s="3" t="str">
        <f>IFERROR(MID(VLOOKUP($B211,Seqs!$A:$B,2,0),AG211,1),"")</f>
        <v>C</v>
      </c>
      <c r="AG211" s="3">
        <v>180</v>
      </c>
      <c r="AH211" s="3" t="str">
        <f>IFERROR(MID(VLOOKUP($B211,Seqs!$A:$B,2,0),AI211,1),"")</f>
        <v>I</v>
      </c>
      <c r="AI211" s="3">
        <v>182</v>
      </c>
      <c r="AJ211" s="3" t="str">
        <f>IFERROR(MID(VLOOKUP($B211,Seqs!$A:$B,2,0),AK211,1),"")</f>
        <v>K</v>
      </c>
      <c r="AK211" s="3">
        <v>190</v>
      </c>
      <c r="AL211" s="3" t="str">
        <f>IFERROR(MID(VLOOKUP($B211,Seqs!$A:$B,2,0),AM211,1),"")</f>
        <v>S</v>
      </c>
      <c r="AM211" s="3">
        <v>226</v>
      </c>
      <c r="AN211" s="3" t="str">
        <f>IFERROR(MID(VLOOKUP($B211,Seqs!$A:$B,2,0),AO211,1),"")</f>
        <v>E</v>
      </c>
      <c r="AO211" s="3">
        <v>238</v>
      </c>
      <c r="AP211" s="3" t="str">
        <f>IFERROR(MID(VLOOKUP($B211,Seqs!$A:$B,2,0),AQ211,1),"")</f>
        <v>N</v>
      </c>
      <c r="AQ211" s="3">
        <v>274</v>
      </c>
      <c r="AR211" s="3" t="str">
        <f>IFERROR(MID(VLOOKUP($B211,Seqs!$A:$B,2,0),AS211,1),"")</f>
        <v>F</v>
      </c>
      <c r="AS211" s="3">
        <v>282</v>
      </c>
      <c r="AT211" s="3" t="str">
        <f>IFERROR(MID(VLOOKUP($B211,Seqs!$A:$B,2,0),AU211,1),"")</f>
        <v>L</v>
      </c>
      <c r="AU211" s="3">
        <v>308</v>
      </c>
      <c r="AV211" s="3" t="str">
        <f>IFERROR(MID(VLOOKUP($B211,Seqs!$A:$B,2,0),AW211,1),"")</f>
        <v>N</v>
      </c>
      <c r="AW211" s="3">
        <v>309</v>
      </c>
      <c r="AX211" s="3" t="str">
        <f>IFERROR(MID(VLOOKUP($B211,Seqs!$A:$B,2,0),AY211,1),"")</f>
        <v>F</v>
      </c>
      <c r="AY211" s="3">
        <v>320</v>
      </c>
      <c r="AZ211" s="77" t="str">
        <f>VLOOKUP(B211,Classification!A:D,2,0)</f>
        <v>A</v>
      </c>
      <c r="BA211" s="94" t="str">
        <f>VLOOKUP(B211,Classification!A:D,4,0)</f>
        <v>Tachykinin</v>
      </c>
      <c r="BB211" s="27" t="b">
        <f t="shared" ref="BB211" si="1343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344">_xlfn.AGGREGATE(9,6,CH211:CS211)-_xlfn.AGGREGATE(9,6,BV211:CG211)+12</f>
        <v>252</v>
      </c>
      <c r="BD211" s="5" t="s">
        <v>23</v>
      </c>
      <c r="BE211" s="3" t="s">
        <v>1375</v>
      </c>
      <c r="BF211" s="119">
        <v>2.4</v>
      </c>
      <c r="BG211" s="49" t="s">
        <v>1</v>
      </c>
      <c r="BH211" s="49" t="s">
        <v>1</v>
      </c>
      <c r="BI211" s="1"/>
      <c r="BJ211" s="70" t="s">
        <v>1288</v>
      </c>
      <c r="BK211" s="57" t="s">
        <v>1288</v>
      </c>
      <c r="BL211" s="57" t="s">
        <v>1288</v>
      </c>
      <c r="BM211" s="57" t="s">
        <v>1288</v>
      </c>
      <c r="BN211" s="57" t="s">
        <v>1288</v>
      </c>
      <c r="BO211" s="57" t="s">
        <v>1288</v>
      </c>
      <c r="BP211" s="57" t="s">
        <v>1288</v>
      </c>
      <c r="BQ211" s="57" t="s">
        <v>1288</v>
      </c>
      <c r="BR211" s="57" t="s">
        <v>1288</v>
      </c>
      <c r="BS211" s="57" t="s">
        <v>1288</v>
      </c>
      <c r="BT211" s="57" t="s">
        <v>1288</v>
      </c>
      <c r="BU211" s="57" t="s">
        <v>1288</v>
      </c>
      <c r="BV211" s="70">
        <f t="shared" ref="BV211" si="1345">E211</f>
        <v>28</v>
      </c>
      <c r="BW211" s="71">
        <f t="shared" ref="BW211" si="1346">I211</f>
        <v>61</v>
      </c>
      <c r="BX211" s="72">
        <f t="shared" ref="BX211" si="1347">M211</f>
        <v>65</v>
      </c>
      <c r="BY211" s="71">
        <f t="shared" ref="BY211" si="1348">Q211</f>
        <v>97</v>
      </c>
      <c r="BZ211" s="72">
        <f t="shared" ref="BZ211" si="1349">U211</f>
        <v>101</v>
      </c>
      <c r="CA211" s="71" t="str">
        <f t="shared" ref="CA211" si="1350">Y211</f>
        <v>-</v>
      </c>
      <c r="CB211" s="72">
        <f t="shared" ref="CB211" si="1351">AC211</f>
        <v>143</v>
      </c>
      <c r="CC211" s="71">
        <f t="shared" ref="CC211" si="1352">AG211</f>
        <v>180</v>
      </c>
      <c r="CD211" s="72">
        <f t="shared" ref="CD211" si="1353">AK211</f>
        <v>190</v>
      </c>
      <c r="CE211" s="71">
        <f t="shared" ref="CE211" si="1354">AO211</f>
        <v>238</v>
      </c>
      <c r="CF211" s="72">
        <f t="shared" ref="CF211" si="1355">AS211</f>
        <v>282</v>
      </c>
      <c r="CG211" s="71">
        <f t="shared" ref="CG211" si="1356">AW211</f>
        <v>309</v>
      </c>
      <c r="CH211" s="70">
        <f t="shared" ref="CH211" si="1357">G211</f>
        <v>60</v>
      </c>
      <c r="CI211" s="71">
        <f t="shared" ref="CI211" si="1358">K211</f>
        <v>64</v>
      </c>
      <c r="CJ211" s="72">
        <f t="shared" ref="CJ211" si="1359">O211</f>
        <v>95</v>
      </c>
      <c r="CK211" s="72">
        <f t="shared" ref="CK211" si="1360">S211</f>
        <v>100</v>
      </c>
      <c r="CL211" s="72">
        <f t="shared" ref="CL211" si="1361">W211</f>
        <v>136</v>
      </c>
      <c r="CM211" s="72" t="str">
        <f t="shared" ref="CM211" si="1362">AA211</f>
        <v>-</v>
      </c>
      <c r="CN211" s="72">
        <f t="shared" ref="CN211" si="1363">AE211</f>
        <v>169</v>
      </c>
      <c r="CO211" s="72">
        <f t="shared" ref="CO211" si="1364">AI211</f>
        <v>182</v>
      </c>
      <c r="CP211" s="72">
        <f t="shared" ref="CP211" si="1365">AM211</f>
        <v>226</v>
      </c>
      <c r="CQ211" s="72">
        <f t="shared" ref="CQ211" si="1366">AQ211</f>
        <v>274</v>
      </c>
      <c r="CR211" s="72">
        <f t="shared" ref="CR211" si="1367">AU211</f>
        <v>308</v>
      </c>
      <c r="CS211" s="72">
        <f t="shared" ref="CS211" si="1368">AY211</f>
        <v>320</v>
      </c>
      <c r="CT211" s="23">
        <f t="shared" ref="CT211" si="1369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ref="A212" si="1370">CONCATENATE(B212,"_",C212)</f>
        <v>nk1r_human_6HLP</v>
      </c>
      <c r="B212" s="3" t="s">
        <v>314</v>
      </c>
      <c r="C212" s="134" t="s">
        <v>1546</v>
      </c>
      <c r="D212" s="3" t="str">
        <f>IFERROR(MID(VLOOKUP($B212,Seqs!$A:$B,2,0),E212,1),"")</f>
        <v>P</v>
      </c>
      <c r="E212" s="3">
        <v>28</v>
      </c>
      <c r="F212" s="3" t="str">
        <f>IFERROR(MID(VLOOKUP($B212,Seqs!$A:$B,2,0),G212,1),"")</f>
        <v>H</v>
      </c>
      <c r="G212" s="3">
        <v>60</v>
      </c>
      <c r="H212" s="3" t="str">
        <f>IFERROR(MID(VLOOKUP($B212,Seqs!$A:$B,2,0),I212,1),"")</f>
        <v>K</v>
      </c>
      <c r="I212" s="23">
        <v>61</v>
      </c>
      <c r="J212" s="3" t="str">
        <f>IFERROR(MID(VLOOKUP($B212,Seqs!$A:$B,2,0),K212,1),"")</f>
        <v>R</v>
      </c>
      <c r="K212" s="23">
        <v>64</v>
      </c>
      <c r="L212" s="3" t="str">
        <f>IFERROR(MID(VLOOKUP($B212,Seqs!$A:$B,2,0),M212,1),"")</f>
        <v>T</v>
      </c>
      <c r="M212" s="3">
        <v>65</v>
      </c>
      <c r="N212" s="3" t="str">
        <f>IFERROR(MID(VLOOKUP($B212,Seqs!$A:$B,2,0),O212,1),"")</f>
        <v>H</v>
      </c>
      <c r="O212" s="3">
        <v>95</v>
      </c>
      <c r="P212" s="3" t="str">
        <f>IFERROR(MID(VLOOKUP($B212,Seqs!$A:$B,2,0),Q212,1),"")</f>
        <v>E</v>
      </c>
      <c r="Q212" s="3">
        <v>97</v>
      </c>
      <c r="R212" s="3" t="str">
        <f>IFERROR(MID(VLOOKUP($B212,Seqs!$A:$B,2,0),S212,1),"")</f>
        <v>Y</v>
      </c>
      <c r="S212" s="3">
        <v>100</v>
      </c>
      <c r="T212" s="3" t="str">
        <f>IFERROR(MID(VLOOKUP($B212,Seqs!$A:$B,2,0),U212,1),"")</f>
        <v>G</v>
      </c>
      <c r="U212" s="3">
        <v>101</v>
      </c>
      <c r="V212" s="3" t="str">
        <f>IFERROR(MID(VLOOKUP($B212,Seqs!$A:$B,2,0),W212,1),"")</f>
        <v>H</v>
      </c>
      <c r="W212" s="3">
        <v>136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143</v>
      </c>
      <c r="AD212" s="3" t="str">
        <f>IFERROR(MID(VLOOKUP($B212,Seqs!$A:$B,2,0),AE212,1),"")</f>
        <v>S</v>
      </c>
      <c r="AE212" s="3">
        <v>169</v>
      </c>
      <c r="AF212" s="3" t="str">
        <f>IFERROR(MID(VLOOKUP($B212,Seqs!$A:$B,2,0),AG212,1),"")</f>
        <v>C</v>
      </c>
      <c r="AG212" s="3">
        <v>180</v>
      </c>
      <c r="AH212" s="3" t="str">
        <f>IFERROR(MID(VLOOKUP($B212,Seqs!$A:$B,2,0),AI212,1),"")</f>
        <v>I</v>
      </c>
      <c r="AI212" s="3">
        <v>182</v>
      </c>
      <c r="AJ212" s="3" t="str">
        <f>IFERROR(MID(VLOOKUP($B212,Seqs!$A:$B,2,0),AK212,1),"")</f>
        <v>K</v>
      </c>
      <c r="AK212" s="3">
        <v>190</v>
      </c>
      <c r="AL212" s="3" t="str">
        <f>IFERROR(MID(VLOOKUP($B212,Seqs!$A:$B,2,0),AM212,1),"")</f>
        <v>S</v>
      </c>
      <c r="AM212" s="3">
        <v>226</v>
      </c>
      <c r="AN212" s="3" t="str">
        <f>IFERROR(MID(VLOOKUP($B212,Seqs!$A:$B,2,0),AO212,1),"")</f>
        <v>E</v>
      </c>
      <c r="AO212" s="3">
        <v>238</v>
      </c>
      <c r="AP212" s="3" t="str">
        <f>IFERROR(MID(VLOOKUP($B212,Seqs!$A:$B,2,0),AQ212,1),"")</f>
        <v>N</v>
      </c>
      <c r="AQ212" s="3">
        <v>274</v>
      </c>
      <c r="AR212" s="3" t="str">
        <f>IFERROR(MID(VLOOKUP($B212,Seqs!$A:$B,2,0),AS212,1),"")</f>
        <v>F</v>
      </c>
      <c r="AS212" s="3">
        <v>282</v>
      </c>
      <c r="AT212" s="3" t="str">
        <f>IFERROR(MID(VLOOKUP($B212,Seqs!$A:$B,2,0),AU212,1),"")</f>
        <v>L</v>
      </c>
      <c r="AU212" s="3">
        <v>308</v>
      </c>
      <c r="AV212" s="3" t="str">
        <f>IFERROR(MID(VLOOKUP($B212,Seqs!$A:$B,2,0),AW212,1),"")</f>
        <v>N</v>
      </c>
      <c r="AW212" s="3">
        <v>309</v>
      </c>
      <c r="AX212" s="3" t="str">
        <f>IFERROR(MID(VLOOKUP($B212,Seqs!$A:$B,2,0),AY212,1),"")</f>
        <v>F</v>
      </c>
      <c r="AY212" s="3">
        <v>320</v>
      </c>
      <c r="AZ212" s="77" t="str">
        <f>VLOOKUP(B212,Classification!A:D,2,0)</f>
        <v>A</v>
      </c>
      <c r="BA212" s="94" t="str">
        <f>VLOOKUP(B212,Classification!A:D,4,0)</f>
        <v>Tachykinin</v>
      </c>
      <c r="BB212" s="27" t="b">
        <f t="shared" ref="BB212" si="1371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372">_xlfn.AGGREGATE(9,6,CH212:CS212)-_xlfn.AGGREGATE(9,6,BV212:CG212)+12</f>
        <v>252</v>
      </c>
      <c r="BD212" s="5" t="s">
        <v>1377</v>
      </c>
      <c r="BE212" s="3" t="s">
        <v>1375</v>
      </c>
      <c r="BF212" s="119">
        <v>2.2000000000000002</v>
      </c>
      <c r="BG212" s="49" t="s">
        <v>1</v>
      </c>
      <c r="BH212" s="49" t="s">
        <v>1</v>
      </c>
      <c r="BI212" s="1"/>
      <c r="BJ212" s="70" t="s">
        <v>1288</v>
      </c>
      <c r="BK212" s="57" t="s">
        <v>1288</v>
      </c>
      <c r="BL212" s="57" t="s">
        <v>1288</v>
      </c>
      <c r="BM212" s="57" t="s">
        <v>1288</v>
      </c>
      <c r="BN212" s="57" t="s">
        <v>1288</v>
      </c>
      <c r="BO212" s="57" t="s">
        <v>1288</v>
      </c>
      <c r="BP212" s="57" t="s">
        <v>1288</v>
      </c>
      <c r="BQ212" s="57" t="s">
        <v>1288</v>
      </c>
      <c r="BR212" s="57" t="s">
        <v>1288</v>
      </c>
      <c r="BS212" s="57" t="s">
        <v>1288</v>
      </c>
      <c r="BT212" s="57" t="s">
        <v>1288</v>
      </c>
      <c r="BU212" s="57" t="s">
        <v>1288</v>
      </c>
      <c r="BV212" s="70">
        <f t="shared" ref="BV212" si="1373">E212</f>
        <v>28</v>
      </c>
      <c r="BW212" s="71">
        <f t="shared" ref="BW212" si="1374">I212</f>
        <v>61</v>
      </c>
      <c r="BX212" s="72">
        <f t="shared" ref="BX212" si="1375">M212</f>
        <v>65</v>
      </c>
      <c r="BY212" s="71">
        <f t="shared" ref="BY212" si="1376">Q212</f>
        <v>97</v>
      </c>
      <c r="BZ212" s="72">
        <f t="shared" ref="BZ212" si="1377">U212</f>
        <v>101</v>
      </c>
      <c r="CA212" s="71" t="str">
        <f t="shared" ref="CA212" si="1378">Y212</f>
        <v>-</v>
      </c>
      <c r="CB212" s="72">
        <f t="shared" ref="CB212" si="1379">AC212</f>
        <v>143</v>
      </c>
      <c r="CC212" s="71">
        <f t="shared" ref="CC212" si="1380">AG212</f>
        <v>180</v>
      </c>
      <c r="CD212" s="72">
        <f t="shared" ref="CD212" si="1381">AK212</f>
        <v>190</v>
      </c>
      <c r="CE212" s="71">
        <f t="shared" ref="CE212" si="1382">AO212</f>
        <v>238</v>
      </c>
      <c r="CF212" s="72">
        <f t="shared" ref="CF212" si="1383">AS212</f>
        <v>282</v>
      </c>
      <c r="CG212" s="71">
        <f t="shared" ref="CG212" si="1384">AW212</f>
        <v>309</v>
      </c>
      <c r="CH212" s="70">
        <f t="shared" ref="CH212" si="1385">G212</f>
        <v>60</v>
      </c>
      <c r="CI212" s="71">
        <f t="shared" ref="CI212" si="1386">K212</f>
        <v>64</v>
      </c>
      <c r="CJ212" s="72">
        <f t="shared" ref="CJ212" si="1387">O212</f>
        <v>95</v>
      </c>
      <c r="CK212" s="72">
        <f t="shared" ref="CK212" si="1388">S212</f>
        <v>100</v>
      </c>
      <c r="CL212" s="72">
        <f t="shared" ref="CL212" si="1389">W212</f>
        <v>136</v>
      </c>
      <c r="CM212" s="72" t="str">
        <f t="shared" ref="CM212" si="1390">AA212</f>
        <v>-</v>
      </c>
      <c r="CN212" s="72">
        <f t="shared" ref="CN212" si="1391">AE212</f>
        <v>169</v>
      </c>
      <c r="CO212" s="72">
        <f t="shared" ref="CO212" si="1392">AI212</f>
        <v>182</v>
      </c>
      <c r="CP212" s="72">
        <f t="shared" ref="CP212" si="1393">AM212</f>
        <v>226</v>
      </c>
      <c r="CQ212" s="72">
        <f t="shared" ref="CQ212" si="1394">AQ212</f>
        <v>274</v>
      </c>
      <c r="CR212" s="72">
        <f t="shared" ref="CR212" si="1395">AU212</f>
        <v>308</v>
      </c>
      <c r="CS212" s="72">
        <f t="shared" ref="CS212" si="1396">AY212</f>
        <v>320</v>
      </c>
      <c r="CT212" s="23">
        <f t="shared" ref="CT212" si="1397"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ref="A213" si="1398">CONCATENATE(B213,"_",C213)</f>
        <v>nk1r_human_6J20</v>
      </c>
      <c r="B213" s="3" t="s">
        <v>314</v>
      </c>
      <c r="C213" s="134" t="s">
        <v>1563</v>
      </c>
      <c r="D213" s="3" t="str">
        <f>IFERROR(MID(VLOOKUP($B213,Seqs!$A:$B,2,0),E213,1),"")</f>
        <v>P</v>
      </c>
      <c r="E213" s="3">
        <v>28</v>
      </c>
      <c r="F213" s="3" t="str">
        <f>IFERROR(MID(VLOOKUP($B213,Seqs!$A:$B,2,0),G213,1),"")</f>
        <v>A</v>
      </c>
      <c r="G213" s="3">
        <v>59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V</v>
      </c>
      <c r="M213" s="3">
        <v>66</v>
      </c>
      <c r="N213" s="3" t="str">
        <f>IFERROR(MID(VLOOKUP($B213,Seqs!$A:$B,2,0),O213,1),"")</f>
        <v>N</v>
      </c>
      <c r="O213" s="3">
        <v>96</v>
      </c>
      <c r="P213" s="3" t="str">
        <f>IFERROR(MID(VLOOKUP($B213,Seqs!$A:$B,2,0),Q213,1),"")</f>
        <v>E</v>
      </c>
      <c r="Q213" s="3">
        <v>97</v>
      </c>
      <c r="R213" s="3" t="str">
        <f>IFERROR(MID(VLOOKUP($B213,Seqs!$A:$B,2,0),S213,1),"")</f>
        <v>Y</v>
      </c>
      <c r="S213" s="3">
        <v>100</v>
      </c>
      <c r="T213" s="3" t="str">
        <f>IFERROR(MID(VLOOKUP($B213,Seqs!$A:$B,2,0),U213,1),"")</f>
        <v>G</v>
      </c>
      <c r="U213" s="3">
        <v>101</v>
      </c>
      <c r="V213" s="3" t="str">
        <f>IFERROR(MID(VLOOKUP($B213,Seqs!$A:$B,2,0),W213,1),"")</f>
        <v>H</v>
      </c>
      <c r="W213" s="3">
        <v>136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3">
        <v>143</v>
      </c>
      <c r="AD213" s="3" t="str">
        <f>IFERROR(MID(VLOOKUP($B213,Seqs!$A:$B,2,0),AE213,1),"")</f>
        <v>S</v>
      </c>
      <c r="AE213" s="3">
        <v>169</v>
      </c>
      <c r="AF213" s="3" t="str">
        <f>IFERROR(MID(VLOOKUP($B213,Seqs!$A:$B,2,0),AG213,1),"")</f>
        <v>C</v>
      </c>
      <c r="AG213" s="3">
        <v>180</v>
      </c>
      <c r="AH213" s="3" t="str">
        <f>IFERROR(MID(VLOOKUP($B213,Seqs!$A:$B,2,0),AI213,1),"")</f>
        <v>I</v>
      </c>
      <c r="AI213" s="3">
        <v>182</v>
      </c>
      <c r="AJ213" s="3" t="str">
        <f>IFERROR(MID(VLOOKUP($B213,Seqs!$A:$B,2,0),AK213,1),"")</f>
        <v>K</v>
      </c>
      <c r="AK213" s="3">
        <v>190</v>
      </c>
      <c r="AL213" s="3" t="str">
        <f>IFERROR(MID(VLOOKUP($B213,Seqs!$A:$B,2,0),AM213,1),"")</f>
        <v>A</v>
      </c>
      <c r="AM213" s="3">
        <v>225</v>
      </c>
      <c r="AN213" s="3" t="str">
        <f>IFERROR(MID(VLOOKUP($B213,Seqs!$A:$B,2,0),AO213,1),"")</f>
        <v>S</v>
      </c>
      <c r="AO213" s="3">
        <v>241</v>
      </c>
      <c r="AP213" s="3" t="str">
        <f>IFERROR(MID(VLOOKUP($B213,Seqs!$A:$B,2,0),AQ213,1),"")</f>
        <v>N</v>
      </c>
      <c r="AQ213" s="3">
        <v>274</v>
      </c>
      <c r="AR213" s="3" t="str">
        <f>IFERROR(MID(VLOOKUP($B213,Seqs!$A:$B,2,0),AS213,1),"")</f>
        <v>I</v>
      </c>
      <c r="AS213" s="3">
        <v>283</v>
      </c>
      <c r="AT213" s="3" t="str">
        <f>IFERROR(MID(VLOOKUP($B213,Seqs!$A:$B,2,0),AU213,1),"")</f>
        <v>L</v>
      </c>
      <c r="AU213" s="3">
        <v>308</v>
      </c>
      <c r="AV213" s="3" t="str">
        <f>IFERROR(MID(VLOOKUP($B213,Seqs!$A:$B,2,0),AW213,1),"")</f>
        <v>N</v>
      </c>
      <c r="AW213" s="3">
        <v>309</v>
      </c>
      <c r="AX213" s="3" t="str">
        <f>IFERROR(MID(VLOOKUP($B213,Seqs!$A:$B,2,0),AY213,1),"")</f>
        <v>A</v>
      </c>
      <c r="AY213" s="3">
        <v>319</v>
      </c>
      <c r="AZ213" s="77" t="str">
        <f>VLOOKUP(B213,Classification!A:D,2,0)</f>
        <v>A</v>
      </c>
      <c r="BA213" s="94" t="str">
        <f>VLOOKUP(B213,Classification!A:D,4,0)</f>
        <v>Tachykinin</v>
      </c>
      <c r="BB213" s="27" t="b">
        <f t="shared" ref="BB213" si="1399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400">_xlfn.AGGREGATE(9,6,CH213:CS213)-_xlfn.AGGREGATE(9,6,BV213:CG213)+12</f>
        <v>242</v>
      </c>
      <c r="BD213" s="5" t="s">
        <v>23</v>
      </c>
      <c r="BE213" s="3" t="s">
        <v>1375</v>
      </c>
      <c r="BF213" s="119">
        <v>2.7</v>
      </c>
      <c r="BG213" s="49" t="s">
        <v>1</v>
      </c>
      <c r="BH213" s="49" t="s">
        <v>1</v>
      </c>
      <c r="BI213" s="1"/>
      <c r="BJ213" s="70" t="s">
        <v>1288</v>
      </c>
      <c r="BK213" s="57" t="s">
        <v>1288</v>
      </c>
      <c r="BL213" s="57" t="s">
        <v>1288</v>
      </c>
      <c r="BM213" s="57" t="s">
        <v>1288</v>
      </c>
      <c r="BN213" s="57" t="s">
        <v>1288</v>
      </c>
      <c r="BO213" s="57" t="s">
        <v>1288</v>
      </c>
      <c r="BP213" s="57" t="s">
        <v>1288</v>
      </c>
      <c r="BQ213" s="57" t="s">
        <v>1288</v>
      </c>
      <c r="BR213" s="57" t="s">
        <v>1288</v>
      </c>
      <c r="BS213" s="57" t="s">
        <v>1288</v>
      </c>
      <c r="BT213" s="57" t="s">
        <v>1288</v>
      </c>
      <c r="BU213" s="57" t="s">
        <v>1288</v>
      </c>
      <c r="BV213" s="70">
        <f t="shared" ref="BV213" si="1401">E213</f>
        <v>28</v>
      </c>
      <c r="BW213" s="71" t="str">
        <f t="shared" ref="BW213" si="1402">I213</f>
        <v>-</v>
      </c>
      <c r="BX213" s="72">
        <f t="shared" ref="BX213" si="1403">M213</f>
        <v>66</v>
      </c>
      <c r="BY213" s="71">
        <f t="shared" ref="BY213" si="1404">Q213</f>
        <v>97</v>
      </c>
      <c r="BZ213" s="72">
        <f t="shared" ref="BZ213" si="1405">U213</f>
        <v>101</v>
      </c>
      <c r="CA213" s="71" t="str">
        <f t="shared" ref="CA213" si="1406">Y213</f>
        <v>-</v>
      </c>
      <c r="CB213" s="72">
        <f t="shared" ref="CB213" si="1407">AC213</f>
        <v>143</v>
      </c>
      <c r="CC213" s="71">
        <f t="shared" ref="CC213" si="1408">AG213</f>
        <v>180</v>
      </c>
      <c r="CD213" s="72">
        <f t="shared" ref="CD213" si="1409">AK213</f>
        <v>190</v>
      </c>
      <c r="CE213" s="71">
        <f t="shared" ref="CE213" si="1410">AO213</f>
        <v>241</v>
      </c>
      <c r="CF213" s="72">
        <f t="shared" ref="CF213" si="1411">AS213</f>
        <v>283</v>
      </c>
      <c r="CG213" s="71">
        <f t="shared" ref="CG213" si="1412">AW213</f>
        <v>309</v>
      </c>
      <c r="CH213" s="70">
        <f t="shared" ref="CH213" si="1413">G213</f>
        <v>59</v>
      </c>
      <c r="CI213" s="71" t="str">
        <f t="shared" ref="CI213" si="1414">K213</f>
        <v>-</v>
      </c>
      <c r="CJ213" s="72">
        <f t="shared" ref="CJ213" si="1415">O213</f>
        <v>96</v>
      </c>
      <c r="CK213" s="72">
        <f t="shared" ref="CK213" si="1416">S213</f>
        <v>100</v>
      </c>
      <c r="CL213" s="72">
        <f t="shared" ref="CL213" si="1417">W213</f>
        <v>136</v>
      </c>
      <c r="CM213" s="72" t="str">
        <f t="shared" ref="CM213" si="1418">AA213</f>
        <v>-</v>
      </c>
      <c r="CN213" s="72">
        <f t="shared" ref="CN213" si="1419">AE213</f>
        <v>169</v>
      </c>
      <c r="CO213" s="72">
        <f t="shared" ref="CO213" si="1420">AI213</f>
        <v>182</v>
      </c>
      <c r="CP213" s="72">
        <f t="shared" ref="CP213" si="1421">AM213</f>
        <v>225</v>
      </c>
      <c r="CQ213" s="72">
        <f t="shared" ref="CQ213" si="1422">AQ213</f>
        <v>274</v>
      </c>
      <c r="CR213" s="72">
        <f t="shared" ref="CR213" si="1423">AU213</f>
        <v>308</v>
      </c>
      <c r="CS213" s="72">
        <f t="shared" ref="CS213" si="1424">AY213</f>
        <v>319</v>
      </c>
      <c r="CT213" s="23" t="e">
        <f t="shared" ref="CT213" si="1425">M213-K213</f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" si="1426">CONCATENATE(B214,"_",C214)</f>
        <v>nk1r_human_6J21</v>
      </c>
      <c r="B214" s="3" t="s">
        <v>314</v>
      </c>
      <c r="C214" s="134" t="s">
        <v>1564</v>
      </c>
      <c r="D214" s="3" t="str">
        <f>IFERROR(MID(VLOOKUP($B214,Seqs!$A:$B,2,0),E214,1),"")</f>
        <v>P</v>
      </c>
      <c r="E214" s="3">
        <v>28</v>
      </c>
      <c r="F214" s="3" t="str">
        <f>IFERROR(MID(VLOOKUP($B214,Seqs!$A:$B,2,0),G214,1),"")</f>
        <v>A</v>
      </c>
      <c r="G214" s="3">
        <v>59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T</v>
      </c>
      <c r="M214" s="3">
        <v>65</v>
      </c>
      <c r="N214" s="3" t="str">
        <f>IFERROR(MID(VLOOKUP($B214,Seqs!$A:$B,2,0),O214,1),"")</f>
        <v>N</v>
      </c>
      <c r="O214" s="3">
        <v>96</v>
      </c>
      <c r="P214" s="3" t="str">
        <f>IFERROR(MID(VLOOKUP($B214,Seqs!$A:$B,2,0),Q214,1),"")</f>
        <v>E</v>
      </c>
      <c r="Q214" s="3">
        <v>97</v>
      </c>
      <c r="R214" s="3" t="str">
        <f>IFERROR(MID(VLOOKUP($B214,Seqs!$A:$B,2,0),S214,1),"")</f>
        <v>Y</v>
      </c>
      <c r="S214" s="3">
        <v>100</v>
      </c>
      <c r="T214" s="3" t="str">
        <f>IFERROR(MID(VLOOKUP($B214,Seqs!$A:$B,2,0),U214,1),"")</f>
        <v>G</v>
      </c>
      <c r="U214" s="3">
        <v>101</v>
      </c>
      <c r="V214" s="3" t="str">
        <f>IFERROR(MID(VLOOKUP($B214,Seqs!$A:$B,2,0),W214,1),"")</f>
        <v>H</v>
      </c>
      <c r="W214" s="3">
        <v>136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3">
        <v>143</v>
      </c>
      <c r="AD214" s="3" t="str">
        <f>IFERROR(MID(VLOOKUP($B214,Seqs!$A:$B,2,0),AE214,1),"")</f>
        <v>S</v>
      </c>
      <c r="AE214" s="3">
        <v>169</v>
      </c>
      <c r="AF214" s="3" t="str">
        <f>IFERROR(MID(VLOOKUP($B214,Seqs!$A:$B,2,0),AG214,1),"")</f>
        <v>C</v>
      </c>
      <c r="AG214" s="3">
        <v>180</v>
      </c>
      <c r="AH214" s="3" t="str">
        <f>IFERROR(MID(VLOOKUP($B214,Seqs!$A:$B,2,0),AI214,1),"")</f>
        <v>I</v>
      </c>
      <c r="AI214" s="3">
        <v>182</v>
      </c>
      <c r="AJ214" s="3" t="str">
        <f>IFERROR(MID(VLOOKUP($B214,Seqs!$A:$B,2,0),AK214,1),"")</f>
        <v>I</v>
      </c>
      <c r="AK214" s="3">
        <v>191</v>
      </c>
      <c r="AL214" s="3" t="str">
        <f>IFERROR(MID(VLOOKUP($B214,Seqs!$A:$B,2,0),AM214,1),"")</f>
        <v>A</v>
      </c>
      <c r="AM214" s="3">
        <v>225</v>
      </c>
      <c r="AN214" s="3" t="str">
        <f>IFERROR(MID(VLOOKUP($B214,Seqs!$A:$B,2,0),AO214,1),"")</f>
        <v>A</v>
      </c>
      <c r="AO214" s="3">
        <v>242</v>
      </c>
      <c r="AP214" s="3" t="str">
        <f>IFERROR(MID(VLOOKUP($B214,Seqs!$A:$B,2,0),AQ214,1),"")</f>
        <v>N</v>
      </c>
      <c r="AQ214" s="3">
        <v>274</v>
      </c>
      <c r="AR214" s="3" t="str">
        <f>IFERROR(MID(VLOOKUP($B214,Seqs!$A:$B,2,0),AS214,1),"")</f>
        <v>F</v>
      </c>
      <c r="AS214" s="3">
        <v>282</v>
      </c>
      <c r="AT214" s="3" t="str">
        <f>IFERROR(MID(VLOOKUP($B214,Seqs!$A:$B,2,0),AU214,1),"")</f>
        <v>L</v>
      </c>
      <c r="AU214" s="3">
        <v>308</v>
      </c>
      <c r="AV214" s="3" t="str">
        <f>IFERROR(MID(VLOOKUP($B214,Seqs!$A:$B,2,0),AW214,1),"")</f>
        <v>N</v>
      </c>
      <c r="AW214" s="3">
        <v>309</v>
      </c>
      <c r="AX214" s="3" t="str">
        <f>IFERROR(MID(VLOOKUP($B214,Seqs!$A:$B,2,0),AY214,1),"")</f>
        <v>A</v>
      </c>
      <c r="AY214" s="3">
        <v>319</v>
      </c>
      <c r="AZ214" s="77" t="str">
        <f>VLOOKUP(B214,Classification!A:D,2,0)</f>
        <v>A</v>
      </c>
      <c r="BA214" s="94" t="str">
        <f>VLOOKUP(B214,Classification!A:D,4,0)</f>
        <v>Tachykinin</v>
      </c>
      <c r="BB214" s="27" t="b">
        <f t="shared" ref="BB214" si="1427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428">_xlfn.AGGREGATE(9,6,CH214:CS214)-_xlfn.AGGREGATE(9,6,BV214:CG214)+12</f>
        <v>242</v>
      </c>
      <c r="BD214" s="5" t="s">
        <v>23</v>
      </c>
      <c r="BE214" s="3" t="s">
        <v>1375</v>
      </c>
      <c r="BF214" s="119">
        <v>3.2</v>
      </c>
      <c r="BG214" s="49" t="s">
        <v>1</v>
      </c>
      <c r="BH214" s="49" t="s">
        <v>1</v>
      </c>
      <c r="BI214" s="1"/>
      <c r="BJ214" s="70" t="s">
        <v>1288</v>
      </c>
      <c r="BK214" s="57" t="s">
        <v>1288</v>
      </c>
      <c r="BL214" s="57" t="s">
        <v>1288</v>
      </c>
      <c r="BM214" s="57" t="s">
        <v>1288</v>
      </c>
      <c r="BN214" s="57" t="s">
        <v>1288</v>
      </c>
      <c r="BO214" s="57" t="s">
        <v>1288</v>
      </c>
      <c r="BP214" s="57" t="s">
        <v>1288</v>
      </c>
      <c r="BQ214" s="57" t="s">
        <v>1288</v>
      </c>
      <c r="BR214" s="57" t="s">
        <v>1288</v>
      </c>
      <c r="BS214" s="57" t="s">
        <v>1288</v>
      </c>
      <c r="BT214" s="57" t="s">
        <v>1288</v>
      </c>
      <c r="BU214" s="57" t="s">
        <v>1288</v>
      </c>
      <c r="BV214" s="70">
        <f t="shared" ref="BV214" si="1429">E214</f>
        <v>28</v>
      </c>
      <c r="BW214" s="71" t="str">
        <f t="shared" ref="BW214" si="1430">I214</f>
        <v>-</v>
      </c>
      <c r="BX214" s="72">
        <f t="shared" ref="BX214" si="1431">M214</f>
        <v>65</v>
      </c>
      <c r="BY214" s="71">
        <f t="shared" ref="BY214" si="1432">Q214</f>
        <v>97</v>
      </c>
      <c r="BZ214" s="72">
        <f t="shared" ref="BZ214" si="1433">U214</f>
        <v>101</v>
      </c>
      <c r="CA214" s="71" t="str">
        <f t="shared" ref="CA214" si="1434">Y214</f>
        <v>-</v>
      </c>
      <c r="CB214" s="72">
        <f t="shared" ref="CB214" si="1435">AC214</f>
        <v>143</v>
      </c>
      <c r="CC214" s="71">
        <f t="shared" ref="CC214" si="1436">AG214</f>
        <v>180</v>
      </c>
      <c r="CD214" s="72">
        <f t="shared" ref="CD214" si="1437">AK214</f>
        <v>191</v>
      </c>
      <c r="CE214" s="71">
        <f t="shared" ref="CE214" si="1438">AO214</f>
        <v>242</v>
      </c>
      <c r="CF214" s="72">
        <f t="shared" ref="CF214" si="1439">AS214</f>
        <v>282</v>
      </c>
      <c r="CG214" s="71">
        <f t="shared" ref="CG214" si="1440">AW214</f>
        <v>309</v>
      </c>
      <c r="CH214" s="70">
        <f t="shared" ref="CH214" si="1441">G214</f>
        <v>59</v>
      </c>
      <c r="CI214" s="71" t="str">
        <f t="shared" ref="CI214" si="1442">K214</f>
        <v>-</v>
      </c>
      <c r="CJ214" s="72">
        <f t="shared" ref="CJ214" si="1443">O214</f>
        <v>96</v>
      </c>
      <c r="CK214" s="72">
        <f t="shared" ref="CK214" si="1444">S214</f>
        <v>100</v>
      </c>
      <c r="CL214" s="72">
        <f t="shared" ref="CL214" si="1445">W214</f>
        <v>136</v>
      </c>
      <c r="CM214" s="72" t="str">
        <f t="shared" ref="CM214" si="1446">AA214</f>
        <v>-</v>
      </c>
      <c r="CN214" s="72">
        <f t="shared" ref="CN214" si="1447">AE214</f>
        <v>169</v>
      </c>
      <c r="CO214" s="72">
        <f t="shared" ref="CO214" si="1448">AI214</f>
        <v>182</v>
      </c>
      <c r="CP214" s="72">
        <f t="shared" ref="CP214" si="1449">AM214</f>
        <v>225</v>
      </c>
      <c r="CQ214" s="72">
        <f t="shared" ref="CQ214" si="1450">AQ214</f>
        <v>274</v>
      </c>
      <c r="CR214" s="72">
        <f t="shared" ref="CR214" si="1451">AU214</f>
        <v>308</v>
      </c>
      <c r="CS214" s="72">
        <f t="shared" ref="CS214" si="1452">AY214</f>
        <v>319</v>
      </c>
      <c r="CT214" s="23" t="e">
        <f t="shared" ref="CT214" si="1453"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>CONCATENATE(B215,"_",C215)</f>
        <v>npy1r_human__wt</v>
      </c>
      <c r="B215" s="3" t="s">
        <v>325</v>
      </c>
      <c r="C215" s="3" t="s">
        <v>100</v>
      </c>
      <c r="D215" s="3" t="str">
        <f>IFERROR(MID(VLOOKUP($B215,Seqs!$A:$B,2,0),E215,1),"")</f>
        <v>P</v>
      </c>
      <c r="E215" s="3">
        <v>36</v>
      </c>
      <c r="F215" s="3" t="str">
        <f>IFERROR(MID(VLOOKUP($B215,Seqs!$A:$B,2,0),G215,1),"")</f>
        <v>Q</v>
      </c>
      <c r="G215" s="3">
        <v>68</v>
      </c>
      <c r="H215" s="3" t="str">
        <f>IFERROR(MID(VLOOKUP($B215,Seqs!$A:$B,2,0),I215,1),"")</f>
        <v>K</v>
      </c>
      <c r="I215" s="23">
        <v>69</v>
      </c>
      <c r="J215" s="3" t="str">
        <f>IFERROR(MID(VLOOKUP($B215,Seqs!$A:$B,2,0),K215,1),"")</f>
        <v>R</v>
      </c>
      <c r="K215" s="23">
        <v>72</v>
      </c>
      <c r="L215" s="3" t="str">
        <f>IFERROR(MID(VLOOKUP($B215,Seqs!$A:$B,2,0),M215,1),"")</f>
        <v>N</v>
      </c>
      <c r="M215" s="3">
        <v>73</v>
      </c>
      <c r="N215" s="3" t="str">
        <f>IFERROR(MID(VLOOKUP($B215,Seqs!$A:$B,2,0),O215,1),"")</f>
        <v>D</v>
      </c>
      <c r="O215" s="3">
        <v>104</v>
      </c>
      <c r="P215" s="3" t="str">
        <f>IFERROR(MID(VLOOKUP($B215,Seqs!$A:$B,2,0),Q215,1),"")</f>
        <v>H</v>
      </c>
      <c r="Q215" s="3">
        <v>105</v>
      </c>
      <c r="R215" s="3" t="str">
        <f>IFERROR(MID(VLOOKUP($B215,Seqs!$A:$B,2,0),S215,1),"")</f>
        <v>F</v>
      </c>
      <c r="S215" s="3">
        <v>108</v>
      </c>
      <c r="T215" s="3" t="str">
        <f>IFERROR(MID(VLOOKUP($B215,Seqs!$A:$B,2,0),U215,1),"")</f>
        <v>G</v>
      </c>
      <c r="U215" s="3">
        <v>109</v>
      </c>
      <c r="V215" s="3" t="str">
        <f>IFERROR(MID(VLOOKUP($B215,Seqs!$A:$B,2,0),W215,1),"")</f>
        <v>N</v>
      </c>
      <c r="W215" s="3">
        <v>144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N</v>
      </c>
      <c r="AC215" s="3">
        <v>151</v>
      </c>
      <c r="AD215" s="3" t="str">
        <f>IFERROR(MID(VLOOKUP($B215,Seqs!$A:$B,2,0),AE215,1),"")</f>
        <v>Q</v>
      </c>
      <c r="AE215" s="3">
        <v>177</v>
      </c>
      <c r="AF215" s="3" t="str">
        <f>IFERROR(MID(VLOOKUP($B215,Seqs!$A:$B,2,0),AG215,1),"")</f>
        <v>C</v>
      </c>
      <c r="AG215" s="3">
        <v>198</v>
      </c>
      <c r="AH215" s="3" t="str">
        <f>IFERROR(MID(VLOOKUP($B215,Seqs!$A:$B,2,0),AI215,1),"")</f>
        <v>D</v>
      </c>
      <c r="AI215" s="3">
        <v>200</v>
      </c>
      <c r="AJ215" s="3" t="str">
        <f>IFERROR(MID(VLOOKUP($B215,Seqs!$A:$B,2,0),AK215,1),"")</f>
        <v>S</v>
      </c>
      <c r="AK215" s="3">
        <v>204</v>
      </c>
      <c r="AL215" s="3" t="str">
        <f>IFERROR(MID(VLOOKUP($B215,Seqs!$A:$B,2,0),AM215,1),"")</f>
        <v>M</v>
      </c>
      <c r="AM215" s="3">
        <v>245</v>
      </c>
      <c r="AN215" s="3" t="str">
        <f>IFERROR(MID(VLOOKUP($B215,Seqs!$A:$B,2,0),AO215,1),"")</f>
        <v>D</v>
      </c>
      <c r="AO215" s="3">
        <v>250</v>
      </c>
      <c r="AP215" s="3" t="str">
        <f>IFERROR(MID(VLOOKUP($B215,Seqs!$A:$B,2,0),AQ215,1),"")</f>
        <v>N</v>
      </c>
      <c r="AQ215" s="3">
        <v>289</v>
      </c>
      <c r="AR215" s="3" t="str">
        <f>IFERROR(MID(VLOOKUP($B215,Seqs!$A:$B,2,0),AS215,1),"")</f>
        <v>T</v>
      </c>
      <c r="AS215" s="3">
        <v>295</v>
      </c>
      <c r="AT215" s="3" t="str">
        <f>IFERROR(MID(VLOOKUP($B215,Seqs!$A:$B,2,0),AU215,1),"")</f>
        <v>L</v>
      </c>
      <c r="AU215" s="3">
        <v>323</v>
      </c>
      <c r="AV215" s="3" t="str">
        <f>IFERROR(MID(VLOOKUP($B215,Seqs!$A:$B,2,0),AW215,1),"")</f>
        <v>N</v>
      </c>
      <c r="AW215" s="3">
        <v>324</v>
      </c>
      <c r="AX215" s="3" t="str">
        <f>IFERROR(MID(VLOOKUP($B215,Seqs!$A:$B,2,0),AY215,1),"")</f>
        <v>F</v>
      </c>
      <c r="AY215" s="3">
        <v>335</v>
      </c>
      <c r="AZ215" s="77" t="str">
        <f>VLOOKUP(B215,Classification!A:D,2,0)</f>
        <v>A</v>
      </c>
      <c r="BA215" s="94" t="str">
        <f>VLOOKUP(B215,Classification!A:D,4,0)</f>
        <v>NeuropeptideY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263</v>
      </c>
      <c r="BD215" s="5" t="s">
        <v>23</v>
      </c>
      <c r="BE215" s="3" t="s">
        <v>1375</v>
      </c>
      <c r="BF215" s="119" t="s">
        <v>23</v>
      </c>
      <c r="BG215" s="49" t="s">
        <v>1378</v>
      </c>
      <c r="BH215" s="49" t="s">
        <v>1378</v>
      </c>
      <c r="BI215" s="1"/>
      <c r="BJ215" s="70" t="s">
        <v>1288</v>
      </c>
      <c r="BK215" s="57" t="s">
        <v>1288</v>
      </c>
      <c r="BL215" s="57" t="s">
        <v>1288</v>
      </c>
      <c r="BM215" s="57" t="s">
        <v>1288</v>
      </c>
      <c r="BN215" s="57" t="s">
        <v>1288</v>
      </c>
      <c r="BO215" s="57" t="s">
        <v>1288</v>
      </c>
      <c r="BP215" s="57" t="s">
        <v>1288</v>
      </c>
      <c r="BQ215" s="57" t="s">
        <v>1288</v>
      </c>
      <c r="BR215" s="57" t="s">
        <v>1288</v>
      </c>
      <c r="BS215" s="57" t="s">
        <v>1288</v>
      </c>
      <c r="BT215" s="57" t="s">
        <v>1288</v>
      </c>
      <c r="BU215" s="57" t="s">
        <v>1288</v>
      </c>
      <c r="BV215" s="70">
        <f>E215</f>
        <v>36</v>
      </c>
      <c r="BW215" s="71">
        <f>I215</f>
        <v>69</v>
      </c>
      <c r="BX215" s="72">
        <f>M215</f>
        <v>73</v>
      </c>
      <c r="BY215" s="71">
        <f>Q215</f>
        <v>105</v>
      </c>
      <c r="BZ215" s="72">
        <f>U215</f>
        <v>109</v>
      </c>
      <c r="CA215" s="71" t="str">
        <f>Y215</f>
        <v>-</v>
      </c>
      <c r="CB215" s="72">
        <f>AC215</f>
        <v>151</v>
      </c>
      <c r="CC215" s="71">
        <f>AG215</f>
        <v>198</v>
      </c>
      <c r="CD215" s="72">
        <f>AK215</f>
        <v>204</v>
      </c>
      <c r="CE215" s="71">
        <f>AO215</f>
        <v>250</v>
      </c>
      <c r="CF215" s="72">
        <f>AS215</f>
        <v>295</v>
      </c>
      <c r="CG215" s="71">
        <f>AW215</f>
        <v>324</v>
      </c>
      <c r="CH215" s="70">
        <f>G215</f>
        <v>68</v>
      </c>
      <c r="CI215" s="71">
        <f>K215</f>
        <v>72</v>
      </c>
      <c r="CJ215" s="72">
        <f>O215</f>
        <v>104</v>
      </c>
      <c r="CK215" s="72">
        <f>S215</f>
        <v>108</v>
      </c>
      <c r="CL215" s="72">
        <f>W215</f>
        <v>144</v>
      </c>
      <c r="CM215" s="72" t="str">
        <f>AA215</f>
        <v>-</v>
      </c>
      <c r="CN215" s="72">
        <f>AE215</f>
        <v>177</v>
      </c>
      <c r="CO215" s="72">
        <f>AI215</f>
        <v>200</v>
      </c>
      <c r="CP215" s="72">
        <f>AM215</f>
        <v>245</v>
      </c>
      <c r="CQ215" s="72">
        <f>AQ215</f>
        <v>289</v>
      </c>
      <c r="CR215" s="72">
        <f>AU215</f>
        <v>323</v>
      </c>
      <c r="CS215" s="72">
        <f>AY215</f>
        <v>335</v>
      </c>
      <c r="CT215" s="23">
        <f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>CONCATENATE(B216,"_",C216)</f>
        <v>npy1r_human_5ZBH</v>
      </c>
      <c r="B216" s="3" t="s">
        <v>325</v>
      </c>
      <c r="C216" s="3" t="s">
        <v>1491</v>
      </c>
      <c r="D216" s="3" t="str">
        <f>IFERROR(MID(VLOOKUP($B216,Seqs!$A:$B,2,0),E216,1),"")</f>
        <v>P</v>
      </c>
      <c r="E216" s="3">
        <v>36</v>
      </c>
      <c r="F216" s="3" t="str">
        <f>IFERROR(MID(VLOOKUP($B216,Seqs!$A:$B,2,0),G216,1),"")</f>
        <v>Q</v>
      </c>
      <c r="G216" s="3">
        <v>68</v>
      </c>
      <c r="H216" s="3" t="str">
        <f>IFERROR(MID(VLOOKUP($B216,Seqs!$A:$B,2,0),I216,1),"")</f>
        <v>K</v>
      </c>
      <c r="I216" s="23">
        <v>69</v>
      </c>
      <c r="J216" s="3" t="str">
        <f>IFERROR(MID(VLOOKUP($B216,Seqs!$A:$B,2,0),K216,1),"")</f>
        <v>R</v>
      </c>
      <c r="K216" s="23">
        <v>72</v>
      </c>
      <c r="L216" s="3" t="str">
        <f>IFERROR(MID(VLOOKUP($B216,Seqs!$A:$B,2,0),M216,1),"")</f>
        <v>N</v>
      </c>
      <c r="M216" s="3">
        <v>73</v>
      </c>
      <c r="N216" s="3" t="str">
        <f>IFERROR(MID(VLOOKUP($B216,Seqs!$A:$B,2,0),O216,1),"")</f>
        <v>M</v>
      </c>
      <c r="O216" s="3">
        <v>103</v>
      </c>
      <c r="P216" s="3" t="str">
        <f>IFERROR(MID(VLOOKUP($B216,Seqs!$A:$B,2,0),Q216,1),"")</f>
        <v>H</v>
      </c>
      <c r="Q216" s="3">
        <v>105</v>
      </c>
      <c r="R216" s="3" t="str">
        <f>IFERROR(MID(VLOOKUP($B216,Seqs!$A:$B,2,0),S216,1),"")</f>
        <v>F</v>
      </c>
      <c r="S216" s="3">
        <v>108</v>
      </c>
      <c r="T216" s="3" t="str">
        <f>IFERROR(MID(VLOOKUP($B216,Seqs!$A:$B,2,0),U216,1),"")</f>
        <v>G</v>
      </c>
      <c r="U216" s="3">
        <v>109</v>
      </c>
      <c r="V216" s="3" t="str">
        <f>IFERROR(MID(VLOOKUP($B216,Seqs!$A:$B,2,0),W216,1),"")</f>
        <v>N</v>
      </c>
      <c r="W216" s="3">
        <v>144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N</v>
      </c>
      <c r="AC216" s="3">
        <v>151</v>
      </c>
      <c r="AD216" s="3" t="str">
        <f>IFERROR(MID(VLOOKUP($B216,Seqs!$A:$B,2,0),AE216,1),"")</f>
        <v>Y</v>
      </c>
      <c r="AE216" s="3">
        <v>176</v>
      </c>
      <c r="AF216" s="3" t="str">
        <f>IFERROR(MID(VLOOKUP($B216,Seqs!$A:$B,2,0),AG216,1),"")</f>
        <v>C</v>
      </c>
      <c r="AG216" s="3">
        <v>198</v>
      </c>
      <c r="AH216" s="3" t="str">
        <f>IFERROR(MID(VLOOKUP($B216,Seqs!$A:$B,2,0),AI216,1),"")</f>
        <v>D</v>
      </c>
      <c r="AI216" s="3">
        <v>200</v>
      </c>
      <c r="AJ216" s="3" t="str">
        <f>IFERROR(MID(VLOOKUP($B216,Seqs!$A:$B,2,0),AK216,1),"")</f>
        <v>S</v>
      </c>
      <c r="AK216" s="3">
        <v>204</v>
      </c>
      <c r="AL216" s="3" t="str">
        <f>IFERROR(MID(VLOOKUP($B216,Seqs!$A:$B,2,0),AM216,1),"")</f>
        <v>R</v>
      </c>
      <c r="AM216" s="3">
        <v>241</v>
      </c>
      <c r="AN216" s="3" t="str">
        <f>IFERROR(MID(VLOOKUP($B216,Seqs!$A:$B,2,0),AO216,1),"")</f>
        <v>Y</v>
      </c>
      <c r="AO216" s="3">
        <v>253</v>
      </c>
      <c r="AP216" s="3" t="str">
        <f>IFERROR(MID(VLOOKUP($B216,Seqs!$A:$B,2,0),AQ216,1),"")</f>
        <v>N</v>
      </c>
      <c r="AQ216" s="3">
        <v>289</v>
      </c>
      <c r="AR216" s="3" t="str">
        <f>IFERROR(MID(VLOOKUP($B216,Seqs!$A:$B,2,0),AS216,1),"")</f>
        <v>T</v>
      </c>
      <c r="AS216" s="3">
        <v>295</v>
      </c>
      <c r="AT216" s="3" t="str">
        <f>IFERROR(MID(VLOOKUP($B216,Seqs!$A:$B,2,0),AU216,1),"")</f>
        <v>L</v>
      </c>
      <c r="AU216" s="3">
        <v>323</v>
      </c>
      <c r="AV216" s="3" t="str">
        <f>IFERROR(MID(VLOOKUP($B216,Seqs!$A:$B,2,0),AW216,1),"")</f>
        <v>N</v>
      </c>
      <c r="AW216" s="3">
        <v>324</v>
      </c>
      <c r="AX216" s="3" t="str">
        <f>IFERROR(MID(VLOOKUP($B216,Seqs!$A:$B,2,0),AY216,1),"")</f>
        <v>F</v>
      </c>
      <c r="AY216" s="3">
        <v>335</v>
      </c>
      <c r="AZ216" s="77" t="str">
        <f>VLOOKUP(B216,Classification!A:D,2,0)</f>
        <v>A</v>
      </c>
      <c r="BA216" s="94" t="str">
        <f>VLOOKUP(B216,Classification!A:D,4,0)</f>
        <v>NeuropeptideY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254</v>
      </c>
      <c r="BD216" s="5" t="s">
        <v>1377</v>
      </c>
      <c r="BE216" s="3" t="s">
        <v>1375</v>
      </c>
      <c r="BF216" s="119">
        <v>3</v>
      </c>
      <c r="BG216" s="49" t="s">
        <v>1</v>
      </c>
      <c r="BH216" s="49" t="s">
        <v>1</v>
      </c>
      <c r="BI216" s="1"/>
      <c r="BJ216" s="70" t="s">
        <v>1288</v>
      </c>
      <c r="BK216" s="57" t="s">
        <v>1288</v>
      </c>
      <c r="BL216" s="57" t="s">
        <v>1288</v>
      </c>
      <c r="BM216" s="57" t="s">
        <v>1288</v>
      </c>
      <c r="BN216" s="57" t="s">
        <v>1288</v>
      </c>
      <c r="BO216" s="57" t="s">
        <v>1288</v>
      </c>
      <c r="BP216" s="57" t="s">
        <v>1288</v>
      </c>
      <c r="BQ216" s="57" t="s">
        <v>1288</v>
      </c>
      <c r="BR216" s="57" t="s">
        <v>1288</v>
      </c>
      <c r="BS216" s="57" t="s">
        <v>1288</v>
      </c>
      <c r="BT216" s="57" t="s">
        <v>1288</v>
      </c>
      <c r="BU216" s="57" t="s">
        <v>1288</v>
      </c>
      <c r="BV216" s="70">
        <f>E216</f>
        <v>36</v>
      </c>
      <c r="BW216" s="71">
        <f>I216</f>
        <v>69</v>
      </c>
      <c r="BX216" s="72">
        <f>M216</f>
        <v>73</v>
      </c>
      <c r="BY216" s="71">
        <f>Q216</f>
        <v>105</v>
      </c>
      <c r="BZ216" s="72">
        <f>U216</f>
        <v>109</v>
      </c>
      <c r="CA216" s="71" t="str">
        <f>Y216</f>
        <v>-</v>
      </c>
      <c r="CB216" s="72">
        <f>AC216</f>
        <v>151</v>
      </c>
      <c r="CC216" s="71">
        <f>AG216</f>
        <v>198</v>
      </c>
      <c r="CD216" s="72">
        <f>AK216</f>
        <v>204</v>
      </c>
      <c r="CE216" s="71">
        <f>AO216</f>
        <v>253</v>
      </c>
      <c r="CF216" s="72">
        <f>AS216</f>
        <v>295</v>
      </c>
      <c r="CG216" s="71">
        <f>AW216</f>
        <v>324</v>
      </c>
      <c r="CH216" s="70">
        <f>G216</f>
        <v>68</v>
      </c>
      <c r="CI216" s="71">
        <f>K216</f>
        <v>72</v>
      </c>
      <c r="CJ216" s="72">
        <f>O216</f>
        <v>103</v>
      </c>
      <c r="CK216" s="72">
        <f>S216</f>
        <v>108</v>
      </c>
      <c r="CL216" s="72">
        <f>W216</f>
        <v>144</v>
      </c>
      <c r="CM216" s="72" t="str">
        <f>AA216</f>
        <v>-</v>
      </c>
      <c r="CN216" s="72">
        <f>AE216</f>
        <v>176</v>
      </c>
      <c r="CO216" s="72">
        <f>AI216</f>
        <v>200</v>
      </c>
      <c r="CP216" s="72">
        <f>AM216</f>
        <v>241</v>
      </c>
      <c r="CQ216" s="72">
        <f>AQ216</f>
        <v>289</v>
      </c>
      <c r="CR216" s="72">
        <f>AU216</f>
        <v>323</v>
      </c>
      <c r="CS216" s="72">
        <f>AY216</f>
        <v>335</v>
      </c>
      <c r="CT216" s="23">
        <f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>CONCATENATE(B217,"_",C217)</f>
        <v>npy1r_human_5ZBQ</v>
      </c>
      <c r="B217" s="3" t="s">
        <v>325</v>
      </c>
      <c r="C217" s="3" t="s">
        <v>1490</v>
      </c>
      <c r="D217" s="3" t="str">
        <f>IFERROR(MID(VLOOKUP($B217,Seqs!$A:$B,2,0),E217,1),"")</f>
        <v>P</v>
      </c>
      <c r="E217" s="3">
        <v>36</v>
      </c>
      <c r="F217" s="3" t="str">
        <f>IFERROR(MID(VLOOKUP($B217,Seqs!$A:$B,2,0),G217,1),"")</f>
        <v>Q</v>
      </c>
      <c r="G217" s="3">
        <v>68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V</v>
      </c>
      <c r="M217" s="3">
        <v>74</v>
      </c>
      <c r="N217" s="3" t="str">
        <f>IFERROR(MID(VLOOKUP($B217,Seqs!$A:$B,2,0),O217,1),"")</f>
        <v>D</v>
      </c>
      <c r="O217" s="3">
        <v>104</v>
      </c>
      <c r="P217" s="3" t="str">
        <f>IFERROR(MID(VLOOKUP($B217,Seqs!$A:$B,2,0),Q217,1),"")</f>
        <v>W</v>
      </c>
      <c r="Q217" s="3">
        <v>106</v>
      </c>
      <c r="R217" s="3" t="str">
        <f>IFERROR(MID(VLOOKUP($B217,Seqs!$A:$B,2,0),S217,1),"")</f>
        <v>F</v>
      </c>
      <c r="S217" s="3">
        <v>108</v>
      </c>
      <c r="T217" s="3" t="str">
        <f>IFERROR(MID(VLOOKUP($B217,Seqs!$A:$B,2,0),U217,1),"")</f>
        <v>G</v>
      </c>
      <c r="U217" s="3">
        <v>109</v>
      </c>
      <c r="V217" s="3" t="str">
        <f>IFERROR(MID(VLOOKUP($B217,Seqs!$A:$B,2,0),W217,1),"")</f>
        <v>I</v>
      </c>
      <c r="W217" s="3">
        <v>143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N</v>
      </c>
      <c r="AC217" s="3">
        <v>151</v>
      </c>
      <c r="AD217" s="3" t="str">
        <f>IFERROR(MID(VLOOKUP($B217,Seqs!$A:$B,2,0),AE217,1),"")</f>
        <v>Q</v>
      </c>
      <c r="AE217" s="3">
        <v>177</v>
      </c>
      <c r="AF217" s="3" t="str">
        <f>IFERROR(MID(VLOOKUP($B217,Seqs!$A:$B,2,0),AG217,1),"")</f>
        <v>C</v>
      </c>
      <c r="AG217" s="3">
        <v>198</v>
      </c>
      <c r="AH217" s="3" t="str">
        <f>IFERROR(MID(VLOOKUP($B217,Seqs!$A:$B,2,0),AI217,1),"")</f>
        <v>D</v>
      </c>
      <c r="AI217" s="3">
        <v>200</v>
      </c>
      <c r="AJ217" s="3" t="str">
        <f>IFERROR(MID(VLOOKUP($B217,Seqs!$A:$B,2,0),AK217,1),"")</f>
        <v>S</v>
      </c>
      <c r="AK217" s="3">
        <v>204</v>
      </c>
      <c r="AL217" s="3" t="str">
        <f>IFERROR(MID(VLOOKUP($B217,Seqs!$A:$B,2,0),AM217,1),"")</f>
        <v>R</v>
      </c>
      <c r="AM217" s="3">
        <v>241</v>
      </c>
      <c r="AN217" s="3" t="str">
        <f>IFERROR(MID(VLOOKUP($B217,Seqs!$A:$B,2,0),AO217,1),"")</f>
        <v>T</v>
      </c>
      <c r="AO217" s="3">
        <v>258</v>
      </c>
      <c r="AP217" s="3" t="str">
        <f>IFERROR(MID(VLOOKUP($B217,Seqs!$A:$B,2,0),AQ217,1),"")</f>
        <v>N</v>
      </c>
      <c r="AQ217" s="3">
        <v>289</v>
      </c>
      <c r="AR217" s="3" t="str">
        <f>IFERROR(MID(VLOOKUP($B217,Seqs!$A:$B,2,0),AS217,1),"")</f>
        <v>T</v>
      </c>
      <c r="AS217" s="3">
        <v>295</v>
      </c>
      <c r="AT217" s="3" t="str">
        <f>IFERROR(MID(VLOOKUP($B217,Seqs!$A:$B,2,0),AU217,1),"")</f>
        <v>L</v>
      </c>
      <c r="AU217" s="3">
        <v>323</v>
      </c>
      <c r="AV217" s="3" t="str">
        <f>IFERROR(MID(VLOOKUP($B217,Seqs!$A:$B,2,0),AW217,1),"")</f>
        <v>N</v>
      </c>
      <c r="AW217" s="3">
        <v>324</v>
      </c>
      <c r="AX217" s="3" t="str">
        <f>IFERROR(MID(VLOOKUP($B217,Seqs!$A:$B,2,0),AY217,1),"")</f>
        <v>F</v>
      </c>
      <c r="AY217" s="3">
        <v>335</v>
      </c>
      <c r="AZ217" s="77" t="str">
        <f>VLOOKUP(B217,Classification!A:D,2,0)</f>
        <v>A</v>
      </c>
      <c r="BA217" s="94" t="str">
        <f>VLOOKUP(B217,Classification!A:D,4,0)</f>
        <v>NeuropeptideY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245</v>
      </c>
      <c r="BD217" s="5" t="s">
        <v>23</v>
      </c>
      <c r="BE217" s="3" t="s">
        <v>1375</v>
      </c>
      <c r="BF217" s="119">
        <v>2.7</v>
      </c>
      <c r="BG217" s="49" t="s">
        <v>1</v>
      </c>
      <c r="BH217" s="49" t="s">
        <v>1</v>
      </c>
      <c r="BI217" s="1"/>
      <c r="BJ217" s="70" t="s">
        <v>1288</v>
      </c>
      <c r="BK217" s="57" t="s">
        <v>1288</v>
      </c>
      <c r="BL217" s="57" t="s">
        <v>1288</v>
      </c>
      <c r="BM217" s="57" t="s">
        <v>1288</v>
      </c>
      <c r="BN217" s="57" t="s">
        <v>1288</v>
      </c>
      <c r="BO217" s="57" t="s">
        <v>1288</v>
      </c>
      <c r="BP217" s="57" t="s">
        <v>1288</v>
      </c>
      <c r="BQ217" s="57" t="s">
        <v>1288</v>
      </c>
      <c r="BR217" s="57" t="s">
        <v>1288</v>
      </c>
      <c r="BS217" s="57" t="s">
        <v>1288</v>
      </c>
      <c r="BT217" s="57" t="s">
        <v>1288</v>
      </c>
      <c r="BU217" s="57" t="s">
        <v>1288</v>
      </c>
      <c r="BV217" s="70">
        <f>E217</f>
        <v>36</v>
      </c>
      <c r="BW217" s="71" t="str">
        <f>I217</f>
        <v>-</v>
      </c>
      <c r="BX217" s="72">
        <f>M217</f>
        <v>74</v>
      </c>
      <c r="BY217" s="71">
        <f>Q217</f>
        <v>106</v>
      </c>
      <c r="BZ217" s="72">
        <f>U217</f>
        <v>109</v>
      </c>
      <c r="CA217" s="71" t="str">
        <f>Y217</f>
        <v>-</v>
      </c>
      <c r="CB217" s="72">
        <f>AC217</f>
        <v>151</v>
      </c>
      <c r="CC217" s="71">
        <f>AG217</f>
        <v>198</v>
      </c>
      <c r="CD217" s="72">
        <f>AK217</f>
        <v>204</v>
      </c>
      <c r="CE217" s="71">
        <f>AO217</f>
        <v>258</v>
      </c>
      <c r="CF217" s="72">
        <f>AS217</f>
        <v>295</v>
      </c>
      <c r="CG217" s="71">
        <f>AW217</f>
        <v>324</v>
      </c>
      <c r="CH217" s="70">
        <f>G217</f>
        <v>68</v>
      </c>
      <c r="CI217" s="71" t="str">
        <f>K217</f>
        <v>-</v>
      </c>
      <c r="CJ217" s="72">
        <f>O217</f>
        <v>104</v>
      </c>
      <c r="CK217" s="72">
        <f>S217</f>
        <v>108</v>
      </c>
      <c r="CL217" s="72">
        <f>W217</f>
        <v>143</v>
      </c>
      <c r="CM217" s="72" t="str">
        <f>AA217</f>
        <v>-</v>
      </c>
      <c r="CN217" s="72">
        <f>AE217</f>
        <v>177</v>
      </c>
      <c r="CO217" s="72">
        <f>AI217</f>
        <v>200</v>
      </c>
      <c r="CP217" s="72">
        <f>AM217</f>
        <v>241</v>
      </c>
      <c r="CQ217" s="72">
        <f>AQ217</f>
        <v>289</v>
      </c>
      <c r="CR217" s="72">
        <f>AU217</f>
        <v>323</v>
      </c>
      <c r="CS217" s="72">
        <f>AY217</f>
        <v>335</v>
      </c>
      <c r="CT217" s="23" t="e">
        <f>M217-K217</f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 t="shared" si="1033"/>
        <v>ntr1_rat__wt</v>
      </c>
      <c r="B218" s="3" t="s">
        <v>914</v>
      </c>
      <c r="C218" s="3" t="s">
        <v>100</v>
      </c>
      <c r="D218" s="3" t="str">
        <f>IFERROR(MID(VLOOKUP($B218,Seqs!$A:$B,2,0),E218,1),"")</f>
        <v>I</v>
      </c>
      <c r="E218" s="3">
        <v>61</v>
      </c>
      <c r="F218" s="3" t="str">
        <f>IFERROR(MID(VLOOKUP($B218,Seqs!$A:$B,2,0),G218,1),"")</f>
        <v>K</v>
      </c>
      <c r="G218" s="3">
        <v>92</v>
      </c>
      <c r="H218" s="3" t="str">
        <f>IFERROR(MID(VLOOKUP($B218,Seqs!$A:$B,2,0),I218,1),"")</f>
        <v>K</v>
      </c>
      <c r="I218" s="23">
        <v>93</v>
      </c>
      <c r="J218" s="3" t="str">
        <f>IFERROR(MID(VLOOKUP($B218,Seqs!$A:$B,2,0),K218,1),"")</f>
        <v>Q</v>
      </c>
      <c r="K218" s="23">
        <v>96</v>
      </c>
      <c r="L218" s="3" t="str">
        <f>IFERROR(MID(VLOOKUP($B218,Seqs!$A:$B,2,0),M218,1),"")</f>
        <v>S</v>
      </c>
      <c r="M218" s="3">
        <v>97</v>
      </c>
      <c r="N218" s="3" t="str">
        <f>IFERROR(MID(VLOOKUP($B218,Seqs!$A:$B,2,0),O218,1),"")</f>
        <v>V</v>
      </c>
      <c r="O218" s="3">
        <v>131</v>
      </c>
      <c r="P218" s="3" t="str">
        <f>IFERROR(MID(VLOOKUP($B218,Seqs!$A:$B,2,0),Q218,1),"")</f>
        <v>P</v>
      </c>
      <c r="Q218" s="3">
        <v>134</v>
      </c>
      <c r="R218" s="3" t="str">
        <f>IFERROR(MID(VLOOKUP($B218,Seqs!$A:$B,2,0),S218,1),"")</f>
        <v>F</v>
      </c>
      <c r="S218" s="3">
        <v>137</v>
      </c>
      <c r="T218" s="3" t="str">
        <f>IFERROR(MID(VLOOKUP($B218,Seqs!$A:$B,2,0),U218,1),"")</f>
        <v>G</v>
      </c>
      <c r="U218" s="3">
        <v>138</v>
      </c>
      <c r="V218" s="3" t="str">
        <f>IFERROR(MID(VLOOKUP($B218,Seqs!$A:$B,2,0),W218,1),"")</f>
        <v>H</v>
      </c>
      <c r="W218" s="3">
        <v>173</v>
      </c>
      <c r="X218" s="3" t="str">
        <f>IFERROR(MID(VLOOKUP($B218,Seqs!$A:$B,2,0),Y218,1),"")</f>
        <v>P</v>
      </c>
      <c r="Y218" s="3">
        <v>174</v>
      </c>
      <c r="Z218" s="3" t="str">
        <f>IFERROR(MID(VLOOKUP($B218,Seqs!$A:$B,2,0),AA218,1),"")</f>
        <v>M</v>
      </c>
      <c r="AA218" s="3">
        <v>181</v>
      </c>
      <c r="AB218" s="3" t="str">
        <f>IFERROR(MID(VLOOKUP($B218,Seqs!$A:$B,2,0),AC218,1),"")</f>
        <v>S</v>
      </c>
      <c r="AC218" s="9">
        <v>182</v>
      </c>
      <c r="AD218" s="3" t="str">
        <f>IFERROR(MID(VLOOKUP($B218,Seqs!$A:$B,2,0),AE218,1),"")</f>
        <v>M</v>
      </c>
      <c r="AE218" s="3">
        <v>208</v>
      </c>
      <c r="AF218" s="3" t="str">
        <f>IFERROR(MID(VLOOKUP($B218,Seqs!$A:$B,2,0),AG218,1),"")</f>
        <v>C</v>
      </c>
      <c r="AG218" s="3">
        <v>225</v>
      </c>
      <c r="AH218" s="3" t="str">
        <f>IFERROR(MID(VLOOKUP($B218,Seqs!$A:$B,2,0),AI218,1),"")</f>
        <v>P</v>
      </c>
      <c r="AI218" s="3">
        <v>227</v>
      </c>
      <c r="AJ218" s="3" t="str">
        <f>IFERROR(MID(VLOOKUP($B218,Seqs!$A:$B,2,0),AK218,1),"")</f>
        <v>T</v>
      </c>
      <c r="AK218" s="3">
        <v>231</v>
      </c>
      <c r="AL218" s="3" t="str">
        <f>IFERROR(MID(VLOOKUP($B218,Seqs!$A:$B,2,0),AM218,1),"")</f>
        <v>G</v>
      </c>
      <c r="AM218" s="3">
        <v>275</v>
      </c>
      <c r="AN218" s="3" t="str">
        <f>IFERROR(MID(VLOOKUP($B218,Seqs!$A:$B,2,0),AO218,1),"")</f>
        <v>P</v>
      </c>
      <c r="AO218" s="3">
        <v>297</v>
      </c>
      <c r="AP218" s="3" t="str">
        <f>IFERROR(MID(VLOOKUP($B218,Seqs!$A:$B,2,0),AQ218,1),"")</f>
        <v>I</v>
      </c>
      <c r="AQ218" s="3">
        <v>334</v>
      </c>
      <c r="AR218" s="3" t="str">
        <f>IFERROR(MID(VLOOKUP($B218,Seqs!$A:$B,2,0),AS218,1),"")</f>
        <v>T</v>
      </c>
      <c r="AS218" s="3">
        <v>340</v>
      </c>
      <c r="AT218" s="3" t="str">
        <f>IFERROR(MID(VLOOKUP($B218,Seqs!$A:$B,2,0),AU218,1),"")</f>
        <v>V</v>
      </c>
      <c r="AU218" s="3">
        <v>372</v>
      </c>
      <c r="AV218" s="3" t="str">
        <f>IFERROR(MID(VLOOKUP($B218,Seqs!$A:$B,2,0),AW218,1),"")</f>
        <v>S</v>
      </c>
      <c r="AW218" s="3">
        <v>373</v>
      </c>
      <c r="AX218" s="3" t="str">
        <f>IFERROR(MID(VLOOKUP($B218,Seqs!$A:$B,2,0),AY218,1),"")</f>
        <v>L</v>
      </c>
      <c r="AY218" s="3">
        <v>384</v>
      </c>
      <c r="AZ218" s="77" t="str">
        <f>VLOOKUP(B218,Classification!A:D,2,0)</f>
        <v>A</v>
      </c>
      <c r="BA218" s="94" t="str">
        <f>VLOOKUP(B218,Classification!A:D,4,0)</f>
        <v>Neurotensin</v>
      </c>
      <c r="BB218" s="27" t="b">
        <f t="shared" si="1034"/>
        <v>1</v>
      </c>
      <c r="BC218" s="23">
        <f t="shared" si="1007"/>
        <v>277</v>
      </c>
      <c r="BD218" s="56" t="s">
        <v>23</v>
      </c>
      <c r="BE218" s="3" t="s">
        <v>23</v>
      </c>
      <c r="BF218" s="119" t="s">
        <v>23</v>
      </c>
      <c r="BG218" s="49" t="s">
        <v>1373</v>
      </c>
      <c r="BH218" s="49" t="s">
        <v>1378</v>
      </c>
      <c r="BI218" s="3" t="s">
        <v>1170</v>
      </c>
      <c r="BJ218" s="70" t="s">
        <v>1288</v>
      </c>
      <c r="BK218" s="57" t="s">
        <v>1288</v>
      </c>
      <c r="BL218" s="57" t="s">
        <v>1288</v>
      </c>
      <c r="BM218" s="57" t="s">
        <v>1288</v>
      </c>
      <c r="BN218" s="57" t="s">
        <v>1288</v>
      </c>
      <c r="BO218" s="57" t="s">
        <v>1288</v>
      </c>
      <c r="BP218" s="57" t="s">
        <v>1288</v>
      </c>
      <c r="BQ218" s="57" t="s">
        <v>1288</v>
      </c>
      <c r="BR218" s="57" t="s">
        <v>1288</v>
      </c>
      <c r="BS218" s="57" t="s">
        <v>1288</v>
      </c>
      <c r="BT218" s="57" t="s">
        <v>1288</v>
      </c>
      <c r="BU218" s="57" t="s">
        <v>1288</v>
      </c>
      <c r="BV218" s="70">
        <f t="shared" si="1008"/>
        <v>61</v>
      </c>
      <c r="BW218" s="71">
        <f t="shared" si="1009"/>
        <v>93</v>
      </c>
      <c r="BX218" s="72">
        <f t="shared" si="1010"/>
        <v>97</v>
      </c>
      <c r="BY218" s="71">
        <f t="shared" si="1011"/>
        <v>134</v>
      </c>
      <c r="BZ218" s="72">
        <f t="shared" si="1012"/>
        <v>138</v>
      </c>
      <c r="CA218" s="71">
        <f t="shared" si="1013"/>
        <v>174</v>
      </c>
      <c r="CB218" s="72">
        <f t="shared" si="1014"/>
        <v>182</v>
      </c>
      <c r="CC218" s="71">
        <f t="shared" si="1015"/>
        <v>225</v>
      </c>
      <c r="CD218" s="72">
        <f t="shared" si="1016"/>
        <v>231</v>
      </c>
      <c r="CE218" s="71">
        <f t="shared" si="1017"/>
        <v>297</v>
      </c>
      <c r="CF218" s="72">
        <f t="shared" si="1018"/>
        <v>340</v>
      </c>
      <c r="CG218" s="71">
        <f t="shared" si="1019"/>
        <v>373</v>
      </c>
      <c r="CH218" s="70">
        <f t="shared" si="1020"/>
        <v>92</v>
      </c>
      <c r="CI218" s="71">
        <f t="shared" si="1021"/>
        <v>96</v>
      </c>
      <c r="CJ218" s="72">
        <f t="shared" si="1022"/>
        <v>131</v>
      </c>
      <c r="CK218" s="72">
        <f t="shared" si="1023"/>
        <v>137</v>
      </c>
      <c r="CL218" s="72">
        <f t="shared" si="1024"/>
        <v>173</v>
      </c>
      <c r="CM218" s="72">
        <f t="shared" si="1025"/>
        <v>181</v>
      </c>
      <c r="CN218" s="72">
        <f t="shared" si="1026"/>
        <v>208</v>
      </c>
      <c r="CO218" s="72">
        <f t="shared" si="1027"/>
        <v>227</v>
      </c>
      <c r="CP218" s="72">
        <f t="shared" si="1028"/>
        <v>275</v>
      </c>
      <c r="CQ218" s="72">
        <f t="shared" si="1029"/>
        <v>334</v>
      </c>
      <c r="CR218" s="72">
        <f t="shared" si="1030"/>
        <v>372</v>
      </c>
      <c r="CS218" s="72">
        <f t="shared" si="1031"/>
        <v>384</v>
      </c>
      <c r="CT218" s="23">
        <f t="shared" si="1032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 t="shared" si="1033"/>
        <v>ntr1_rat_4BUO</v>
      </c>
      <c r="B219" s="3" t="s">
        <v>914</v>
      </c>
      <c r="C219" s="3" t="s">
        <v>1333</v>
      </c>
      <c r="D219" s="3" t="str">
        <f>IFERROR(MID(VLOOKUP($B219,Seqs!$A:$B,2,0),E219,1),"")</f>
        <v>I</v>
      </c>
      <c r="E219" s="3">
        <v>61</v>
      </c>
      <c r="F219" s="3" t="str">
        <f>IFERROR(MID(VLOOKUP($B219,Seqs!$A:$B,2,0),G219,1),"")</f>
        <v>R</v>
      </c>
      <c r="G219" s="3">
        <v>91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S</v>
      </c>
      <c r="M219" s="3">
        <v>97</v>
      </c>
      <c r="N219" s="3" t="str">
        <f>IFERROR(MID(VLOOKUP($B219,Seqs!$A:$B,2,0),O219,1),"")</f>
        <v>V</v>
      </c>
      <c r="O219" s="3">
        <v>131</v>
      </c>
      <c r="P219" s="3" t="str">
        <f>IFERROR(MID(VLOOKUP($B219,Seqs!$A:$B,2,0),Q219,1),"")</f>
        <v>P</v>
      </c>
      <c r="Q219" s="3">
        <v>134</v>
      </c>
      <c r="R219" s="3" t="str">
        <f>IFERROR(MID(VLOOKUP($B219,Seqs!$A:$B,2,0),S219,1),"")</f>
        <v>F</v>
      </c>
      <c r="S219" s="3">
        <v>137</v>
      </c>
      <c r="T219" s="3" t="str">
        <f>IFERROR(MID(VLOOKUP($B219,Seqs!$A:$B,2,0),U219,1),"")</f>
        <v>G</v>
      </c>
      <c r="U219" s="3">
        <v>138</v>
      </c>
      <c r="V219" s="3" t="str">
        <f>IFERROR(MID(VLOOKUP($B219,Seqs!$A:$B,2,0),W219,1),"")</f>
        <v>H</v>
      </c>
      <c r="W219" s="3">
        <v>173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S</v>
      </c>
      <c r="AC219" s="9">
        <v>182</v>
      </c>
      <c r="AD219" s="3" t="str">
        <f>IFERROR(MID(VLOOKUP($B219,Seqs!$A:$B,2,0),AE219,1),"")</f>
        <v>M</v>
      </c>
      <c r="AE219" s="3">
        <v>208</v>
      </c>
      <c r="AF219" s="3" t="str">
        <f>IFERROR(MID(VLOOKUP($B219,Seqs!$A:$B,2,0),AG219,1),"")</f>
        <v>C</v>
      </c>
      <c r="AG219" s="3">
        <v>225</v>
      </c>
      <c r="AH219" s="3" t="str">
        <f>IFERROR(MID(VLOOKUP($B219,Seqs!$A:$B,2,0),AI219,1),"")</f>
        <v>P</v>
      </c>
      <c r="AI219" s="3">
        <v>227</v>
      </c>
      <c r="AJ219" s="3" t="str">
        <f>IFERROR(MID(VLOOKUP($B219,Seqs!$A:$B,2,0),AK219,1),"")</f>
        <v>T</v>
      </c>
      <c r="AK219" s="3">
        <v>231</v>
      </c>
      <c r="AL219" s="3" t="str">
        <f>IFERROR(MID(VLOOKUP($B219,Seqs!$A:$B,2,0),AM219,1),"")</f>
        <v>Q</v>
      </c>
      <c r="AM219" s="3">
        <v>270</v>
      </c>
      <c r="AN219" s="3" t="str">
        <f>IFERROR(MID(VLOOKUP($B219,Seqs!$A:$B,2,0),AO219,1),"")</f>
        <v>G</v>
      </c>
      <c r="AO219" s="3">
        <v>298</v>
      </c>
      <c r="AP219" s="3" t="str">
        <f>IFERROR(MID(VLOOKUP($B219,Seqs!$A:$B,2,0),AQ219,1),"")</f>
        <v>I</v>
      </c>
      <c r="AQ219" s="3">
        <v>334</v>
      </c>
      <c r="AR219" s="3" t="str">
        <f>IFERROR(MID(VLOOKUP($B219,Seqs!$A:$B,2,0),AS219,1),"")</f>
        <v>T</v>
      </c>
      <c r="AS219" s="3">
        <v>340</v>
      </c>
      <c r="AT219" s="3" t="str">
        <f>IFERROR(MID(VLOOKUP($B219,Seqs!$A:$B,2,0),AU219,1),"")</f>
        <v>V</v>
      </c>
      <c r="AU219" s="3">
        <v>372</v>
      </c>
      <c r="AV219" s="3" t="str">
        <f>IFERROR(MID(VLOOKUP($B219,Seqs!$A:$B,2,0),AW219,1),"")</f>
        <v>S</v>
      </c>
      <c r="AW219" s="3">
        <v>373</v>
      </c>
      <c r="AX219" s="3" t="str">
        <f>IFERROR(MID(VLOOKUP($B219,Seqs!$A:$B,2,0),AY219,1),"")</f>
        <v>L</v>
      </c>
      <c r="AY219" s="3">
        <v>384</v>
      </c>
      <c r="AZ219" s="77" t="str">
        <f>VLOOKUP(B219,Classification!A:D,2,0)</f>
        <v>A</v>
      </c>
      <c r="BA219" s="94" t="str">
        <f>VLOOKUP(B219,Classification!A:D,4,0)</f>
        <v>Neurotensin</v>
      </c>
      <c r="BB219" s="27" t="b">
        <f t="shared" si="1034"/>
        <v>1</v>
      </c>
      <c r="BC219" s="23">
        <f t="shared" si="1007"/>
        <v>260</v>
      </c>
      <c r="BD219" s="16" t="s">
        <v>1377</v>
      </c>
      <c r="BE219" s="3" t="s">
        <v>1375</v>
      </c>
      <c r="BF219" s="119">
        <v>2.75</v>
      </c>
      <c r="BG219" s="49" t="s">
        <v>1378</v>
      </c>
      <c r="BH219" s="49" t="s">
        <v>1378</v>
      </c>
      <c r="BI219" s="1"/>
      <c r="BJ219" s="70" t="s">
        <v>1288</v>
      </c>
      <c r="BK219" s="57" t="s">
        <v>1288</v>
      </c>
      <c r="BL219" s="57" t="s">
        <v>1288</v>
      </c>
      <c r="BM219" s="57" t="s">
        <v>1288</v>
      </c>
      <c r="BN219" s="57" t="s">
        <v>1288</v>
      </c>
      <c r="BO219" s="57" t="s">
        <v>1288</v>
      </c>
      <c r="BP219" s="57" t="s">
        <v>1288</v>
      </c>
      <c r="BQ219" s="57" t="s">
        <v>1288</v>
      </c>
      <c r="BR219" s="57" t="s">
        <v>1288</v>
      </c>
      <c r="BS219" s="57" t="s">
        <v>1288</v>
      </c>
      <c r="BT219" s="57" t="s">
        <v>1288</v>
      </c>
      <c r="BU219" s="57" t="s">
        <v>1288</v>
      </c>
      <c r="BV219" s="70">
        <f t="shared" si="1008"/>
        <v>61</v>
      </c>
      <c r="BW219" s="71" t="str">
        <f t="shared" si="1009"/>
        <v>-</v>
      </c>
      <c r="BX219" s="72">
        <f t="shared" si="1010"/>
        <v>97</v>
      </c>
      <c r="BY219" s="71">
        <f t="shared" si="1011"/>
        <v>134</v>
      </c>
      <c r="BZ219" s="72">
        <f t="shared" si="1012"/>
        <v>138</v>
      </c>
      <c r="CA219" s="71" t="str">
        <f t="shared" si="1013"/>
        <v>-</v>
      </c>
      <c r="CB219" s="72">
        <f t="shared" si="1014"/>
        <v>182</v>
      </c>
      <c r="CC219" s="71">
        <f t="shared" si="1015"/>
        <v>225</v>
      </c>
      <c r="CD219" s="72">
        <f t="shared" si="1016"/>
        <v>231</v>
      </c>
      <c r="CE219" s="71">
        <f t="shared" si="1017"/>
        <v>298</v>
      </c>
      <c r="CF219" s="72">
        <f t="shared" si="1018"/>
        <v>340</v>
      </c>
      <c r="CG219" s="71">
        <f t="shared" si="1019"/>
        <v>373</v>
      </c>
      <c r="CH219" s="70">
        <f t="shared" si="1020"/>
        <v>91</v>
      </c>
      <c r="CI219" s="71" t="str">
        <f t="shared" si="1021"/>
        <v>-</v>
      </c>
      <c r="CJ219" s="72">
        <f t="shared" si="1022"/>
        <v>131</v>
      </c>
      <c r="CK219" s="72">
        <f t="shared" si="1023"/>
        <v>137</v>
      </c>
      <c r="CL219" s="72">
        <f t="shared" si="1024"/>
        <v>173</v>
      </c>
      <c r="CM219" s="72" t="str">
        <f t="shared" si="1025"/>
        <v>-</v>
      </c>
      <c r="CN219" s="72">
        <f t="shared" si="1026"/>
        <v>208</v>
      </c>
      <c r="CO219" s="72">
        <f t="shared" si="1027"/>
        <v>227</v>
      </c>
      <c r="CP219" s="72">
        <f t="shared" si="1028"/>
        <v>270</v>
      </c>
      <c r="CQ219" s="72">
        <f t="shared" si="1029"/>
        <v>334</v>
      </c>
      <c r="CR219" s="72">
        <f t="shared" si="1030"/>
        <v>372</v>
      </c>
      <c r="CS219" s="72">
        <f t="shared" si="1031"/>
        <v>384</v>
      </c>
      <c r="CT219" s="23" t="e">
        <f t="shared" si="1032"/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si="1033"/>
        <v>ntr1_rat_4GRV</v>
      </c>
      <c r="B220" s="3" t="s">
        <v>914</v>
      </c>
      <c r="C220" s="3" t="s">
        <v>50</v>
      </c>
      <c r="D220" s="3" t="str">
        <f>IFERROR(MID(VLOOKUP($B220,Seqs!$A:$B,2,0),E220,1),"")</f>
        <v>I</v>
      </c>
      <c r="E220" s="3">
        <v>61</v>
      </c>
      <c r="F220" s="3" t="str">
        <f>IFERROR(MID(VLOOKUP($B220,Seqs!$A:$B,2,0),G220,1),"")</f>
        <v>T</v>
      </c>
      <c r="G220" s="3">
        <v>88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Q</v>
      </c>
      <c r="M220" s="3">
        <v>99</v>
      </c>
      <c r="N220" s="3" t="str">
        <f>IFERROR(MID(VLOOKUP($B220,Seqs!$A:$B,2,0),O220,1),"")</f>
        <v>V</v>
      </c>
      <c r="O220" s="3">
        <v>131</v>
      </c>
      <c r="P220" s="3" t="str">
        <f>IFERROR(MID(VLOOKUP($B220,Seqs!$A:$B,2,0),Q220,1),"")</f>
        <v>P</v>
      </c>
      <c r="Q220" s="3">
        <v>134</v>
      </c>
      <c r="R220" s="3" t="str">
        <f>IFERROR(MID(VLOOKUP($B220,Seqs!$A:$B,2,0),S220,1),"")</f>
        <v>F</v>
      </c>
      <c r="S220" s="3">
        <v>137</v>
      </c>
      <c r="T220" s="3" t="str">
        <f>IFERROR(MID(VLOOKUP($B220,Seqs!$A:$B,2,0),U220,1),"")</f>
        <v>G</v>
      </c>
      <c r="U220" s="3">
        <v>138</v>
      </c>
      <c r="V220" s="3" t="str">
        <f>IFERROR(MID(VLOOKUP($B220,Seqs!$A:$B,2,0),W220,1),"")</f>
        <v>H</v>
      </c>
      <c r="W220" s="3">
        <v>173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T</v>
      </c>
      <c r="AC220" s="9">
        <v>186</v>
      </c>
      <c r="AD220" s="3" t="str">
        <f>IFERROR(MID(VLOOKUP($B220,Seqs!$A:$B,2,0),AE220,1),"")</f>
        <v>M</v>
      </c>
      <c r="AE220" s="3">
        <v>208</v>
      </c>
      <c r="AF220" s="3" t="str">
        <f>IFERROR(MID(VLOOKUP($B220,Seqs!$A:$B,2,0),AG220,1),"")</f>
        <v>C</v>
      </c>
      <c r="AG220" s="3">
        <v>225</v>
      </c>
      <c r="AH220" s="3" t="str">
        <f>IFERROR(MID(VLOOKUP($B220,Seqs!$A:$B,2,0),AI220,1),"")</f>
        <v>P</v>
      </c>
      <c r="AI220" s="3">
        <v>227</v>
      </c>
      <c r="AJ220" s="3" t="str">
        <f>IFERROR(MID(VLOOKUP($B220,Seqs!$A:$B,2,0),AK220,1),"")</f>
        <v>T</v>
      </c>
      <c r="AK220" s="3">
        <v>231</v>
      </c>
      <c r="AL220" s="3" t="str">
        <f>IFERROR(MID(VLOOKUP($B220,Seqs!$A:$B,2,0),AM220,1),"")</f>
        <v>T</v>
      </c>
      <c r="AM220" s="3">
        <v>265</v>
      </c>
      <c r="AN220" s="3" t="str">
        <f>IFERROR(MID(VLOOKUP($B220,Seqs!$A:$B,2,0),AO220,1),"")</f>
        <v>A</v>
      </c>
      <c r="AO220" s="3">
        <v>302</v>
      </c>
      <c r="AP220" s="3" t="str">
        <f>IFERROR(MID(VLOOKUP($B220,Seqs!$A:$B,2,0),AQ220,1),"")</f>
        <v>I</v>
      </c>
      <c r="AQ220" s="3">
        <v>334</v>
      </c>
      <c r="AR220" s="3" t="str">
        <f>IFERROR(MID(VLOOKUP($B220,Seqs!$A:$B,2,0),AS220,1),"")</f>
        <v>T</v>
      </c>
      <c r="AS220" s="3">
        <v>340</v>
      </c>
      <c r="AT220" s="3" t="str">
        <f>IFERROR(MID(VLOOKUP($B220,Seqs!$A:$B,2,0),AU220,1),"")</f>
        <v>S</v>
      </c>
      <c r="AU220" s="3">
        <v>361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7" t="str">
        <f>VLOOKUP(B220,Classification!A:D,2,0)</f>
        <v>A</v>
      </c>
      <c r="BA220" s="94" t="str">
        <f>VLOOKUP(B220,Classification!A:D,4,0)</f>
        <v>Neurotensin</v>
      </c>
      <c r="BB220" s="27" t="b">
        <f t="shared" si="1034"/>
        <v>1</v>
      </c>
      <c r="BC220" s="23">
        <f t="shared" si="1007"/>
        <v>220</v>
      </c>
      <c r="BD220" s="5" t="s">
        <v>23</v>
      </c>
      <c r="BE220" s="3" t="s">
        <v>1429</v>
      </c>
      <c r="BF220" s="119">
        <v>2.8</v>
      </c>
      <c r="BG220" s="49" t="s">
        <v>1378</v>
      </c>
      <c r="BH220" s="49" t="s">
        <v>1378</v>
      </c>
      <c r="BI220" s="1"/>
      <c r="BJ220" s="70" t="s">
        <v>1288</v>
      </c>
      <c r="BK220" s="57" t="s">
        <v>1288</v>
      </c>
      <c r="BL220" s="57" t="s">
        <v>1288</v>
      </c>
      <c r="BM220" s="57" t="s">
        <v>1288</v>
      </c>
      <c r="BN220" s="57" t="s">
        <v>1288</v>
      </c>
      <c r="BO220" s="57" t="s">
        <v>1288</v>
      </c>
      <c r="BP220" s="57" t="s">
        <v>1288</v>
      </c>
      <c r="BQ220" s="57" t="s">
        <v>1288</v>
      </c>
      <c r="BR220" s="57" t="s">
        <v>1288</v>
      </c>
      <c r="BS220" s="57" t="s">
        <v>1288</v>
      </c>
      <c r="BT220" s="57" t="s">
        <v>1288</v>
      </c>
      <c r="BU220" s="57" t="s">
        <v>1288</v>
      </c>
      <c r="BV220" s="70">
        <f t="shared" si="1008"/>
        <v>61</v>
      </c>
      <c r="BW220" s="71" t="str">
        <f t="shared" si="1009"/>
        <v>-</v>
      </c>
      <c r="BX220" s="72">
        <f t="shared" si="1010"/>
        <v>99</v>
      </c>
      <c r="BY220" s="71">
        <f t="shared" si="1011"/>
        <v>134</v>
      </c>
      <c r="BZ220" s="72">
        <f t="shared" si="1012"/>
        <v>138</v>
      </c>
      <c r="CA220" s="71" t="str">
        <f t="shared" si="1013"/>
        <v>-</v>
      </c>
      <c r="CB220" s="72">
        <f t="shared" si="1014"/>
        <v>186</v>
      </c>
      <c r="CC220" s="71">
        <f t="shared" si="1015"/>
        <v>225</v>
      </c>
      <c r="CD220" s="72">
        <f t="shared" si="1016"/>
        <v>231</v>
      </c>
      <c r="CE220" s="71">
        <f t="shared" si="1017"/>
        <v>302</v>
      </c>
      <c r="CF220" s="72">
        <f t="shared" si="1018"/>
        <v>340</v>
      </c>
      <c r="CG220" s="71" t="str">
        <f t="shared" si="1019"/>
        <v>-</v>
      </c>
      <c r="CH220" s="70">
        <f t="shared" si="1020"/>
        <v>88</v>
      </c>
      <c r="CI220" s="71" t="str">
        <f t="shared" si="1021"/>
        <v>-</v>
      </c>
      <c r="CJ220" s="72">
        <f t="shared" si="1022"/>
        <v>131</v>
      </c>
      <c r="CK220" s="72">
        <f t="shared" si="1023"/>
        <v>137</v>
      </c>
      <c r="CL220" s="72">
        <f t="shared" si="1024"/>
        <v>173</v>
      </c>
      <c r="CM220" s="72" t="str">
        <f t="shared" si="1025"/>
        <v>-</v>
      </c>
      <c r="CN220" s="72">
        <f t="shared" si="1026"/>
        <v>208</v>
      </c>
      <c r="CO220" s="72">
        <f t="shared" si="1027"/>
        <v>227</v>
      </c>
      <c r="CP220" s="72">
        <f t="shared" si="1028"/>
        <v>265</v>
      </c>
      <c r="CQ220" s="72">
        <f t="shared" si="1029"/>
        <v>334</v>
      </c>
      <c r="CR220" s="72">
        <f t="shared" si="1030"/>
        <v>361</v>
      </c>
      <c r="CS220" s="72" t="str">
        <f t="shared" si="1031"/>
        <v>-</v>
      </c>
      <c r="CT220" s="23" t="e">
        <f t="shared" si="1032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si="1033"/>
        <v>ntr1_rat_4XEE</v>
      </c>
      <c r="B221" s="3" t="s">
        <v>914</v>
      </c>
      <c r="C221" s="3" t="s">
        <v>1351</v>
      </c>
      <c r="D221" s="3" t="str">
        <f>IFERROR(MID(VLOOKUP($B221,Seqs!$A:$B,2,0),E221,1),"")</f>
        <v>I</v>
      </c>
      <c r="E221" s="3">
        <v>61</v>
      </c>
      <c r="F221" s="3" t="str">
        <f>IFERROR(MID(VLOOKUP($B221,Seqs!$A:$B,2,0),G221,1),"")</f>
        <v>R</v>
      </c>
      <c r="G221" s="3">
        <v>91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S</v>
      </c>
      <c r="M221" s="3">
        <v>100</v>
      </c>
      <c r="N221" s="3" t="str">
        <f>IFERROR(MID(VLOOKUP($B221,Seqs!$A:$B,2,0),O221,1),"")</f>
        <v>V</v>
      </c>
      <c r="O221" s="3">
        <v>131</v>
      </c>
      <c r="P221" s="3" t="str">
        <f>IFERROR(MID(VLOOKUP($B221,Seqs!$A:$B,2,0),Q221,1),"")</f>
        <v>P</v>
      </c>
      <c r="Q221" s="3">
        <v>134</v>
      </c>
      <c r="R221" s="3" t="str">
        <f>IFERROR(MID(VLOOKUP($B221,Seqs!$A:$B,2,0),S221,1),"")</f>
        <v>F</v>
      </c>
      <c r="S221" s="3">
        <v>137</v>
      </c>
      <c r="T221" s="3" t="str">
        <f>IFERROR(MID(VLOOKUP($B221,Seqs!$A:$B,2,0),U221,1),"")</f>
        <v>G</v>
      </c>
      <c r="U221" s="3">
        <v>138</v>
      </c>
      <c r="V221" s="3" t="str">
        <f>IFERROR(MID(VLOOKUP($B221,Seqs!$A:$B,2,0),W221,1),"")</f>
        <v>H</v>
      </c>
      <c r="W221" s="3">
        <v>173</v>
      </c>
      <c r="X221" s="3" t="str">
        <f>IFERROR(MID(VLOOKUP($B221,Seqs!$A:$B,2,0),Y221,1),"")</f>
        <v>P</v>
      </c>
      <c r="Y221" s="3">
        <v>174</v>
      </c>
      <c r="Z221" s="3" t="str">
        <f>IFERROR(MID(VLOOKUP($B221,Seqs!$A:$B,2,0),AA221,1),"")</f>
        <v>M</v>
      </c>
      <c r="AA221" s="3">
        <v>181</v>
      </c>
      <c r="AB221" s="3" t="str">
        <f>IFERROR(MID(VLOOKUP($B221,Seqs!$A:$B,2,0),AC221,1),"")</f>
        <v>S</v>
      </c>
      <c r="AC221" s="9">
        <v>182</v>
      </c>
      <c r="AD221" s="3" t="str">
        <f>IFERROR(MID(VLOOKUP($B221,Seqs!$A:$B,2,0),AE221,1),"")</f>
        <v>M</v>
      </c>
      <c r="AE221" s="3">
        <v>208</v>
      </c>
      <c r="AF221" s="3" t="str">
        <f>IFERROR(MID(VLOOKUP($B221,Seqs!$A:$B,2,0),AG221,1),"")</f>
        <v>C</v>
      </c>
      <c r="AG221" s="3">
        <v>225</v>
      </c>
      <c r="AH221" s="3" t="str">
        <f>IFERROR(MID(VLOOKUP($B221,Seqs!$A:$B,2,0),AI221,1),"")</f>
        <v>P</v>
      </c>
      <c r="AI221" s="3">
        <v>227</v>
      </c>
      <c r="AJ221" s="3" t="str">
        <f>IFERROR(MID(VLOOKUP($B221,Seqs!$A:$B,2,0),AK221,1),"")</f>
        <v>T</v>
      </c>
      <c r="AK221" s="3">
        <v>231</v>
      </c>
      <c r="AL221" s="3" t="str">
        <f>IFERROR(MID(VLOOKUP($B221,Seqs!$A:$B,2,0),AM221,1),"")</f>
        <v>V</v>
      </c>
      <c r="AM221" s="3">
        <v>268</v>
      </c>
      <c r="AN221" s="3" t="str">
        <f>IFERROR(MID(VLOOKUP($B221,Seqs!$A:$B,2,0),AO221,1),"")</f>
        <v>Q</v>
      </c>
      <c r="AO221" s="3">
        <v>301</v>
      </c>
      <c r="AP221" s="3" t="str">
        <f>IFERROR(MID(VLOOKUP($B221,Seqs!$A:$B,2,0),AQ221,1),"")</f>
        <v>I</v>
      </c>
      <c r="AQ221" s="3">
        <v>334</v>
      </c>
      <c r="AR221" s="3" t="str">
        <f>IFERROR(MID(VLOOKUP($B221,Seqs!$A:$B,2,0),AS221,1),"")</f>
        <v>T</v>
      </c>
      <c r="AS221" s="3">
        <v>340</v>
      </c>
      <c r="AT221" s="3" t="str">
        <f>IFERROR(MID(VLOOKUP($B221,Seqs!$A:$B,2,0),AU221,1),"")</f>
        <v>I</v>
      </c>
      <c r="AU221" s="3">
        <v>364</v>
      </c>
      <c r="AV221" s="3" t="str">
        <f>IFERROR(MID(VLOOKUP($B221,Seqs!$A:$B,2,0),AW221,1),"")</f>
        <v/>
      </c>
      <c r="AW221" s="3" t="s">
        <v>23</v>
      </c>
      <c r="AX221" s="3" t="str">
        <f>IFERROR(MID(VLOOKUP($B221,Seqs!$A:$B,2,0),AY221,1),"")</f>
        <v/>
      </c>
      <c r="AY221" s="3" t="s">
        <v>23</v>
      </c>
      <c r="AZ221" s="77" t="str">
        <f>VLOOKUP(B221,Classification!A:D,2,0)</f>
        <v>A</v>
      </c>
      <c r="BA221" s="94" t="str">
        <f>VLOOKUP(B221,Classification!A:D,4,0)</f>
        <v>Neurotensin</v>
      </c>
      <c r="BB221" s="27" t="b">
        <f t="shared" si="1034"/>
        <v>1</v>
      </c>
      <c r="BC221" s="23">
        <f t="shared" si="1007"/>
        <v>240</v>
      </c>
      <c r="BD221" s="4" t="s">
        <v>23</v>
      </c>
      <c r="BE221" s="3" t="s">
        <v>1429</v>
      </c>
      <c r="BF221" s="119">
        <v>2.9</v>
      </c>
      <c r="BG221" s="49" t="s">
        <v>1378</v>
      </c>
      <c r="BH221" s="49" t="s">
        <v>1378</v>
      </c>
      <c r="BI221" s="1"/>
      <c r="BJ221" s="70" t="s">
        <v>1288</v>
      </c>
      <c r="BK221" s="57" t="s">
        <v>1288</v>
      </c>
      <c r="BL221" s="57" t="s">
        <v>1288</v>
      </c>
      <c r="BM221" s="57" t="s">
        <v>1288</v>
      </c>
      <c r="BN221" s="57" t="s">
        <v>1288</v>
      </c>
      <c r="BO221" s="57" t="s">
        <v>1288</v>
      </c>
      <c r="BP221" s="57" t="s">
        <v>1288</v>
      </c>
      <c r="BQ221" s="57" t="s">
        <v>1288</v>
      </c>
      <c r="BR221" s="57" t="s">
        <v>1288</v>
      </c>
      <c r="BS221" s="57" t="s">
        <v>1288</v>
      </c>
      <c r="BT221" s="57" t="s">
        <v>1288</v>
      </c>
      <c r="BU221" s="57" t="s">
        <v>1288</v>
      </c>
      <c r="BV221" s="70">
        <f t="shared" si="1008"/>
        <v>61</v>
      </c>
      <c r="BW221" s="71" t="str">
        <f t="shared" si="1009"/>
        <v>-</v>
      </c>
      <c r="BX221" s="72">
        <f t="shared" si="1010"/>
        <v>100</v>
      </c>
      <c r="BY221" s="71">
        <f t="shared" si="1011"/>
        <v>134</v>
      </c>
      <c r="BZ221" s="72">
        <f t="shared" si="1012"/>
        <v>138</v>
      </c>
      <c r="CA221" s="71">
        <f t="shared" si="1013"/>
        <v>174</v>
      </c>
      <c r="CB221" s="72">
        <f t="shared" si="1014"/>
        <v>182</v>
      </c>
      <c r="CC221" s="71">
        <f t="shared" si="1015"/>
        <v>225</v>
      </c>
      <c r="CD221" s="72">
        <f t="shared" si="1016"/>
        <v>231</v>
      </c>
      <c r="CE221" s="71">
        <f t="shared" si="1017"/>
        <v>301</v>
      </c>
      <c r="CF221" s="72">
        <f t="shared" si="1018"/>
        <v>340</v>
      </c>
      <c r="CG221" s="71" t="str">
        <f t="shared" si="1019"/>
        <v>-</v>
      </c>
      <c r="CH221" s="70">
        <f t="shared" si="1020"/>
        <v>91</v>
      </c>
      <c r="CI221" s="71" t="str">
        <f t="shared" si="1021"/>
        <v>-</v>
      </c>
      <c r="CJ221" s="72">
        <f t="shared" si="1022"/>
        <v>131</v>
      </c>
      <c r="CK221" s="72">
        <f t="shared" si="1023"/>
        <v>137</v>
      </c>
      <c r="CL221" s="72">
        <f t="shared" si="1024"/>
        <v>173</v>
      </c>
      <c r="CM221" s="72">
        <f t="shared" si="1025"/>
        <v>181</v>
      </c>
      <c r="CN221" s="72">
        <f t="shared" si="1026"/>
        <v>208</v>
      </c>
      <c r="CO221" s="72">
        <f t="shared" si="1027"/>
        <v>227</v>
      </c>
      <c r="CP221" s="72">
        <f t="shared" si="1028"/>
        <v>268</v>
      </c>
      <c r="CQ221" s="72">
        <f t="shared" si="1029"/>
        <v>334</v>
      </c>
      <c r="CR221" s="72">
        <f t="shared" si="1030"/>
        <v>364</v>
      </c>
      <c r="CS221" s="72" t="str">
        <f t="shared" si="1031"/>
        <v>-</v>
      </c>
      <c r="CT221" s="23" t="e">
        <f t="shared" si="1032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033"/>
        <v>ntr1_rat_4XES</v>
      </c>
      <c r="B222" s="3" t="s">
        <v>914</v>
      </c>
      <c r="C222" s="3" t="s">
        <v>1352</v>
      </c>
      <c r="D222" s="3" t="str">
        <f>IFERROR(MID(VLOOKUP($B222,Seqs!$A:$B,2,0),E222,1),"")</f>
        <v>I</v>
      </c>
      <c r="E222" s="3">
        <v>61</v>
      </c>
      <c r="F222" s="3" t="str">
        <f>IFERROR(MID(VLOOKUP($B222,Seqs!$A:$B,2,0),G222,1),"")</f>
        <v>K</v>
      </c>
      <c r="G222" s="3">
        <v>92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97</v>
      </c>
      <c r="N222" s="3" t="str">
        <f>IFERROR(MID(VLOOKUP($B222,Seqs!$A:$B,2,0),O222,1),"")</f>
        <v>V</v>
      </c>
      <c r="O222" s="3">
        <v>131</v>
      </c>
      <c r="P222" s="3" t="str">
        <f>IFERROR(MID(VLOOKUP($B222,Seqs!$A:$B,2,0),Q222,1),"")</f>
        <v>P</v>
      </c>
      <c r="Q222" s="3">
        <v>134</v>
      </c>
      <c r="R222" s="3" t="str">
        <f>IFERROR(MID(VLOOKUP($B222,Seqs!$A:$B,2,0),S222,1),"")</f>
        <v>F</v>
      </c>
      <c r="S222" s="3">
        <v>137</v>
      </c>
      <c r="T222" s="3" t="str">
        <f>IFERROR(MID(VLOOKUP($B222,Seqs!$A:$B,2,0),U222,1),"")</f>
        <v>G</v>
      </c>
      <c r="U222" s="3">
        <v>138</v>
      </c>
      <c r="V222" s="3" t="str">
        <f>IFERROR(MID(VLOOKUP($B222,Seqs!$A:$B,2,0),W222,1),"")</f>
        <v>H</v>
      </c>
      <c r="W222" s="3">
        <v>173</v>
      </c>
      <c r="X222" s="3" t="str">
        <f>IFERROR(MID(VLOOKUP($B222,Seqs!$A:$B,2,0),Y222,1),"")</f>
        <v>P</v>
      </c>
      <c r="Y222" s="3">
        <v>174</v>
      </c>
      <c r="Z222" s="3" t="str">
        <f>IFERROR(MID(VLOOKUP($B222,Seqs!$A:$B,2,0),AA222,1),"")</f>
        <v>M</v>
      </c>
      <c r="AA222" s="3">
        <v>181</v>
      </c>
      <c r="AB222" s="3" t="str">
        <f>IFERROR(MID(VLOOKUP($B222,Seqs!$A:$B,2,0),AC222,1),"")</f>
        <v>S</v>
      </c>
      <c r="AC222" s="9">
        <v>182</v>
      </c>
      <c r="AD222" s="3" t="str">
        <f>IFERROR(MID(VLOOKUP($B222,Seqs!$A:$B,2,0),AE222,1),"")</f>
        <v>M</v>
      </c>
      <c r="AE222" s="3">
        <v>208</v>
      </c>
      <c r="AF222" s="3" t="str">
        <f>IFERROR(MID(VLOOKUP($B222,Seqs!$A:$B,2,0),AG222,1),"")</f>
        <v>C</v>
      </c>
      <c r="AG222" s="3">
        <v>225</v>
      </c>
      <c r="AH222" s="3" t="str">
        <f>IFERROR(MID(VLOOKUP($B222,Seqs!$A:$B,2,0),AI222,1),"")</f>
        <v>P</v>
      </c>
      <c r="AI222" s="3">
        <v>227</v>
      </c>
      <c r="AJ222" s="3" t="str">
        <f>IFERROR(MID(VLOOKUP($B222,Seqs!$A:$B,2,0),AK222,1),"")</f>
        <v>T</v>
      </c>
      <c r="AK222" s="3">
        <v>231</v>
      </c>
      <c r="AL222" s="3" t="str">
        <f>IFERROR(MID(VLOOKUP($B222,Seqs!$A:$B,2,0),AM222,1),"")</f>
        <v>V</v>
      </c>
      <c r="AM222" s="3">
        <v>268</v>
      </c>
      <c r="AN222" s="3" t="str">
        <f>IFERROR(MID(VLOOKUP($B222,Seqs!$A:$B,2,0),AO222,1),"")</f>
        <v>A</v>
      </c>
      <c r="AO222" s="3">
        <v>302</v>
      </c>
      <c r="AP222" s="3" t="str">
        <f>IFERROR(MID(VLOOKUP($B222,Seqs!$A:$B,2,0),AQ222,1),"")</f>
        <v>I</v>
      </c>
      <c r="AQ222" s="3">
        <v>334</v>
      </c>
      <c r="AR222" s="3" t="str">
        <f>IFERROR(MID(VLOOKUP($B222,Seqs!$A:$B,2,0),AS222,1),"")</f>
        <v>T</v>
      </c>
      <c r="AS222" s="3">
        <v>340</v>
      </c>
      <c r="AT222" s="3" t="str">
        <f>IFERROR(MID(VLOOKUP($B222,Seqs!$A:$B,2,0),AU222,1),"")</f>
        <v>I</v>
      </c>
      <c r="AU222" s="3">
        <v>364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7" t="str">
        <f>VLOOKUP(B222,Classification!A:D,2,0)</f>
        <v>A</v>
      </c>
      <c r="BA222" s="94" t="str">
        <f>VLOOKUP(B222,Classification!A:D,4,0)</f>
        <v>Neurotensin</v>
      </c>
      <c r="BB222" s="27" t="b">
        <f t="shared" si="1034"/>
        <v>1</v>
      </c>
      <c r="BC222" s="23">
        <f t="shared" si="1007"/>
        <v>243</v>
      </c>
      <c r="BD222" s="5" t="s">
        <v>1430</v>
      </c>
      <c r="BE222" s="3" t="s">
        <v>1429</v>
      </c>
      <c r="BF222" s="119">
        <v>2.6</v>
      </c>
      <c r="BG222" s="49" t="s">
        <v>1378</v>
      </c>
      <c r="BH222" s="49" t="s">
        <v>1378</v>
      </c>
      <c r="BI222" s="1"/>
      <c r="BJ222" s="70" t="s">
        <v>1288</v>
      </c>
      <c r="BK222" s="57" t="s">
        <v>1288</v>
      </c>
      <c r="BL222" s="57" t="s">
        <v>1288</v>
      </c>
      <c r="BM222" s="57" t="s">
        <v>1288</v>
      </c>
      <c r="BN222" s="57" t="s">
        <v>1288</v>
      </c>
      <c r="BO222" s="57" t="s">
        <v>1288</v>
      </c>
      <c r="BP222" s="57" t="s">
        <v>1288</v>
      </c>
      <c r="BQ222" s="57" t="s">
        <v>1288</v>
      </c>
      <c r="BR222" s="57" t="s">
        <v>1288</v>
      </c>
      <c r="BS222" s="57" t="s">
        <v>1288</v>
      </c>
      <c r="BT222" s="57" t="s">
        <v>1288</v>
      </c>
      <c r="BU222" s="57" t="s">
        <v>1288</v>
      </c>
      <c r="BV222" s="70">
        <f t="shared" si="1008"/>
        <v>61</v>
      </c>
      <c r="BW222" s="71" t="str">
        <f t="shared" si="1009"/>
        <v>-</v>
      </c>
      <c r="BX222" s="72">
        <f t="shared" si="1010"/>
        <v>97</v>
      </c>
      <c r="BY222" s="71">
        <f t="shared" si="1011"/>
        <v>134</v>
      </c>
      <c r="BZ222" s="72">
        <f t="shared" si="1012"/>
        <v>138</v>
      </c>
      <c r="CA222" s="71">
        <f t="shared" si="1013"/>
        <v>174</v>
      </c>
      <c r="CB222" s="72">
        <f t="shared" si="1014"/>
        <v>182</v>
      </c>
      <c r="CC222" s="71">
        <f t="shared" si="1015"/>
        <v>225</v>
      </c>
      <c r="CD222" s="72">
        <f t="shared" si="1016"/>
        <v>231</v>
      </c>
      <c r="CE222" s="71">
        <f t="shared" si="1017"/>
        <v>302</v>
      </c>
      <c r="CF222" s="72">
        <f t="shared" si="1018"/>
        <v>340</v>
      </c>
      <c r="CG222" s="71" t="str">
        <f t="shared" si="1019"/>
        <v>-</v>
      </c>
      <c r="CH222" s="70">
        <f t="shared" si="1020"/>
        <v>92</v>
      </c>
      <c r="CI222" s="71" t="str">
        <f t="shared" si="1021"/>
        <v>-</v>
      </c>
      <c r="CJ222" s="72">
        <f t="shared" si="1022"/>
        <v>131</v>
      </c>
      <c r="CK222" s="72">
        <f t="shared" si="1023"/>
        <v>137</v>
      </c>
      <c r="CL222" s="72">
        <f t="shared" si="1024"/>
        <v>173</v>
      </c>
      <c r="CM222" s="72">
        <f t="shared" si="1025"/>
        <v>181</v>
      </c>
      <c r="CN222" s="72">
        <f t="shared" si="1026"/>
        <v>208</v>
      </c>
      <c r="CO222" s="72">
        <f t="shared" si="1027"/>
        <v>227</v>
      </c>
      <c r="CP222" s="72">
        <f t="shared" si="1028"/>
        <v>268</v>
      </c>
      <c r="CQ222" s="72">
        <f t="shared" si="1029"/>
        <v>334</v>
      </c>
      <c r="CR222" s="72">
        <f t="shared" si="1030"/>
        <v>364</v>
      </c>
      <c r="CS222" s="72" t="str">
        <f t="shared" si="1031"/>
        <v>-</v>
      </c>
      <c r="CT222" s="23" t="e">
        <f t="shared" si="1032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>CONCATENATE(B223,"_",C223)</f>
        <v>ntr1_rat_5T04</v>
      </c>
      <c r="B223" s="3" t="s">
        <v>914</v>
      </c>
      <c r="C223" s="3" t="s">
        <v>1386</v>
      </c>
      <c r="D223" s="3" t="str">
        <f>IFERROR(MID(VLOOKUP($B223,Seqs!$A:$B,2,0),E223,1),"")</f>
        <v>I</v>
      </c>
      <c r="E223" s="3">
        <v>61</v>
      </c>
      <c r="F223" s="3" t="str">
        <f>IFERROR(MID(VLOOKUP($B223,Seqs!$A:$B,2,0),G223,1),"")</f>
        <v>T</v>
      </c>
      <c r="G223" s="3">
        <v>88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H</v>
      </c>
      <c r="M223" s="3">
        <v>103</v>
      </c>
      <c r="N223" s="3" t="str">
        <f>IFERROR(MID(VLOOKUP($B223,Seqs!$A:$B,2,0),O223,1),"")</f>
        <v>V</v>
      </c>
      <c r="O223" s="3">
        <v>131</v>
      </c>
      <c r="P223" s="3" t="str">
        <f>IFERROR(MID(VLOOKUP($B223,Seqs!$A:$B,2,0),Q223,1),"")</f>
        <v>P</v>
      </c>
      <c r="Q223" s="3">
        <v>134</v>
      </c>
      <c r="R223" s="3" t="str">
        <f>IFERROR(MID(VLOOKUP($B223,Seqs!$A:$B,2,0),S223,1),"")</f>
        <v>F</v>
      </c>
      <c r="S223" s="3">
        <v>137</v>
      </c>
      <c r="T223" s="3" t="str">
        <f>IFERROR(MID(VLOOKUP($B223,Seqs!$A:$B,2,0),U223,1),"")</f>
        <v>G</v>
      </c>
      <c r="U223" s="3">
        <v>138</v>
      </c>
      <c r="V223" s="3" t="str">
        <f>IFERROR(MID(VLOOKUP($B223,Seqs!$A:$B,2,0),W223,1),"")</f>
        <v>H</v>
      </c>
      <c r="W223" s="3">
        <v>173</v>
      </c>
      <c r="X223" s="3" t="str">
        <f>IFERROR(MID(VLOOKUP($B223,Seqs!$A:$B,2,0),Y223,1),"")</f>
        <v>P</v>
      </c>
      <c r="Y223" s="3">
        <v>174</v>
      </c>
      <c r="Z223" s="3" t="str">
        <f>IFERROR(MID(VLOOKUP($B223,Seqs!$A:$B,2,0),AA223,1),"")</f>
        <v>M</v>
      </c>
      <c r="AA223" s="3">
        <v>181</v>
      </c>
      <c r="AB223" s="3" t="str">
        <f>IFERROR(MID(VLOOKUP($B223,Seqs!$A:$B,2,0),AC223,1),"")</f>
        <v>S</v>
      </c>
      <c r="AC223" s="3">
        <v>182</v>
      </c>
      <c r="AD223" s="3" t="str">
        <f>IFERROR(MID(VLOOKUP($B223,Seqs!$A:$B,2,0),AE223,1),"")</f>
        <v>M</v>
      </c>
      <c r="AE223" s="3">
        <v>208</v>
      </c>
      <c r="AF223" s="3" t="str">
        <f>IFERROR(MID(VLOOKUP($B223,Seqs!$A:$B,2,0),AG223,1),"")</f>
        <v>C</v>
      </c>
      <c r="AG223" s="3">
        <v>225</v>
      </c>
      <c r="AH223" s="3" t="str">
        <f>IFERROR(MID(VLOOKUP($B223,Seqs!$A:$B,2,0),AI223,1),"")</f>
        <v>P</v>
      </c>
      <c r="AI223" s="3">
        <v>227</v>
      </c>
      <c r="AJ223" s="3" t="str">
        <f>IFERROR(MID(VLOOKUP($B223,Seqs!$A:$B,2,0),AK223,1),"")</f>
        <v>T</v>
      </c>
      <c r="AK223" s="3">
        <v>231</v>
      </c>
      <c r="AL223" s="3" t="str">
        <f>IFERROR(MID(VLOOKUP($B223,Seqs!$A:$B,2,0),AM223,1),"")</f>
        <v>V</v>
      </c>
      <c r="AM223" s="3">
        <v>268</v>
      </c>
      <c r="AN223" s="3" t="str">
        <f>IFERROR(MID(VLOOKUP($B223,Seqs!$A:$B,2,0),AO223,1),"")</f>
        <v>P</v>
      </c>
      <c r="AO223" s="3">
        <v>297</v>
      </c>
      <c r="AP223" s="3" t="str">
        <f>IFERROR(MID(VLOOKUP($B223,Seqs!$A:$B,2,0),AQ223,1),"")</f>
        <v>I</v>
      </c>
      <c r="AQ223" s="3">
        <v>334</v>
      </c>
      <c r="AR223" s="3" t="str">
        <f>IFERROR(MID(VLOOKUP($B223,Seqs!$A:$B,2,0),AS223,1),"")</f>
        <v>T</v>
      </c>
      <c r="AS223" s="3">
        <v>340</v>
      </c>
      <c r="AT223" s="3" t="str">
        <f>IFERROR(MID(VLOOKUP($B223,Seqs!$A:$B,2,0),AU223,1),"")</f>
        <v>I</v>
      </c>
      <c r="AU223" s="3">
        <v>364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Neurotensin</v>
      </c>
      <c r="BB223" s="27" t="b">
        <f>AND(E223&lt;G223,OR(G223&lt;I223,I223="-"),OR(I223&lt;K223,I223="-"),OR(K223&lt;M223,K223="-"),M223&lt;O223,OR(O223&lt;Q223,Q223="-"),OR(Q223&lt;S223,Q223="-"),OR(S223&lt;U223,S223="-"),U223&lt;W223,OR(W223&lt;Y223,Y223="-"),OR(Y223&lt;AA223,Y223="-"),OR(AA223&lt;AC223,AA223="-"),AC223&lt;AE223,OR(AE223&lt;AG223,AG223="-"),OR(AG223&lt;AI223,AG223="-"),OR(AI223&lt;AK223,AI223="-"),AK223&lt;AM223,AM223&lt;AO223,AO223&lt;AQ223,AQ223&lt;AS223,AS223&lt;AU223,OR(AU223&lt;AW223,AW223="-"),OR(AW223&lt;AY223,AW223="-"))</f>
        <v>1</v>
      </c>
      <c r="BC223" s="23">
        <f>_xlfn.AGGREGATE(9,6,CH223:CS223)-_xlfn.AGGREGATE(9,6,BV223:CG223)+12</f>
        <v>238</v>
      </c>
      <c r="BD223" s="5" t="s">
        <v>1376</v>
      </c>
      <c r="BE223" s="3" t="s">
        <v>1292</v>
      </c>
      <c r="BF223" s="119">
        <v>3.3</v>
      </c>
      <c r="BG223" s="49" t="s">
        <v>1378</v>
      </c>
      <c r="BH223" s="49" t="s">
        <v>1378</v>
      </c>
      <c r="BI223" s="1"/>
      <c r="BJ223" s="70" t="s">
        <v>1288</v>
      </c>
      <c r="BK223" s="57" t="s">
        <v>1288</v>
      </c>
      <c r="BL223" s="57" t="s">
        <v>1288</v>
      </c>
      <c r="BM223" s="57" t="s">
        <v>1288</v>
      </c>
      <c r="BN223" s="57" t="s">
        <v>1288</v>
      </c>
      <c r="BO223" s="57" t="s">
        <v>1288</v>
      </c>
      <c r="BP223" s="57" t="s">
        <v>1288</v>
      </c>
      <c r="BQ223" s="57" t="s">
        <v>1288</v>
      </c>
      <c r="BR223" s="57" t="s">
        <v>1288</v>
      </c>
      <c r="BS223" s="57" t="s">
        <v>1288</v>
      </c>
      <c r="BT223" s="57" t="s">
        <v>1288</v>
      </c>
      <c r="BU223" s="57" t="s">
        <v>1288</v>
      </c>
      <c r="BV223" s="70">
        <f>E223</f>
        <v>61</v>
      </c>
      <c r="BW223" s="71" t="str">
        <f>I223</f>
        <v>-</v>
      </c>
      <c r="BX223" s="72">
        <f>M223</f>
        <v>103</v>
      </c>
      <c r="BY223" s="71">
        <f>Q223</f>
        <v>134</v>
      </c>
      <c r="BZ223" s="72">
        <f>U223</f>
        <v>138</v>
      </c>
      <c r="CA223" s="71">
        <f>Y223</f>
        <v>174</v>
      </c>
      <c r="CB223" s="72">
        <f>AC223</f>
        <v>182</v>
      </c>
      <c r="CC223" s="71">
        <f>AG223</f>
        <v>225</v>
      </c>
      <c r="CD223" s="72">
        <f>AK223</f>
        <v>231</v>
      </c>
      <c r="CE223" s="71">
        <f>AO223</f>
        <v>297</v>
      </c>
      <c r="CF223" s="72">
        <f>AS223</f>
        <v>340</v>
      </c>
      <c r="CG223" s="71" t="str">
        <f>AW223</f>
        <v>-</v>
      </c>
      <c r="CH223" s="70">
        <f>G223</f>
        <v>88</v>
      </c>
      <c r="CI223" s="71" t="str">
        <f>K223</f>
        <v>-</v>
      </c>
      <c r="CJ223" s="72">
        <f>O223</f>
        <v>131</v>
      </c>
      <c r="CK223" s="72">
        <f>S223</f>
        <v>137</v>
      </c>
      <c r="CL223" s="72">
        <f>W223</f>
        <v>173</v>
      </c>
      <c r="CM223" s="72">
        <f>AA223</f>
        <v>181</v>
      </c>
      <c r="CN223" s="72">
        <f>AE223</f>
        <v>208</v>
      </c>
      <c r="CO223" s="72">
        <f>AI223</f>
        <v>227</v>
      </c>
      <c r="CP223" s="72">
        <f>AM223</f>
        <v>268</v>
      </c>
      <c r="CQ223" s="72">
        <f>AQ223</f>
        <v>334</v>
      </c>
      <c r="CR223" s="72">
        <f>AU223</f>
        <v>364</v>
      </c>
      <c r="CS223" s="72" t="str">
        <f>AY223</f>
        <v>-</v>
      </c>
      <c r="CT223" s="23" t="e">
        <f>M223-K223</f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033"/>
        <v>oprd_human__wt</v>
      </c>
      <c r="B224" s="3" t="s">
        <v>335</v>
      </c>
      <c r="C224" s="3" t="s">
        <v>100</v>
      </c>
      <c r="D224" s="3" t="str">
        <f>IFERROR(MID(VLOOKUP($B224,Seqs!$A:$B,2,0),E224,1),"")</f>
        <v>G</v>
      </c>
      <c r="E224" s="3">
        <v>39</v>
      </c>
      <c r="F224" s="3" t="str">
        <f>IFERROR(MID(VLOOKUP($B224,Seqs!$A:$B,2,0),G224,1),"")</f>
        <v>Y</v>
      </c>
      <c r="G224" s="3">
        <v>77</v>
      </c>
      <c r="H224" s="3" t="str">
        <f>IFERROR(MID(VLOOKUP($B224,Seqs!$A:$B,2,0),I224,1),"")</f>
        <v>T</v>
      </c>
      <c r="I224" s="23">
        <v>78</v>
      </c>
      <c r="J224" s="3" t="str">
        <f>IFERROR(MID(VLOOKUP($B224,Seqs!$A:$B,2,0),K224,1),"")</f>
        <v>K</v>
      </c>
      <c r="K224" s="23">
        <v>81</v>
      </c>
      <c r="L224" s="3" t="str">
        <f>IFERROR(MID(VLOOKUP($B224,Seqs!$A:$B,2,0),M224,1),"")</f>
        <v>T</v>
      </c>
      <c r="M224" s="3">
        <v>82</v>
      </c>
      <c r="N224" s="3" t="str">
        <f>IFERROR(MID(VLOOKUP($B224,Seqs!$A:$B,2,0),O224,1),"")</f>
        <v>M</v>
      </c>
      <c r="O224" s="3">
        <v>111</v>
      </c>
      <c r="P224" s="3" t="str">
        <f>IFERROR(MID(VLOOKUP($B224,Seqs!$A:$B,2,0),Q224,1),"")</f>
        <v>T</v>
      </c>
      <c r="Q224" s="3">
        <v>113</v>
      </c>
      <c r="R224" s="3" t="str">
        <f>IFERROR(MID(VLOOKUP($B224,Seqs!$A:$B,2,0),S224,1),"")</f>
        <v>F</v>
      </c>
      <c r="S224" s="3">
        <v>116</v>
      </c>
      <c r="T224" s="3" t="str">
        <f>IFERROR(MID(VLOOKUP($B224,Seqs!$A:$B,2,0),U224,1),"")</f>
        <v>G</v>
      </c>
      <c r="U224" s="3">
        <v>117</v>
      </c>
      <c r="V224" s="3" t="str">
        <f>IFERROR(MID(VLOOKUP($B224,Seqs!$A:$B,2,0),W224,1),"")</f>
        <v>H</v>
      </c>
      <c r="W224" s="3">
        <v>152</v>
      </c>
      <c r="X224" s="3" t="str">
        <f>IFERROR(MID(VLOOKUP($B224,Seqs!$A:$B,2,0),Y224,1),"")</f>
        <v>P</v>
      </c>
      <c r="Y224" s="3">
        <v>153</v>
      </c>
      <c r="Z224" s="3" t="str">
        <f>IFERROR(MID(VLOOKUP($B224,Seqs!$A:$B,2,0),AA224,1),"")</f>
        <v>R</v>
      </c>
      <c r="AA224" s="3">
        <v>160</v>
      </c>
      <c r="AB224" s="3" t="str">
        <f>IFERROR(MID(VLOOKUP($B224,Seqs!$A:$B,2,0),AC224,1),"")</f>
        <v>T</v>
      </c>
      <c r="AC224" s="9">
        <v>161</v>
      </c>
      <c r="AD224" s="3" t="str">
        <f>IFERROR(MID(VLOOKUP($B224,Seqs!$A:$B,2,0),AE224,1),"")</f>
        <v>A</v>
      </c>
      <c r="AE224" s="3">
        <v>187</v>
      </c>
      <c r="AF224" s="3" t="str">
        <f>IFERROR(MID(VLOOKUP($B224,Seqs!$A:$B,2,0),AG224,1),"")</f>
        <v>C</v>
      </c>
      <c r="AG224" s="3">
        <v>198</v>
      </c>
      <c r="AH224" s="3" t="str">
        <f>IFERROR(MID(VLOOKUP($B224,Seqs!$A:$B,2,0),AI224,1),"")</f>
        <v>L</v>
      </c>
      <c r="AI224" s="3">
        <v>200</v>
      </c>
      <c r="AJ224" s="3" t="str">
        <f>IFERROR(MID(VLOOKUP($B224,Seqs!$A:$B,2,0),AK224,1),"")</f>
        <v>S</v>
      </c>
      <c r="AK224" s="3">
        <v>206</v>
      </c>
      <c r="AL224" s="3" t="str">
        <f>IFERROR(MID(VLOOKUP($B224,Seqs!$A:$B,2,0),AM224,1),"")</f>
        <v>V</v>
      </c>
      <c r="AM224" s="3">
        <v>243</v>
      </c>
      <c r="AN224" s="3" t="str">
        <f>IFERROR(MID(VLOOKUP($B224,Seqs!$A:$B,2,0),AO224,1),"")</f>
        <v>S</v>
      </c>
      <c r="AO224" s="3">
        <v>249</v>
      </c>
      <c r="AP224" s="3" t="str">
        <f>IFERROR(MID(VLOOKUP($B224,Seqs!$A:$B,2,0),AQ224,1),"")</f>
        <v>V</v>
      </c>
      <c r="AQ224" s="3">
        <v>287</v>
      </c>
      <c r="AR224" s="3" t="str">
        <f>IFERROR(MID(VLOOKUP($B224,Seqs!$A:$B,2,0),AS224,1),"")</f>
        <v>D</v>
      </c>
      <c r="AS224" s="3">
        <v>293</v>
      </c>
      <c r="AT224" s="3" t="str">
        <f>IFERROR(MID(VLOOKUP($B224,Seqs!$A:$B,2,0),AU224,1),"")</f>
        <v>L</v>
      </c>
      <c r="AU224" s="3">
        <v>321</v>
      </c>
      <c r="AV224" s="3" t="str">
        <f>IFERROR(MID(VLOOKUP($B224,Seqs!$A:$B,2,0),AW224,1),"")</f>
        <v>D</v>
      </c>
      <c r="AW224" s="3">
        <v>322</v>
      </c>
      <c r="AX224" s="3" t="str">
        <f>IFERROR(MID(VLOOKUP($B224,Seqs!$A:$B,2,0),AY224,1),"")</f>
        <v>K</v>
      </c>
      <c r="AY224" s="3">
        <v>335</v>
      </c>
      <c r="AZ224" s="77" t="str">
        <f>VLOOKUP(B224,Classification!A:D,2,0)</f>
        <v>A</v>
      </c>
      <c r="BA224" s="94" t="str">
        <f>VLOOKUP(B224,Classification!A:D,4,0)</f>
        <v>Opioid</v>
      </c>
      <c r="BB224" s="27" t="b">
        <f t="shared" si="1034"/>
        <v>1</v>
      </c>
      <c r="BC224" s="23">
        <f t="shared" si="1007"/>
        <v>271</v>
      </c>
      <c r="BD224" s="56" t="s">
        <v>23</v>
      </c>
      <c r="BE224" s="3" t="s">
        <v>23</v>
      </c>
      <c r="BF224" s="119" t="s">
        <v>23</v>
      </c>
      <c r="BG224" s="49" t="s">
        <v>1373</v>
      </c>
      <c r="BH224" s="49" t="s">
        <v>1378</v>
      </c>
      <c r="BI224" s="1"/>
      <c r="BJ224" s="70" t="s">
        <v>1288</v>
      </c>
      <c r="BK224" s="57" t="s">
        <v>1288</v>
      </c>
      <c r="BL224" s="57" t="s">
        <v>1288</v>
      </c>
      <c r="BM224" s="57" t="s">
        <v>1288</v>
      </c>
      <c r="BN224" s="57" t="s">
        <v>1288</v>
      </c>
      <c r="BO224" s="57" t="s">
        <v>1288</v>
      </c>
      <c r="BP224" s="57" t="s">
        <v>1288</v>
      </c>
      <c r="BQ224" s="57" t="s">
        <v>1288</v>
      </c>
      <c r="BR224" s="57" t="s">
        <v>1288</v>
      </c>
      <c r="BS224" s="57" t="s">
        <v>1288</v>
      </c>
      <c r="BT224" s="57" t="s">
        <v>1288</v>
      </c>
      <c r="BU224" s="57" t="s">
        <v>1288</v>
      </c>
      <c r="BV224" s="70">
        <f t="shared" si="1008"/>
        <v>39</v>
      </c>
      <c r="BW224" s="71">
        <f t="shared" si="1009"/>
        <v>78</v>
      </c>
      <c r="BX224" s="72">
        <f t="shared" si="1010"/>
        <v>82</v>
      </c>
      <c r="BY224" s="71">
        <f t="shared" si="1011"/>
        <v>113</v>
      </c>
      <c r="BZ224" s="72">
        <f t="shared" si="1012"/>
        <v>117</v>
      </c>
      <c r="CA224" s="71">
        <f t="shared" si="1013"/>
        <v>153</v>
      </c>
      <c r="CB224" s="72">
        <f t="shared" si="1014"/>
        <v>161</v>
      </c>
      <c r="CC224" s="71">
        <f t="shared" si="1015"/>
        <v>198</v>
      </c>
      <c r="CD224" s="72">
        <f t="shared" si="1016"/>
        <v>206</v>
      </c>
      <c r="CE224" s="71">
        <f t="shared" si="1017"/>
        <v>249</v>
      </c>
      <c r="CF224" s="72">
        <f t="shared" si="1018"/>
        <v>293</v>
      </c>
      <c r="CG224" s="71">
        <f t="shared" si="1019"/>
        <v>322</v>
      </c>
      <c r="CH224" s="70">
        <f t="shared" si="1020"/>
        <v>77</v>
      </c>
      <c r="CI224" s="71">
        <f t="shared" si="1021"/>
        <v>81</v>
      </c>
      <c r="CJ224" s="72">
        <f t="shared" si="1022"/>
        <v>111</v>
      </c>
      <c r="CK224" s="72">
        <f t="shared" si="1023"/>
        <v>116</v>
      </c>
      <c r="CL224" s="72">
        <f t="shared" si="1024"/>
        <v>152</v>
      </c>
      <c r="CM224" s="72">
        <f t="shared" si="1025"/>
        <v>160</v>
      </c>
      <c r="CN224" s="72">
        <f t="shared" si="1026"/>
        <v>187</v>
      </c>
      <c r="CO224" s="72">
        <f t="shared" si="1027"/>
        <v>200</v>
      </c>
      <c r="CP224" s="72">
        <f t="shared" si="1028"/>
        <v>243</v>
      </c>
      <c r="CQ224" s="72">
        <f t="shared" si="1029"/>
        <v>287</v>
      </c>
      <c r="CR224" s="72">
        <f t="shared" si="1030"/>
        <v>321</v>
      </c>
      <c r="CS224" s="72">
        <f t="shared" si="1031"/>
        <v>335</v>
      </c>
      <c r="CT224" s="23">
        <f t="shared" si="1032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1033"/>
        <v>oprd_human_4N6H</v>
      </c>
      <c r="B225" s="3" t="s">
        <v>335</v>
      </c>
      <c r="C225" s="3" t="s">
        <v>87</v>
      </c>
      <c r="D225" s="3" t="str">
        <f>IFERROR(MID(VLOOKUP($B225,Seqs!$A:$B,2,0),E225,1),"")</f>
        <v>G</v>
      </c>
      <c r="E225" s="3">
        <v>39</v>
      </c>
      <c r="F225" s="3" t="str">
        <f>IFERROR(MID(VLOOKUP($B225,Seqs!$A:$B,2,0),G225,1),"")</f>
        <v>Y</v>
      </c>
      <c r="G225" s="3">
        <v>77</v>
      </c>
      <c r="H225" s="3" t="str">
        <f>IFERROR(MID(VLOOKUP($B225,Seqs!$A:$B,2,0),I225,1),"")</f>
        <v>T</v>
      </c>
      <c r="I225" s="23">
        <v>78</v>
      </c>
      <c r="J225" s="3" t="str">
        <f>IFERROR(MID(VLOOKUP($B225,Seqs!$A:$B,2,0),K225,1),"")</f>
        <v>K</v>
      </c>
      <c r="K225" s="23">
        <v>81</v>
      </c>
      <c r="L225" s="3" t="str">
        <f>IFERROR(MID(VLOOKUP($B225,Seqs!$A:$B,2,0),M225,1),"")</f>
        <v>T</v>
      </c>
      <c r="M225" s="3">
        <v>82</v>
      </c>
      <c r="N225" s="3" t="str">
        <f>IFERROR(MID(VLOOKUP($B225,Seqs!$A:$B,2,0),O225,1),"")</f>
        <v>M</v>
      </c>
      <c r="O225" s="3">
        <v>111</v>
      </c>
      <c r="P225" s="3" t="str">
        <f>IFERROR(MID(VLOOKUP($B225,Seqs!$A:$B,2,0),Q225,1),"")</f>
        <v>T</v>
      </c>
      <c r="Q225" s="3">
        <v>113</v>
      </c>
      <c r="R225" s="3" t="str">
        <f>IFERROR(MID(VLOOKUP($B225,Seqs!$A:$B,2,0),S225,1),"")</f>
        <v>F</v>
      </c>
      <c r="S225" s="3">
        <v>116</v>
      </c>
      <c r="T225" s="3" t="str">
        <f>IFERROR(MID(VLOOKUP($B225,Seqs!$A:$B,2,0),U225,1),"")</f>
        <v>G</v>
      </c>
      <c r="U225" s="3">
        <v>117</v>
      </c>
      <c r="V225" s="3" t="str">
        <f>IFERROR(MID(VLOOKUP($B225,Seqs!$A:$B,2,0),W225,1),"")</f>
        <v>H</v>
      </c>
      <c r="W225" s="3">
        <v>152</v>
      </c>
      <c r="X225" s="3" t="str">
        <f>IFERROR(MID(VLOOKUP($B225,Seqs!$A:$B,2,0),Y225,1),"")</f>
        <v>P</v>
      </c>
      <c r="Y225" s="3">
        <v>153</v>
      </c>
      <c r="Z225" s="3" t="str">
        <f>IFERROR(MID(VLOOKUP($B225,Seqs!$A:$B,2,0),AA225,1),"")</f>
        <v>R</v>
      </c>
      <c r="AA225" s="3">
        <v>160</v>
      </c>
      <c r="AB225" s="3" t="str">
        <f>IFERROR(MID(VLOOKUP($B225,Seqs!$A:$B,2,0),AC225,1),"")</f>
        <v>T</v>
      </c>
      <c r="AC225" s="9">
        <v>161</v>
      </c>
      <c r="AD225" s="3" t="str">
        <f>IFERROR(MID(VLOOKUP($B225,Seqs!$A:$B,2,0),AE225,1),"")</f>
        <v>A</v>
      </c>
      <c r="AE225" s="3">
        <v>187</v>
      </c>
      <c r="AF225" s="3" t="str">
        <f>IFERROR(MID(VLOOKUP($B225,Seqs!$A:$B,2,0),AG225,1),"")</f>
        <v>C</v>
      </c>
      <c r="AG225" s="3">
        <v>198</v>
      </c>
      <c r="AH225" s="3" t="str">
        <f>IFERROR(MID(VLOOKUP($B225,Seqs!$A:$B,2,0),AI225,1),"")</f>
        <v>L</v>
      </c>
      <c r="AI225" s="3">
        <v>200</v>
      </c>
      <c r="AJ225" s="3" t="str">
        <f>IFERROR(MID(VLOOKUP($B225,Seqs!$A:$B,2,0),AK225,1),"")</f>
        <v>S</v>
      </c>
      <c r="AK225" s="3">
        <v>206</v>
      </c>
      <c r="AL225" s="3" t="str">
        <f>IFERROR(MID(VLOOKUP($B225,Seqs!$A:$B,2,0),AM225,1),"")</f>
        <v>V</v>
      </c>
      <c r="AM225" s="3">
        <v>243</v>
      </c>
      <c r="AN225" s="3" t="str">
        <f>IFERROR(MID(VLOOKUP($B225,Seqs!$A:$B,2,0),AO225,1),"")</f>
        <v>S</v>
      </c>
      <c r="AO225" s="3">
        <v>249</v>
      </c>
      <c r="AP225" s="3" t="str">
        <f>IFERROR(MID(VLOOKUP($B225,Seqs!$A:$B,2,0),AQ225,1),"")</f>
        <v>V</v>
      </c>
      <c r="AQ225" s="3">
        <v>287</v>
      </c>
      <c r="AR225" s="3" t="str">
        <f>IFERROR(MID(VLOOKUP($B225,Seqs!$A:$B,2,0),AS225,1),"")</f>
        <v>D</v>
      </c>
      <c r="AS225" s="3">
        <v>293</v>
      </c>
      <c r="AT225" s="3" t="str">
        <f>IFERROR(MID(VLOOKUP($B225,Seqs!$A:$B,2,0),AU225,1),"")</f>
        <v>L</v>
      </c>
      <c r="AU225" s="3">
        <v>321</v>
      </c>
      <c r="AV225" s="3" t="str">
        <f>IFERROR(MID(VLOOKUP($B225,Seqs!$A:$B,2,0),AW225,1),"")</f>
        <v>D</v>
      </c>
      <c r="AW225" s="3">
        <v>322</v>
      </c>
      <c r="AX225" s="3" t="str">
        <f>IFERROR(MID(VLOOKUP($B225,Seqs!$A:$B,2,0),AY225,1),"")</f>
        <v>K</v>
      </c>
      <c r="AY225" s="3">
        <v>335</v>
      </c>
      <c r="AZ225" s="77" t="str">
        <f>VLOOKUP(B225,Classification!A:D,2,0)</f>
        <v>A</v>
      </c>
      <c r="BA225" s="94" t="str">
        <f>VLOOKUP(B225,Classification!A:D,4,0)</f>
        <v>Opioid</v>
      </c>
      <c r="BB225" s="27" t="b">
        <f t="shared" si="1034"/>
        <v>1</v>
      </c>
      <c r="BC225" s="23">
        <f t="shared" si="1007"/>
        <v>271</v>
      </c>
      <c r="BD225" s="16" t="s">
        <v>1377</v>
      </c>
      <c r="BE225" s="3" t="s">
        <v>1375</v>
      </c>
      <c r="BF225" s="119">
        <v>1.8</v>
      </c>
      <c r="BG225" s="49" t="s">
        <v>1378</v>
      </c>
      <c r="BH225" s="49" t="s">
        <v>1378</v>
      </c>
      <c r="BJ225" s="70" t="s">
        <v>1288</v>
      </c>
      <c r="BK225" s="57" t="s">
        <v>1288</v>
      </c>
      <c r="BL225" s="57" t="s">
        <v>1288</v>
      </c>
      <c r="BM225" s="57" t="s">
        <v>1288</v>
      </c>
      <c r="BN225" s="57" t="s">
        <v>1288</v>
      </c>
      <c r="BO225" s="57" t="s">
        <v>1288</v>
      </c>
      <c r="BP225" s="57" t="s">
        <v>1288</v>
      </c>
      <c r="BQ225" s="57" t="s">
        <v>1288</v>
      </c>
      <c r="BR225" s="57" t="s">
        <v>1288</v>
      </c>
      <c r="BS225" s="57" t="s">
        <v>1288</v>
      </c>
      <c r="BT225" s="57" t="s">
        <v>1288</v>
      </c>
      <c r="BU225" s="57" t="s">
        <v>1288</v>
      </c>
      <c r="BV225" s="70">
        <f t="shared" si="1008"/>
        <v>39</v>
      </c>
      <c r="BW225" s="71">
        <f t="shared" si="1009"/>
        <v>78</v>
      </c>
      <c r="BX225" s="72">
        <f t="shared" si="1010"/>
        <v>82</v>
      </c>
      <c r="BY225" s="71">
        <f t="shared" si="1011"/>
        <v>113</v>
      </c>
      <c r="BZ225" s="72">
        <f t="shared" si="1012"/>
        <v>117</v>
      </c>
      <c r="CA225" s="71">
        <f t="shared" si="1013"/>
        <v>153</v>
      </c>
      <c r="CB225" s="72">
        <f t="shared" si="1014"/>
        <v>161</v>
      </c>
      <c r="CC225" s="71">
        <f t="shared" si="1015"/>
        <v>198</v>
      </c>
      <c r="CD225" s="72">
        <f t="shared" si="1016"/>
        <v>206</v>
      </c>
      <c r="CE225" s="71">
        <f t="shared" si="1017"/>
        <v>249</v>
      </c>
      <c r="CF225" s="72">
        <f t="shared" si="1018"/>
        <v>293</v>
      </c>
      <c r="CG225" s="71">
        <f t="shared" si="1019"/>
        <v>322</v>
      </c>
      <c r="CH225" s="70">
        <f t="shared" si="1020"/>
        <v>77</v>
      </c>
      <c r="CI225" s="71">
        <f t="shared" si="1021"/>
        <v>81</v>
      </c>
      <c r="CJ225" s="72">
        <f t="shared" si="1022"/>
        <v>111</v>
      </c>
      <c r="CK225" s="72">
        <f t="shared" si="1023"/>
        <v>116</v>
      </c>
      <c r="CL225" s="72">
        <f t="shared" si="1024"/>
        <v>152</v>
      </c>
      <c r="CM225" s="72">
        <f t="shared" si="1025"/>
        <v>160</v>
      </c>
      <c r="CN225" s="72">
        <f t="shared" si="1026"/>
        <v>187</v>
      </c>
      <c r="CO225" s="72">
        <f t="shared" si="1027"/>
        <v>200</v>
      </c>
      <c r="CP225" s="72">
        <f t="shared" si="1028"/>
        <v>243</v>
      </c>
      <c r="CQ225" s="72">
        <f t="shared" si="1029"/>
        <v>287</v>
      </c>
      <c r="CR225" s="72">
        <f t="shared" si="1030"/>
        <v>321</v>
      </c>
      <c r="CS225" s="72">
        <f t="shared" si="1031"/>
        <v>335</v>
      </c>
      <c r="CT225" s="23">
        <f t="shared" si="1032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s="2" customFormat="1" x14ac:dyDescent="0.2">
      <c r="A226" s="3" t="str">
        <f t="shared" si="1033"/>
        <v>oprd_human_4RWD</v>
      </c>
      <c r="B226" s="1" t="s">
        <v>335</v>
      </c>
      <c r="C226" s="1" t="s">
        <v>1339</v>
      </c>
      <c r="D226" s="3" t="str">
        <f>IFERROR(MID(VLOOKUP($B226,Seqs!$A:$B,2,0),E226,1),"")</f>
        <v>A</v>
      </c>
      <c r="E226" s="3">
        <v>43</v>
      </c>
      <c r="F226" s="3" t="str">
        <f>IFERROR(MID(VLOOKUP($B226,Seqs!$A:$B,2,0),G226,1),"")</f>
        <v>Y</v>
      </c>
      <c r="G226" s="3">
        <v>77</v>
      </c>
      <c r="H226" s="3" t="str">
        <f>IFERROR(MID(VLOOKUP($B226,Seqs!$A:$B,2,0),I226,1),"")</f>
        <v>T</v>
      </c>
      <c r="I226" s="23">
        <v>78</v>
      </c>
      <c r="J226" s="3" t="str">
        <f>IFERROR(MID(VLOOKUP($B226,Seqs!$A:$B,2,0),K226,1),"")</f>
        <v>K</v>
      </c>
      <c r="K226" s="23">
        <v>81</v>
      </c>
      <c r="L226" s="3" t="str">
        <f>IFERROR(MID(VLOOKUP($B226,Seqs!$A:$B,2,0),M226,1),"")</f>
        <v>T</v>
      </c>
      <c r="M226" s="3">
        <v>82</v>
      </c>
      <c r="N226" s="3" t="str">
        <f>IFERROR(MID(VLOOKUP($B226,Seqs!$A:$B,2,0),O226,1),"")</f>
        <v>M</v>
      </c>
      <c r="O226" s="3">
        <v>111</v>
      </c>
      <c r="P226" s="3" t="str">
        <f>IFERROR(MID(VLOOKUP($B226,Seqs!$A:$B,2,0),Q226,1),"")</f>
        <v>T</v>
      </c>
      <c r="Q226" s="3">
        <v>113</v>
      </c>
      <c r="R226" s="3" t="str">
        <f>IFERROR(MID(VLOOKUP($B226,Seqs!$A:$B,2,0),S226,1),"")</f>
        <v>F</v>
      </c>
      <c r="S226" s="3">
        <v>116</v>
      </c>
      <c r="T226" s="3" t="str">
        <f>IFERROR(MID(VLOOKUP($B226,Seqs!$A:$B,2,0),U226,1),"")</f>
        <v>G</v>
      </c>
      <c r="U226" s="3">
        <v>117</v>
      </c>
      <c r="V226" s="3" t="str">
        <f>IFERROR(MID(VLOOKUP($B226,Seqs!$A:$B,2,0),W226,1),"")</f>
        <v>H</v>
      </c>
      <c r="W226" s="3">
        <v>152</v>
      </c>
      <c r="X226" s="3" t="str">
        <f>IFERROR(MID(VLOOKUP($B226,Seqs!$A:$B,2,0),Y226,1),"")</f>
        <v>P</v>
      </c>
      <c r="Y226" s="3">
        <v>153</v>
      </c>
      <c r="Z226" s="3" t="str">
        <f>IFERROR(MID(VLOOKUP($B226,Seqs!$A:$B,2,0),AA226,1),"")</f>
        <v>R</v>
      </c>
      <c r="AA226" s="3">
        <v>160</v>
      </c>
      <c r="AB226" s="3" t="str">
        <f>IFERROR(MID(VLOOKUP($B226,Seqs!$A:$B,2,0),AC226,1),"")</f>
        <v>T</v>
      </c>
      <c r="AC226" s="9">
        <v>161</v>
      </c>
      <c r="AD226" s="3" t="str">
        <f>IFERROR(MID(VLOOKUP($B226,Seqs!$A:$B,2,0),AE226,1),"")</f>
        <v>A</v>
      </c>
      <c r="AE226" s="3">
        <v>187</v>
      </c>
      <c r="AF226" s="3" t="str">
        <f>IFERROR(MID(VLOOKUP($B226,Seqs!$A:$B,2,0),AG226,1),"")</f>
        <v>C</v>
      </c>
      <c r="AG226" s="3">
        <v>198</v>
      </c>
      <c r="AH226" s="3" t="str">
        <f>IFERROR(MID(VLOOKUP($B226,Seqs!$A:$B,2,0),AI226,1),"")</f>
        <v>L</v>
      </c>
      <c r="AI226" s="3">
        <v>200</v>
      </c>
      <c r="AJ226" s="3" t="str">
        <f>IFERROR(MID(VLOOKUP($B226,Seqs!$A:$B,2,0),AK226,1),"")</f>
        <v>S</v>
      </c>
      <c r="AK226" s="3">
        <v>206</v>
      </c>
      <c r="AL226" s="3" t="str">
        <f>IFERROR(MID(VLOOKUP($B226,Seqs!$A:$B,2,0),AM226,1),"")</f>
        <v>V</v>
      </c>
      <c r="AM226" s="3">
        <v>243</v>
      </c>
      <c r="AN226" s="3" t="str">
        <f>IFERROR(MID(VLOOKUP($B226,Seqs!$A:$B,2,0),AO226,1),"")</f>
        <v>S</v>
      </c>
      <c r="AO226" s="3">
        <v>249</v>
      </c>
      <c r="AP226" s="3" t="str">
        <f>IFERROR(MID(VLOOKUP($B226,Seqs!$A:$B,2,0),AQ226,1),"")</f>
        <v>V</v>
      </c>
      <c r="AQ226" s="3">
        <v>287</v>
      </c>
      <c r="AR226" s="3" t="str">
        <f>IFERROR(MID(VLOOKUP($B226,Seqs!$A:$B,2,0),AS226,1),"")</f>
        <v>D</v>
      </c>
      <c r="AS226" s="3">
        <v>293</v>
      </c>
      <c r="AT226" s="3" t="str">
        <f>IFERROR(MID(VLOOKUP($B226,Seqs!$A:$B,2,0),AU226,1),"")</f>
        <v>L</v>
      </c>
      <c r="AU226" s="3">
        <v>321</v>
      </c>
      <c r="AV226" s="3" t="str">
        <f>IFERROR(MID(VLOOKUP($B226,Seqs!$A:$B,2,0),AW226,1),"")</f>
        <v>D</v>
      </c>
      <c r="AW226" s="3">
        <v>322</v>
      </c>
      <c r="AX226" s="3" t="str">
        <f>IFERROR(MID(VLOOKUP($B226,Seqs!$A:$B,2,0),AY226,1),"")</f>
        <v>C</v>
      </c>
      <c r="AY226" s="3">
        <v>333</v>
      </c>
      <c r="AZ226" s="77" t="str">
        <f>VLOOKUP(B226,Classification!A:D,2,0)</f>
        <v>A</v>
      </c>
      <c r="BA226" s="94" t="str">
        <f>VLOOKUP(B226,Classification!A:D,4,0)</f>
        <v>Opioid</v>
      </c>
      <c r="BB226" s="27" t="b">
        <f t="shared" si="1034"/>
        <v>1</v>
      </c>
      <c r="BC226" s="23">
        <f t="shared" si="1007"/>
        <v>265</v>
      </c>
      <c r="BD226" s="16" t="s">
        <v>23</v>
      </c>
      <c r="BE226" s="3" t="s">
        <v>1375</v>
      </c>
      <c r="BF226" s="119">
        <v>2.7</v>
      </c>
      <c r="BG226" s="49" t="s">
        <v>1378</v>
      </c>
      <c r="BH226" s="49" t="s">
        <v>1378</v>
      </c>
      <c r="BI226" s="3"/>
      <c r="BJ226" s="70" t="s">
        <v>1288</v>
      </c>
      <c r="BK226" s="57" t="s">
        <v>1288</v>
      </c>
      <c r="BL226" s="57" t="s">
        <v>1288</v>
      </c>
      <c r="BM226" s="57" t="s">
        <v>1288</v>
      </c>
      <c r="BN226" s="57" t="s">
        <v>1288</v>
      </c>
      <c r="BO226" s="57" t="s">
        <v>1288</v>
      </c>
      <c r="BP226" s="57" t="s">
        <v>1288</v>
      </c>
      <c r="BQ226" s="57" t="s">
        <v>1288</v>
      </c>
      <c r="BR226" s="57" t="s">
        <v>1288</v>
      </c>
      <c r="BS226" s="57" t="s">
        <v>1288</v>
      </c>
      <c r="BT226" s="57" t="s">
        <v>1288</v>
      </c>
      <c r="BU226" s="57" t="s">
        <v>1288</v>
      </c>
      <c r="BV226" s="70">
        <f t="shared" si="1008"/>
        <v>43</v>
      </c>
      <c r="BW226" s="71">
        <f t="shared" si="1009"/>
        <v>78</v>
      </c>
      <c r="BX226" s="72">
        <f t="shared" si="1010"/>
        <v>82</v>
      </c>
      <c r="BY226" s="71">
        <f t="shared" si="1011"/>
        <v>113</v>
      </c>
      <c r="BZ226" s="72">
        <f t="shared" si="1012"/>
        <v>117</v>
      </c>
      <c r="CA226" s="71">
        <f t="shared" si="1013"/>
        <v>153</v>
      </c>
      <c r="CB226" s="72">
        <f t="shared" si="1014"/>
        <v>161</v>
      </c>
      <c r="CC226" s="71">
        <f t="shared" si="1015"/>
        <v>198</v>
      </c>
      <c r="CD226" s="72">
        <f t="shared" si="1016"/>
        <v>206</v>
      </c>
      <c r="CE226" s="71">
        <f t="shared" si="1017"/>
        <v>249</v>
      </c>
      <c r="CF226" s="72">
        <f t="shared" si="1018"/>
        <v>293</v>
      </c>
      <c r="CG226" s="71">
        <f t="shared" si="1019"/>
        <v>322</v>
      </c>
      <c r="CH226" s="70">
        <f t="shared" si="1020"/>
        <v>77</v>
      </c>
      <c r="CI226" s="71">
        <f t="shared" si="1021"/>
        <v>81</v>
      </c>
      <c r="CJ226" s="72">
        <f t="shared" si="1022"/>
        <v>111</v>
      </c>
      <c r="CK226" s="72">
        <f t="shared" si="1023"/>
        <v>116</v>
      </c>
      <c r="CL226" s="72">
        <f t="shared" si="1024"/>
        <v>152</v>
      </c>
      <c r="CM226" s="72">
        <f t="shared" si="1025"/>
        <v>160</v>
      </c>
      <c r="CN226" s="72">
        <f t="shared" si="1026"/>
        <v>187</v>
      </c>
      <c r="CO226" s="72">
        <f t="shared" si="1027"/>
        <v>200</v>
      </c>
      <c r="CP226" s="72">
        <f t="shared" si="1028"/>
        <v>243</v>
      </c>
      <c r="CQ226" s="72">
        <f t="shared" si="1029"/>
        <v>287</v>
      </c>
      <c r="CR226" s="72">
        <f t="shared" si="1030"/>
        <v>321</v>
      </c>
      <c r="CS226" s="72">
        <f t="shared" si="1031"/>
        <v>333</v>
      </c>
      <c r="CT226" s="23">
        <f t="shared" si="1032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</row>
    <row r="227" spans="1:1030" s="2" customFormat="1" x14ac:dyDescent="0.2">
      <c r="A227" s="3" t="str">
        <f t="shared" si="1033"/>
        <v>oprd_mouse__wt</v>
      </c>
      <c r="B227" s="3" t="s">
        <v>916</v>
      </c>
      <c r="C227" s="3" t="s">
        <v>100</v>
      </c>
      <c r="D227" s="3" t="str">
        <f>IFERROR(MID(VLOOKUP($B227,Seqs!$A:$B,2,0),E227,1),"")</f>
        <v>R</v>
      </c>
      <c r="E227" s="3">
        <v>41</v>
      </c>
      <c r="F227" s="3" t="str">
        <f>IFERROR(MID(VLOOKUP($B227,Seqs!$A:$B,2,0),G227,1),"")</f>
        <v>Y</v>
      </c>
      <c r="G227" s="3">
        <v>77</v>
      </c>
      <c r="H227" s="3" t="str">
        <f>IFERROR(MID(VLOOKUP($B227,Seqs!$A:$B,2,0),I227,1),"")</f>
        <v>T</v>
      </c>
      <c r="I227" s="23">
        <v>78</v>
      </c>
      <c r="J227" s="3" t="str">
        <f>IFERROR(MID(VLOOKUP($B227,Seqs!$A:$B,2,0),K227,1),"")</f>
        <v>K</v>
      </c>
      <c r="K227" s="23">
        <v>81</v>
      </c>
      <c r="L227" s="3" t="str">
        <f>IFERROR(MID(VLOOKUP($B227,Seqs!$A:$B,2,0),M227,1),"")</f>
        <v>T</v>
      </c>
      <c r="M227" s="3">
        <v>82</v>
      </c>
      <c r="N227" s="3" t="str">
        <f>IFERROR(MID(VLOOKUP($B227,Seqs!$A:$B,2,0),O227,1),"")</f>
        <v>M</v>
      </c>
      <c r="O227" s="3">
        <v>111</v>
      </c>
      <c r="P227" s="3" t="str">
        <f>IFERROR(MID(VLOOKUP($B227,Seqs!$A:$B,2,0),Q227,1),"")</f>
        <v>T</v>
      </c>
      <c r="Q227" s="3">
        <v>113</v>
      </c>
      <c r="R227" s="3" t="str">
        <f>IFERROR(MID(VLOOKUP($B227,Seqs!$A:$B,2,0),S227,1),"")</f>
        <v>F</v>
      </c>
      <c r="S227" s="3">
        <v>116</v>
      </c>
      <c r="T227" s="3" t="str">
        <f>IFERROR(MID(VLOOKUP($B227,Seqs!$A:$B,2,0),U227,1),"")</f>
        <v>G</v>
      </c>
      <c r="U227" s="3">
        <v>117</v>
      </c>
      <c r="V227" s="3" t="str">
        <f>IFERROR(MID(VLOOKUP($B227,Seqs!$A:$B,2,0),W227,1),"")</f>
        <v>H</v>
      </c>
      <c r="W227" s="3">
        <v>152</v>
      </c>
      <c r="X227" s="3" t="str">
        <f>IFERROR(MID(VLOOKUP($B227,Seqs!$A:$B,2,0),Y227,1),"")</f>
        <v>P</v>
      </c>
      <c r="Y227" s="3">
        <v>153</v>
      </c>
      <c r="Z227" s="3" t="str">
        <f>IFERROR(MID(VLOOKUP($B227,Seqs!$A:$B,2,0),AA227,1),"")</f>
        <v>R</v>
      </c>
      <c r="AA227" s="3">
        <v>160</v>
      </c>
      <c r="AB227" s="3" t="str">
        <f>IFERROR(MID(VLOOKUP($B227,Seqs!$A:$B,2,0),AC227,1),"")</f>
        <v>T</v>
      </c>
      <c r="AC227" s="9">
        <v>161</v>
      </c>
      <c r="AD227" s="3" t="str">
        <f>IFERROR(MID(VLOOKUP($B227,Seqs!$A:$B,2,0),AE227,1),"")</f>
        <v>A</v>
      </c>
      <c r="AE227" s="3">
        <v>187</v>
      </c>
      <c r="AF227" s="3" t="str">
        <f>IFERROR(MID(VLOOKUP($B227,Seqs!$A:$B,2,0),AG227,1),"")</f>
        <v>C</v>
      </c>
      <c r="AG227" s="3">
        <v>198</v>
      </c>
      <c r="AH227" s="3" t="str">
        <f>IFERROR(MID(VLOOKUP($B227,Seqs!$A:$B,2,0),AI227,1),"")</f>
        <v>L</v>
      </c>
      <c r="AI227" s="3">
        <v>200</v>
      </c>
      <c r="AJ227" s="3" t="str">
        <f>IFERROR(MID(VLOOKUP($B227,Seqs!$A:$B,2,0),AK227,1),"")</f>
        <v>S</v>
      </c>
      <c r="AK227" s="3">
        <v>206</v>
      </c>
      <c r="AL227" s="3" t="str">
        <f>IFERROR(MID(VLOOKUP($B227,Seqs!$A:$B,2,0),AM227,1),"")</f>
        <v>V</v>
      </c>
      <c r="AM227" s="3">
        <v>243</v>
      </c>
      <c r="AN227" s="3" t="str">
        <f>IFERROR(MID(VLOOKUP($B227,Seqs!$A:$B,2,0),AO227,1),"")</f>
        <v>S</v>
      </c>
      <c r="AO227" s="3">
        <v>249</v>
      </c>
      <c r="AP227" s="3" t="str">
        <f>IFERROR(MID(VLOOKUP($B227,Seqs!$A:$B,2,0),AQ227,1),"")</f>
        <v>V</v>
      </c>
      <c r="AQ227" s="3">
        <v>287</v>
      </c>
      <c r="AR227" s="3" t="str">
        <f>IFERROR(MID(VLOOKUP($B227,Seqs!$A:$B,2,0),AS227,1),"")</f>
        <v>D</v>
      </c>
      <c r="AS227" s="3">
        <v>293</v>
      </c>
      <c r="AT227" s="3" t="str">
        <f>IFERROR(MID(VLOOKUP($B227,Seqs!$A:$B,2,0),AU227,1),"")</f>
        <v>L</v>
      </c>
      <c r="AU227" s="3">
        <v>321</v>
      </c>
      <c r="AV227" s="3" t="str">
        <f>IFERROR(MID(VLOOKUP($B227,Seqs!$A:$B,2,0),AW227,1),"")</f>
        <v>D</v>
      </c>
      <c r="AW227" s="3">
        <v>322</v>
      </c>
      <c r="AX227" s="3" t="str">
        <f>IFERROR(MID(VLOOKUP($B227,Seqs!$A:$B,2,0),AY227,1),"")</f>
        <v>T</v>
      </c>
      <c r="AY227" s="3">
        <v>335</v>
      </c>
      <c r="AZ227" s="77" t="str">
        <f>VLOOKUP(B227,Classification!A:D,2,0)</f>
        <v>A</v>
      </c>
      <c r="BA227" s="94" t="str">
        <f>VLOOKUP(B227,Classification!A:D,4,0)</f>
        <v>Opioid</v>
      </c>
      <c r="BB227" s="27" t="b">
        <f t="shared" si="1034"/>
        <v>1</v>
      </c>
      <c r="BC227" s="23">
        <f t="shared" si="1007"/>
        <v>269</v>
      </c>
      <c r="BD227" s="56" t="s">
        <v>23</v>
      </c>
      <c r="BE227" s="3" t="s">
        <v>23</v>
      </c>
      <c r="BF227" s="119" t="s">
        <v>23</v>
      </c>
      <c r="BG227" s="49" t="s">
        <v>1373</v>
      </c>
      <c r="BH227" s="49" t="s">
        <v>1378</v>
      </c>
      <c r="BI227" s="1"/>
      <c r="BJ227" s="70" t="s">
        <v>1288</v>
      </c>
      <c r="BK227" s="57" t="s">
        <v>1288</v>
      </c>
      <c r="BL227" s="57" t="s">
        <v>1288</v>
      </c>
      <c r="BM227" s="57" t="s">
        <v>1288</v>
      </c>
      <c r="BN227" s="57" t="s">
        <v>1288</v>
      </c>
      <c r="BO227" s="57" t="s">
        <v>1288</v>
      </c>
      <c r="BP227" s="57" t="s">
        <v>1288</v>
      </c>
      <c r="BQ227" s="57" t="s">
        <v>1288</v>
      </c>
      <c r="BR227" s="57" t="s">
        <v>1288</v>
      </c>
      <c r="BS227" s="57" t="s">
        <v>1288</v>
      </c>
      <c r="BT227" s="57" t="s">
        <v>1288</v>
      </c>
      <c r="BU227" s="57" t="s">
        <v>1288</v>
      </c>
      <c r="BV227" s="70">
        <f t="shared" si="1008"/>
        <v>41</v>
      </c>
      <c r="BW227" s="71">
        <f t="shared" si="1009"/>
        <v>78</v>
      </c>
      <c r="BX227" s="72">
        <f t="shared" si="1010"/>
        <v>82</v>
      </c>
      <c r="BY227" s="71">
        <f t="shared" si="1011"/>
        <v>113</v>
      </c>
      <c r="BZ227" s="72">
        <f t="shared" si="1012"/>
        <v>117</v>
      </c>
      <c r="CA227" s="71">
        <f t="shared" si="1013"/>
        <v>153</v>
      </c>
      <c r="CB227" s="72">
        <f t="shared" si="1014"/>
        <v>161</v>
      </c>
      <c r="CC227" s="71">
        <f t="shared" si="1015"/>
        <v>198</v>
      </c>
      <c r="CD227" s="72">
        <f t="shared" si="1016"/>
        <v>206</v>
      </c>
      <c r="CE227" s="71">
        <f t="shared" si="1017"/>
        <v>249</v>
      </c>
      <c r="CF227" s="72">
        <f t="shared" si="1018"/>
        <v>293</v>
      </c>
      <c r="CG227" s="71">
        <f t="shared" si="1019"/>
        <v>322</v>
      </c>
      <c r="CH227" s="70">
        <f t="shared" si="1020"/>
        <v>77</v>
      </c>
      <c r="CI227" s="71">
        <f t="shared" si="1021"/>
        <v>81</v>
      </c>
      <c r="CJ227" s="72">
        <f t="shared" si="1022"/>
        <v>111</v>
      </c>
      <c r="CK227" s="72">
        <f t="shared" si="1023"/>
        <v>116</v>
      </c>
      <c r="CL227" s="72">
        <f t="shared" si="1024"/>
        <v>152</v>
      </c>
      <c r="CM227" s="72">
        <f t="shared" si="1025"/>
        <v>160</v>
      </c>
      <c r="CN227" s="72">
        <f t="shared" si="1026"/>
        <v>187</v>
      </c>
      <c r="CO227" s="72">
        <f t="shared" si="1027"/>
        <v>200</v>
      </c>
      <c r="CP227" s="72">
        <f t="shared" si="1028"/>
        <v>243</v>
      </c>
      <c r="CQ227" s="72">
        <f t="shared" si="1029"/>
        <v>287</v>
      </c>
      <c r="CR227" s="72">
        <f t="shared" si="1030"/>
        <v>321</v>
      </c>
      <c r="CS227" s="72">
        <f t="shared" si="1031"/>
        <v>335</v>
      </c>
      <c r="CT227" s="23">
        <f t="shared" si="1032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</row>
    <row r="228" spans="1:1030" s="2" customFormat="1" x14ac:dyDescent="0.2">
      <c r="A228" s="3" t="str">
        <f t="shared" si="1033"/>
        <v>oprd_mouse_4EJ4</v>
      </c>
      <c r="B228" s="3" t="s">
        <v>916</v>
      </c>
      <c r="C228" s="3" t="s">
        <v>64</v>
      </c>
      <c r="D228" s="3" t="str">
        <f>IFERROR(MID(VLOOKUP($B228,Seqs!$A:$B,2,0),E228,1),"")</f>
        <v>R</v>
      </c>
      <c r="E228" s="3">
        <v>41</v>
      </c>
      <c r="F228" s="3" t="str">
        <f>IFERROR(MID(VLOOKUP($B228,Seqs!$A:$B,2,0),G228,1),"")</f>
        <v>Y</v>
      </c>
      <c r="G228" s="3">
        <v>77</v>
      </c>
      <c r="H228" s="3" t="str">
        <f>IFERROR(MID(VLOOKUP($B228,Seqs!$A:$B,2,0),I228,1),"")</f>
        <v>T</v>
      </c>
      <c r="I228" s="23">
        <v>78</v>
      </c>
      <c r="J228" s="3" t="str">
        <f>IFERROR(MID(VLOOKUP($B228,Seqs!$A:$B,2,0),K228,1),"")</f>
        <v>K</v>
      </c>
      <c r="K228" s="23">
        <v>81</v>
      </c>
      <c r="L228" s="3" t="str">
        <f>IFERROR(MID(VLOOKUP($B228,Seqs!$A:$B,2,0),M228,1),"")</f>
        <v>T</v>
      </c>
      <c r="M228" s="3">
        <v>82</v>
      </c>
      <c r="N228" s="3" t="str">
        <f>IFERROR(MID(VLOOKUP($B228,Seqs!$A:$B,2,0),O228,1),"")</f>
        <v>M</v>
      </c>
      <c r="O228" s="3">
        <v>111</v>
      </c>
      <c r="P228" s="3" t="str">
        <f>IFERROR(MID(VLOOKUP($B228,Seqs!$A:$B,2,0),Q228,1),"")</f>
        <v>T</v>
      </c>
      <c r="Q228" s="3">
        <v>113</v>
      </c>
      <c r="R228" s="3" t="str">
        <f>IFERROR(MID(VLOOKUP($B228,Seqs!$A:$B,2,0),S228,1),"")</f>
        <v>F</v>
      </c>
      <c r="S228" s="3">
        <v>116</v>
      </c>
      <c r="T228" s="3" t="str">
        <f>IFERROR(MID(VLOOKUP($B228,Seqs!$A:$B,2,0),U228,1),"")</f>
        <v>G</v>
      </c>
      <c r="U228" s="3">
        <v>117</v>
      </c>
      <c r="V228" s="3" t="str">
        <f>IFERROR(MID(VLOOKUP($B228,Seqs!$A:$B,2,0),W228,1),"")</f>
        <v>H</v>
      </c>
      <c r="W228" s="3">
        <v>152</v>
      </c>
      <c r="X228" s="3" t="str">
        <f>IFERROR(MID(VLOOKUP($B228,Seqs!$A:$B,2,0),Y228,1),"")</f>
        <v>P</v>
      </c>
      <c r="Y228" s="3">
        <v>153</v>
      </c>
      <c r="Z228" s="3" t="str">
        <f>IFERROR(MID(VLOOKUP($B228,Seqs!$A:$B,2,0),AA228,1),"")</f>
        <v>R</v>
      </c>
      <c r="AA228" s="3">
        <v>160</v>
      </c>
      <c r="AB228" s="3" t="str">
        <f>IFERROR(MID(VLOOKUP($B228,Seqs!$A:$B,2,0),AC228,1),"")</f>
        <v>T</v>
      </c>
      <c r="AC228" s="9">
        <v>161</v>
      </c>
      <c r="AD228" s="3" t="str">
        <f>IFERROR(MID(VLOOKUP($B228,Seqs!$A:$B,2,0),AE228,1),"")</f>
        <v>A</v>
      </c>
      <c r="AE228" s="3">
        <v>187</v>
      </c>
      <c r="AF228" s="3" t="str">
        <f>IFERROR(MID(VLOOKUP($B228,Seqs!$A:$B,2,0),AG228,1),"")</f>
        <v>C</v>
      </c>
      <c r="AG228" s="3">
        <v>198</v>
      </c>
      <c r="AH228" s="3" t="str">
        <f>IFERROR(MID(VLOOKUP($B228,Seqs!$A:$B,2,0),AI228,1),"")</f>
        <v>L</v>
      </c>
      <c r="AI228" s="3">
        <v>200</v>
      </c>
      <c r="AJ228" s="3" t="str">
        <f>IFERROR(MID(VLOOKUP($B228,Seqs!$A:$B,2,0),AK228,1),"")</f>
        <v>S</v>
      </c>
      <c r="AK228" s="3">
        <v>206</v>
      </c>
      <c r="AL228" s="3" t="str">
        <f>IFERROR(MID(VLOOKUP($B228,Seqs!$A:$B,2,0),AM228,1),"")</f>
        <v>L</v>
      </c>
      <c r="AM228" s="3">
        <v>238</v>
      </c>
      <c r="AN228" s="3" t="str">
        <f>IFERROR(MID(VLOOKUP($B228,Seqs!$A:$B,2,0),AO228,1),"")</f>
        <v>R</v>
      </c>
      <c r="AO228" s="3">
        <v>258</v>
      </c>
      <c r="AP228" s="3" t="str">
        <f>IFERROR(MID(VLOOKUP($B228,Seqs!$A:$B,2,0),AQ228,1),"")</f>
        <v>V</v>
      </c>
      <c r="AQ228" s="3">
        <v>287</v>
      </c>
      <c r="AR228" s="3" t="str">
        <f>IFERROR(MID(VLOOKUP($B228,Seqs!$A:$B,2,0),AS228,1),"")</f>
        <v>D</v>
      </c>
      <c r="AS228" s="3">
        <v>293</v>
      </c>
      <c r="AT228" s="3" t="str">
        <f>IFERROR(MID(VLOOKUP($B228,Seqs!$A:$B,2,0),AU228,1),"")</f>
        <v>L</v>
      </c>
      <c r="AU228" s="3">
        <v>321</v>
      </c>
      <c r="AV228" s="3" t="str">
        <f>IFERROR(MID(VLOOKUP($B228,Seqs!$A:$B,2,0),AW228,1),"")</f>
        <v>D</v>
      </c>
      <c r="AW228" s="3">
        <v>322</v>
      </c>
      <c r="AX228" s="3" t="str">
        <f>IFERROR(MID(VLOOKUP($B228,Seqs!$A:$B,2,0),AY228,1),"")</f>
        <v>C</v>
      </c>
      <c r="AY228" s="3">
        <v>328</v>
      </c>
      <c r="AZ228" s="77" t="str">
        <f>VLOOKUP(B228,Classification!A:D,2,0)</f>
        <v>A</v>
      </c>
      <c r="BA228" s="94" t="str">
        <f>VLOOKUP(B228,Classification!A:D,4,0)</f>
        <v>Opioid</v>
      </c>
      <c r="BB228" s="27" t="b">
        <f t="shared" si="1034"/>
        <v>1</v>
      </c>
      <c r="BC228" s="23">
        <f t="shared" si="1007"/>
        <v>248</v>
      </c>
      <c r="BD228" s="2" t="s">
        <v>1377</v>
      </c>
      <c r="BE228" s="3" t="s">
        <v>1375</v>
      </c>
      <c r="BF228" s="119">
        <v>3.4</v>
      </c>
      <c r="BG228" s="49" t="s">
        <v>1378</v>
      </c>
      <c r="BH228" s="49" t="s">
        <v>1378</v>
      </c>
      <c r="BI228" s="1"/>
      <c r="BJ228" s="70" t="s">
        <v>1288</v>
      </c>
      <c r="BK228" s="57" t="s">
        <v>1288</v>
      </c>
      <c r="BL228" s="57" t="s">
        <v>1288</v>
      </c>
      <c r="BM228" s="57" t="s">
        <v>1288</v>
      </c>
      <c r="BN228" s="57" t="s">
        <v>1288</v>
      </c>
      <c r="BO228" s="57" t="s">
        <v>1288</v>
      </c>
      <c r="BP228" s="57" t="s">
        <v>1288</v>
      </c>
      <c r="BQ228" s="57" t="s">
        <v>1288</v>
      </c>
      <c r="BR228" s="57" t="s">
        <v>1288</v>
      </c>
      <c r="BS228" s="57" t="s">
        <v>1288</v>
      </c>
      <c r="BT228" s="57" t="s">
        <v>1288</v>
      </c>
      <c r="BU228" s="57" t="s">
        <v>1288</v>
      </c>
      <c r="BV228" s="70">
        <f t="shared" si="1008"/>
        <v>41</v>
      </c>
      <c r="BW228" s="71">
        <f t="shared" si="1009"/>
        <v>78</v>
      </c>
      <c r="BX228" s="72">
        <f t="shared" si="1010"/>
        <v>82</v>
      </c>
      <c r="BY228" s="71">
        <f t="shared" si="1011"/>
        <v>113</v>
      </c>
      <c r="BZ228" s="72">
        <f t="shared" si="1012"/>
        <v>117</v>
      </c>
      <c r="CA228" s="71">
        <f t="shared" si="1013"/>
        <v>153</v>
      </c>
      <c r="CB228" s="72">
        <f t="shared" si="1014"/>
        <v>161</v>
      </c>
      <c r="CC228" s="71">
        <f t="shared" si="1015"/>
        <v>198</v>
      </c>
      <c r="CD228" s="72">
        <f t="shared" si="1016"/>
        <v>206</v>
      </c>
      <c r="CE228" s="71">
        <f t="shared" si="1017"/>
        <v>258</v>
      </c>
      <c r="CF228" s="72">
        <f t="shared" si="1018"/>
        <v>293</v>
      </c>
      <c r="CG228" s="71">
        <f t="shared" si="1019"/>
        <v>322</v>
      </c>
      <c r="CH228" s="70">
        <f t="shared" si="1020"/>
        <v>77</v>
      </c>
      <c r="CI228" s="71">
        <f t="shared" si="1021"/>
        <v>81</v>
      </c>
      <c r="CJ228" s="72">
        <f t="shared" si="1022"/>
        <v>111</v>
      </c>
      <c r="CK228" s="72">
        <f t="shared" si="1023"/>
        <v>116</v>
      </c>
      <c r="CL228" s="72">
        <f t="shared" si="1024"/>
        <v>152</v>
      </c>
      <c r="CM228" s="72">
        <f t="shared" si="1025"/>
        <v>160</v>
      </c>
      <c r="CN228" s="72">
        <f t="shared" si="1026"/>
        <v>187</v>
      </c>
      <c r="CO228" s="72">
        <f t="shared" si="1027"/>
        <v>200</v>
      </c>
      <c r="CP228" s="72">
        <f t="shared" si="1028"/>
        <v>238</v>
      </c>
      <c r="CQ228" s="72">
        <f t="shared" si="1029"/>
        <v>287</v>
      </c>
      <c r="CR228" s="72">
        <f t="shared" si="1030"/>
        <v>321</v>
      </c>
      <c r="CS228" s="72">
        <f t="shared" si="1031"/>
        <v>328</v>
      </c>
      <c r="CT228" s="23">
        <f t="shared" si="1032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</row>
    <row r="229" spans="1:1030" x14ac:dyDescent="0.2">
      <c r="A229" s="3" t="str">
        <f t="shared" si="1033"/>
        <v>oprk_human__wt</v>
      </c>
      <c r="B229" s="3" t="s">
        <v>336</v>
      </c>
      <c r="C229" s="3" t="s">
        <v>100</v>
      </c>
      <c r="D229" s="3" t="str">
        <f>IFERROR(MID(VLOOKUP($B229,Seqs!$A:$B,2,0),E229,1),"")</f>
        <v>A</v>
      </c>
      <c r="E229" s="3">
        <v>57</v>
      </c>
      <c r="F229" s="3" t="str">
        <f>IFERROR(MID(VLOOKUP($B229,Seqs!$A:$B,2,0),G229,1),"")</f>
        <v>Y</v>
      </c>
      <c r="G229" s="3">
        <v>87</v>
      </c>
      <c r="H229" s="3" t="str">
        <f>IFERROR(MID(VLOOKUP($B229,Seqs!$A:$B,2,0),I229,1),"")</f>
        <v>T</v>
      </c>
      <c r="I229" s="23">
        <v>88</v>
      </c>
      <c r="J229" s="3" t="str">
        <f>IFERROR(MID(VLOOKUP($B229,Seqs!$A:$B,2,0),K229,1),"")</f>
        <v>K</v>
      </c>
      <c r="K229" s="23">
        <v>91</v>
      </c>
      <c r="L229" s="3" t="str">
        <f>IFERROR(MID(VLOOKUP($B229,Seqs!$A:$B,2,0),M229,1),"")</f>
        <v>T</v>
      </c>
      <c r="M229" s="3">
        <v>92</v>
      </c>
      <c r="N229" s="3" t="str">
        <f>IFERROR(MID(VLOOKUP($B229,Seqs!$A:$B,2,0),O229,1),"")</f>
        <v>N</v>
      </c>
      <c r="O229" s="105">
        <v>122</v>
      </c>
      <c r="P229" s="3" t="str">
        <f>IFERROR(MID(VLOOKUP($B229,Seqs!$A:$B,2,0),Q229,1),"")</f>
        <v>S</v>
      </c>
      <c r="Q229" s="3">
        <v>123</v>
      </c>
      <c r="R229" s="3" t="str">
        <f>IFERROR(MID(VLOOKUP($B229,Seqs!$A:$B,2,0),S229,1),"")</f>
        <v>F</v>
      </c>
      <c r="S229" s="3">
        <v>126</v>
      </c>
      <c r="T229" s="3" t="str">
        <f>IFERROR(MID(VLOOKUP($B229,Seqs!$A:$B,2,0),U229,1),"")</f>
        <v>G</v>
      </c>
      <c r="U229" s="3">
        <v>127</v>
      </c>
      <c r="V229" s="3" t="str">
        <f>IFERROR(MID(VLOOKUP($B229,Seqs!$A:$B,2,0),W229,1),"")</f>
        <v>H</v>
      </c>
      <c r="W229" s="3">
        <v>162</v>
      </c>
      <c r="X229" s="3" t="str">
        <f>IFERROR(MID(VLOOKUP($B229,Seqs!$A:$B,2,0),Y229,1),"")</f>
        <v>P</v>
      </c>
      <c r="Y229" s="3">
        <v>163</v>
      </c>
      <c r="Z229" s="3" t="str">
        <f>IFERROR(MID(VLOOKUP($B229,Seqs!$A:$B,2,0),AA229,1),"")</f>
        <v>R</v>
      </c>
      <c r="AA229" s="3">
        <v>170</v>
      </c>
      <c r="AB229" s="3" t="str">
        <f>IFERROR(MID(VLOOKUP($B229,Seqs!$A:$B,2,0),AC229,1),"")</f>
        <v>T</v>
      </c>
      <c r="AC229" s="9">
        <v>171</v>
      </c>
      <c r="AD229" s="3" t="str">
        <f>IFERROR(MID(VLOOKUP($B229,Seqs!$A:$B,2,0),AE229,1),"")</f>
        <v>G</v>
      </c>
      <c r="AE229" s="3">
        <v>197</v>
      </c>
      <c r="AF229" s="3" t="str">
        <f>IFERROR(MID(VLOOKUP($B229,Seqs!$A:$B,2,0),AG229,1),"")</f>
        <v>C</v>
      </c>
      <c r="AG229" s="3">
        <v>210</v>
      </c>
      <c r="AH229" s="3" t="str">
        <f>IFERROR(MID(VLOOKUP($B229,Seqs!$A:$B,2,0),AI229,1),"")</f>
        <v>L</v>
      </c>
      <c r="AI229" s="3">
        <v>212</v>
      </c>
      <c r="AJ229" s="3" t="str">
        <f>IFERROR(MID(VLOOKUP($B229,Seqs!$A:$B,2,0),AK229,1),"")</f>
        <v>D</v>
      </c>
      <c r="AK229" s="105">
        <v>218</v>
      </c>
      <c r="AL229" s="3" t="str">
        <f>IFERROR(MID(VLOOKUP($B229,Seqs!$A:$B,2,0),AM229,1),"")</f>
        <v>V</v>
      </c>
      <c r="AM229" s="3">
        <v>256</v>
      </c>
      <c r="AN229" s="3" t="str">
        <f>IFERROR(MID(VLOOKUP($B229,Seqs!$A:$B,2,0),AO229,1),"")</f>
        <v>S</v>
      </c>
      <c r="AO229" s="3">
        <v>262</v>
      </c>
      <c r="AP229" s="3" t="str">
        <f>IFERROR(MID(VLOOKUP($B229,Seqs!$A:$B,2,0),AQ229,1),"")</f>
        <v>G</v>
      </c>
      <c r="AQ229" s="3">
        <v>300</v>
      </c>
      <c r="AR229" s="3" t="str">
        <f>IFERROR(MID(VLOOKUP($B229,Seqs!$A:$B,2,0),AS229,1),"")</f>
        <v>S</v>
      </c>
      <c r="AS229" s="3">
        <v>305</v>
      </c>
      <c r="AT229" s="3" t="str">
        <f>IFERROR(MID(VLOOKUP($B229,Seqs!$A:$B,2,0),AU229,1),"")</f>
        <v>L</v>
      </c>
      <c r="AU229" s="3">
        <v>333</v>
      </c>
      <c r="AV229" s="3" t="str">
        <f>IFERROR(MID(VLOOKUP($B229,Seqs!$A:$B,2,0),AW229,1),"")</f>
        <v>D</v>
      </c>
      <c r="AW229" s="3">
        <v>334</v>
      </c>
      <c r="AX229" s="3" t="str">
        <f>IFERROR(MID(VLOOKUP($B229,Seqs!$A:$B,2,0),AY229,1),"")</f>
        <v>F</v>
      </c>
      <c r="AY229" s="3">
        <v>346</v>
      </c>
      <c r="AZ229" s="77" t="str">
        <f>VLOOKUP(B229,Classification!A:D,2,0)</f>
        <v>A</v>
      </c>
      <c r="BA229" s="94" t="str">
        <f>VLOOKUP(B229,Classification!A:D,4,0)</f>
        <v>Opioid</v>
      </c>
      <c r="BB229" s="27" t="b">
        <f t="shared" si="1034"/>
        <v>1</v>
      </c>
      <c r="BC229" s="23">
        <f t="shared" si="1007"/>
        <v>264</v>
      </c>
      <c r="BD229" s="56" t="s">
        <v>23</v>
      </c>
      <c r="BE229" s="3" t="s">
        <v>23</v>
      </c>
      <c r="BF229" s="119" t="s">
        <v>23</v>
      </c>
      <c r="BG229" s="49" t="s">
        <v>1373</v>
      </c>
      <c r="BH229" s="49" t="s">
        <v>1378</v>
      </c>
      <c r="BI229" s="1"/>
      <c r="BJ229" s="70" t="s">
        <v>1288</v>
      </c>
      <c r="BK229" s="57" t="s">
        <v>1288</v>
      </c>
      <c r="BL229" s="57" t="s">
        <v>1288</v>
      </c>
      <c r="BM229" s="57" t="s">
        <v>1288</v>
      </c>
      <c r="BN229" s="57" t="s">
        <v>1288</v>
      </c>
      <c r="BO229" s="57" t="s">
        <v>1288</v>
      </c>
      <c r="BP229" s="57" t="s">
        <v>1288</v>
      </c>
      <c r="BQ229" s="57" t="s">
        <v>1288</v>
      </c>
      <c r="BR229" s="57" t="s">
        <v>1288</v>
      </c>
      <c r="BS229" s="57" t="s">
        <v>1288</v>
      </c>
      <c r="BT229" s="57" t="s">
        <v>1288</v>
      </c>
      <c r="BU229" s="57" t="s">
        <v>1288</v>
      </c>
      <c r="BV229" s="70">
        <f t="shared" si="1008"/>
        <v>57</v>
      </c>
      <c r="BW229" s="71">
        <f t="shared" si="1009"/>
        <v>88</v>
      </c>
      <c r="BX229" s="72">
        <f t="shared" si="1010"/>
        <v>92</v>
      </c>
      <c r="BY229" s="71">
        <f t="shared" si="1011"/>
        <v>123</v>
      </c>
      <c r="BZ229" s="72">
        <f t="shared" si="1012"/>
        <v>127</v>
      </c>
      <c r="CA229" s="71">
        <f t="shared" si="1013"/>
        <v>163</v>
      </c>
      <c r="CB229" s="72">
        <f t="shared" si="1014"/>
        <v>171</v>
      </c>
      <c r="CC229" s="71">
        <f t="shared" si="1015"/>
        <v>210</v>
      </c>
      <c r="CD229" s="72">
        <f t="shared" si="1016"/>
        <v>218</v>
      </c>
      <c r="CE229" s="71">
        <f t="shared" si="1017"/>
        <v>262</v>
      </c>
      <c r="CF229" s="72">
        <f t="shared" si="1018"/>
        <v>305</v>
      </c>
      <c r="CG229" s="71">
        <f t="shared" si="1019"/>
        <v>334</v>
      </c>
      <c r="CH229" s="70">
        <f t="shared" si="1020"/>
        <v>87</v>
      </c>
      <c r="CI229" s="71">
        <f t="shared" si="1021"/>
        <v>91</v>
      </c>
      <c r="CJ229" s="72">
        <f t="shared" si="1022"/>
        <v>122</v>
      </c>
      <c r="CK229" s="72">
        <f t="shared" si="1023"/>
        <v>126</v>
      </c>
      <c r="CL229" s="72">
        <f t="shared" si="1024"/>
        <v>162</v>
      </c>
      <c r="CM229" s="72">
        <f t="shared" si="1025"/>
        <v>170</v>
      </c>
      <c r="CN229" s="72">
        <f t="shared" si="1026"/>
        <v>197</v>
      </c>
      <c r="CO229" s="72">
        <f t="shared" si="1027"/>
        <v>212</v>
      </c>
      <c r="CP229" s="72">
        <f t="shared" si="1028"/>
        <v>256</v>
      </c>
      <c r="CQ229" s="72">
        <f t="shared" si="1029"/>
        <v>300</v>
      </c>
      <c r="CR229" s="72">
        <f t="shared" si="1030"/>
        <v>333</v>
      </c>
      <c r="CS229" s="72">
        <f t="shared" si="1031"/>
        <v>346</v>
      </c>
      <c r="CT229" s="23">
        <f t="shared" si="1032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1033"/>
        <v>oprk_human_4DJH</v>
      </c>
      <c r="B230" s="3" t="s">
        <v>336</v>
      </c>
      <c r="C230" s="3" t="s">
        <v>88</v>
      </c>
      <c r="D230" s="3" t="str">
        <f>IFERROR(MID(VLOOKUP($B230,Seqs!$A:$B,2,0),E230,1),"")</f>
        <v>A</v>
      </c>
      <c r="E230" s="3">
        <v>57</v>
      </c>
      <c r="F230" s="3" t="str">
        <f>IFERROR(MID(VLOOKUP($B230,Seqs!$A:$B,2,0),G230,1),"")</f>
        <v>Y</v>
      </c>
      <c r="G230" s="3">
        <v>87</v>
      </c>
      <c r="H230" s="3" t="str">
        <f>IFERROR(MID(VLOOKUP($B230,Seqs!$A:$B,2,0),I230,1),"")</f>
        <v>T</v>
      </c>
      <c r="I230" s="23">
        <v>88</v>
      </c>
      <c r="J230" s="3" t="str">
        <f>IFERROR(MID(VLOOKUP($B230,Seqs!$A:$B,2,0),K230,1),"")</f>
        <v>K</v>
      </c>
      <c r="K230" s="23">
        <v>91</v>
      </c>
      <c r="L230" s="3" t="str">
        <f>IFERROR(MID(VLOOKUP($B230,Seqs!$A:$B,2,0),M230,1),"")</f>
        <v>T</v>
      </c>
      <c r="M230" s="3">
        <v>92</v>
      </c>
      <c r="N230" s="3" t="str">
        <f>IFERROR(MID(VLOOKUP($B230,Seqs!$A:$B,2,0),O230,1),"")</f>
        <v>N</v>
      </c>
      <c r="O230" s="3">
        <v>122</v>
      </c>
      <c r="P230" s="3" t="str">
        <f>IFERROR(MID(VLOOKUP($B230,Seqs!$A:$B,2,0),Q230,1),"")</f>
        <v>S</v>
      </c>
      <c r="Q230" s="3">
        <v>123</v>
      </c>
      <c r="R230" s="3" t="str">
        <f>IFERROR(MID(VLOOKUP($B230,Seqs!$A:$B,2,0),S230,1),"")</f>
        <v>F</v>
      </c>
      <c r="S230" s="3">
        <v>126</v>
      </c>
      <c r="T230" s="3" t="str">
        <f>IFERROR(MID(VLOOKUP($B230,Seqs!$A:$B,2,0),U230,1),"")</f>
        <v>G</v>
      </c>
      <c r="U230" s="3">
        <v>127</v>
      </c>
      <c r="V230" s="3" t="str">
        <f>IFERROR(MID(VLOOKUP($B230,Seqs!$A:$B,2,0),W230,1),"")</f>
        <v>H</v>
      </c>
      <c r="W230" s="3">
        <v>162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R</v>
      </c>
      <c r="AC230" s="9">
        <v>170</v>
      </c>
      <c r="AD230" s="3" t="str">
        <f>IFERROR(MID(VLOOKUP($B230,Seqs!$A:$B,2,0),AE230,1),"")</f>
        <v>G</v>
      </c>
      <c r="AE230" s="3">
        <v>197</v>
      </c>
      <c r="AF230" s="3" t="str">
        <f>IFERROR(MID(VLOOKUP($B230,Seqs!$A:$B,2,0),AG230,1),"")</f>
        <v>C</v>
      </c>
      <c r="AG230" s="3">
        <v>210</v>
      </c>
      <c r="AH230" s="3" t="str">
        <f>IFERROR(MID(VLOOKUP($B230,Seqs!$A:$B,2,0),AI230,1),"")</f>
        <v>L</v>
      </c>
      <c r="AI230" s="3">
        <v>212</v>
      </c>
      <c r="AJ230" s="3" t="str">
        <f>IFERROR(MID(VLOOKUP($B230,Seqs!$A:$B,2,0),AK230,1),"")</f>
        <v>D</v>
      </c>
      <c r="AK230" s="3">
        <v>218</v>
      </c>
      <c r="AL230" s="3" t="str">
        <f>IFERROR(MID(VLOOKUP($B230,Seqs!$A:$B,2,0),AM230,1),"")</f>
        <v>V</v>
      </c>
      <c r="AM230" s="3">
        <v>256</v>
      </c>
      <c r="AN230" s="3" t="str">
        <f>IFERROR(MID(VLOOKUP($B230,Seqs!$A:$B,2,0),AO230,1),"")</f>
        <v>R</v>
      </c>
      <c r="AO230" s="3">
        <v>267</v>
      </c>
      <c r="AP230" s="3" t="str">
        <f>IFERROR(MID(VLOOKUP($B230,Seqs!$A:$B,2,0),AQ230,1),"")</f>
        <v>G</v>
      </c>
      <c r="AQ230" s="3">
        <v>300</v>
      </c>
      <c r="AR230" s="3" t="str">
        <f>IFERROR(MID(VLOOKUP($B230,Seqs!$A:$B,2,0),AS230,1),"")</f>
        <v>A</v>
      </c>
      <c r="AS230" s="3">
        <v>308</v>
      </c>
      <c r="AT230" s="3" t="str">
        <f>IFERROR(MID(VLOOKUP($B230,Seqs!$A:$B,2,0),AU230,1),"")</f>
        <v>L</v>
      </c>
      <c r="AU230" s="3">
        <v>333</v>
      </c>
      <c r="AV230" s="3" t="str">
        <f>IFERROR(MID(VLOOKUP($B230,Seqs!$A:$B,2,0),AW230,1),"")</f>
        <v>D</v>
      </c>
      <c r="AW230" s="3">
        <v>334</v>
      </c>
      <c r="AX230" s="3" t="str">
        <f>IFERROR(MID(VLOOKUP($B230,Seqs!$A:$B,2,0),AY230,1),"")</f>
        <v>F</v>
      </c>
      <c r="AY230" s="3">
        <v>346</v>
      </c>
      <c r="AZ230" s="77" t="str">
        <f>VLOOKUP(B230,Classification!A:D,2,0)</f>
        <v>A</v>
      </c>
      <c r="BA230" s="94" t="str">
        <f>VLOOKUP(B230,Classification!A:D,4,0)</f>
        <v>Opioid</v>
      </c>
      <c r="BB230" s="27" t="b">
        <f t="shared" si="1034"/>
        <v>1</v>
      </c>
      <c r="BC230" s="23">
        <f t="shared" si="1007"/>
        <v>250</v>
      </c>
      <c r="BD230" s="2" t="s">
        <v>1377</v>
      </c>
      <c r="BE230" s="3" t="s">
        <v>1375</v>
      </c>
      <c r="BF230" s="119">
        <v>2.9</v>
      </c>
      <c r="BG230" s="49" t="s">
        <v>1378</v>
      </c>
      <c r="BH230" s="49" t="s">
        <v>1378</v>
      </c>
      <c r="BI230" s="1"/>
      <c r="BJ230" s="70" t="s">
        <v>1288</v>
      </c>
      <c r="BK230" s="57" t="s">
        <v>1288</v>
      </c>
      <c r="BL230" s="57" t="s">
        <v>1288</v>
      </c>
      <c r="BM230" s="57" t="s">
        <v>1288</v>
      </c>
      <c r="BN230" s="57" t="s">
        <v>1288</v>
      </c>
      <c r="BO230" s="57" t="s">
        <v>1288</v>
      </c>
      <c r="BP230" s="57" t="s">
        <v>1288</v>
      </c>
      <c r="BQ230" s="57" t="s">
        <v>1288</v>
      </c>
      <c r="BR230" s="57" t="s">
        <v>1288</v>
      </c>
      <c r="BS230" s="57" t="s">
        <v>1288</v>
      </c>
      <c r="BT230" s="57" t="s">
        <v>1288</v>
      </c>
      <c r="BU230" s="57" t="s">
        <v>1288</v>
      </c>
      <c r="BV230" s="70">
        <f t="shared" si="1008"/>
        <v>57</v>
      </c>
      <c r="BW230" s="71">
        <f t="shared" si="1009"/>
        <v>88</v>
      </c>
      <c r="BX230" s="72">
        <f t="shared" si="1010"/>
        <v>92</v>
      </c>
      <c r="BY230" s="71">
        <f t="shared" si="1011"/>
        <v>123</v>
      </c>
      <c r="BZ230" s="72">
        <f t="shared" si="1012"/>
        <v>127</v>
      </c>
      <c r="CA230" s="71" t="str">
        <f t="shared" si="1013"/>
        <v>-</v>
      </c>
      <c r="CB230" s="72">
        <f t="shared" si="1014"/>
        <v>170</v>
      </c>
      <c r="CC230" s="71">
        <f t="shared" si="1015"/>
        <v>210</v>
      </c>
      <c r="CD230" s="72">
        <f t="shared" si="1016"/>
        <v>218</v>
      </c>
      <c r="CE230" s="71">
        <f t="shared" si="1017"/>
        <v>267</v>
      </c>
      <c r="CF230" s="72">
        <f t="shared" si="1018"/>
        <v>308</v>
      </c>
      <c r="CG230" s="71">
        <f t="shared" si="1019"/>
        <v>334</v>
      </c>
      <c r="CH230" s="70">
        <f t="shared" si="1020"/>
        <v>87</v>
      </c>
      <c r="CI230" s="71">
        <f t="shared" si="1021"/>
        <v>91</v>
      </c>
      <c r="CJ230" s="72">
        <f t="shared" si="1022"/>
        <v>122</v>
      </c>
      <c r="CK230" s="72">
        <f t="shared" si="1023"/>
        <v>126</v>
      </c>
      <c r="CL230" s="72">
        <f t="shared" si="1024"/>
        <v>162</v>
      </c>
      <c r="CM230" s="72" t="str">
        <f t="shared" si="1025"/>
        <v>-</v>
      </c>
      <c r="CN230" s="72">
        <f t="shared" si="1026"/>
        <v>197</v>
      </c>
      <c r="CO230" s="72">
        <f t="shared" si="1027"/>
        <v>212</v>
      </c>
      <c r="CP230" s="72">
        <f t="shared" si="1028"/>
        <v>256</v>
      </c>
      <c r="CQ230" s="72">
        <f t="shared" si="1029"/>
        <v>300</v>
      </c>
      <c r="CR230" s="72">
        <f t="shared" si="1030"/>
        <v>333</v>
      </c>
      <c r="CS230" s="72">
        <f t="shared" si="1031"/>
        <v>346</v>
      </c>
      <c r="CT230" s="23">
        <f t="shared" si="1032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>CONCATENATE(B231,"_",C231)</f>
        <v>oprk_human_6B73</v>
      </c>
      <c r="B231" s="3" t="s">
        <v>336</v>
      </c>
      <c r="C231" s="3" t="s">
        <v>1464</v>
      </c>
      <c r="D231" s="3" t="str">
        <f>IFERROR(MID(VLOOKUP($B231,Seqs!$A:$B,2,0),E231,1),"")</f>
        <v>A</v>
      </c>
      <c r="E231" s="3">
        <v>57</v>
      </c>
      <c r="F231" s="3" t="str">
        <f>IFERROR(MID(VLOOKUP($B231,Seqs!$A:$B,2,0),G231,1),"")</f>
        <v>Y</v>
      </c>
      <c r="G231" s="3">
        <v>87</v>
      </c>
      <c r="H231" s="3" t="str">
        <f>IFERROR(MID(VLOOKUP($B231,Seqs!$A:$B,2,0),I231,1),"")</f>
        <v/>
      </c>
      <c r="I231" s="23" t="s">
        <v>23</v>
      </c>
      <c r="J231" s="3" t="str">
        <f>IFERROR(MID(VLOOKUP($B231,Seqs!$A:$B,2,0),K231,1),"")</f>
        <v/>
      </c>
      <c r="K231" s="23" t="s">
        <v>23</v>
      </c>
      <c r="L231" s="3" t="str">
        <f>IFERROR(MID(VLOOKUP($B231,Seqs!$A:$B,2,0),M231,1),"")</f>
        <v>T</v>
      </c>
      <c r="M231" s="3">
        <v>92</v>
      </c>
      <c r="N231" s="3" t="str">
        <f>IFERROR(MID(VLOOKUP($B231,Seqs!$A:$B,2,0),O231,1),"")</f>
        <v>N</v>
      </c>
      <c r="O231" s="3">
        <v>122</v>
      </c>
      <c r="P231" s="3" t="str">
        <f>IFERROR(MID(VLOOKUP($B231,Seqs!$A:$B,2,0),Q231,1),"")</f>
        <v>S</v>
      </c>
      <c r="Q231" s="3">
        <v>123</v>
      </c>
      <c r="R231" s="3" t="str">
        <f>IFERROR(MID(VLOOKUP($B231,Seqs!$A:$B,2,0),S231,1),"")</f>
        <v>F</v>
      </c>
      <c r="S231" s="3">
        <v>126</v>
      </c>
      <c r="T231" s="3" t="str">
        <f>IFERROR(MID(VLOOKUP($B231,Seqs!$A:$B,2,0),U231,1),"")</f>
        <v>G</v>
      </c>
      <c r="U231" s="3">
        <v>127</v>
      </c>
      <c r="V231" s="3" t="str">
        <f>IFERROR(MID(VLOOKUP($B231,Seqs!$A:$B,2,0),W231,1),"")</f>
        <v>H</v>
      </c>
      <c r="W231" s="3">
        <v>162</v>
      </c>
      <c r="X231" s="3" t="str">
        <f>IFERROR(MID(VLOOKUP($B231,Seqs!$A:$B,2,0),Y231,1),"")</f>
        <v>P</v>
      </c>
      <c r="Y231" s="3">
        <v>163</v>
      </c>
      <c r="Z231" s="3" t="str">
        <f>IFERROR(MID(VLOOKUP($B231,Seqs!$A:$B,2,0),AA231,1),"")</f>
        <v>R</v>
      </c>
      <c r="AA231" s="3">
        <v>170</v>
      </c>
      <c r="AB231" s="3" t="str">
        <f>IFERROR(MID(VLOOKUP($B231,Seqs!$A:$B,2,0),AC231,1),"")</f>
        <v>T</v>
      </c>
      <c r="AC231" s="3">
        <v>171</v>
      </c>
      <c r="AD231" s="3" t="str">
        <f>IFERROR(MID(VLOOKUP($B231,Seqs!$A:$B,2,0),AE231,1),"")</f>
        <v>G</v>
      </c>
      <c r="AE231" s="3">
        <v>197</v>
      </c>
      <c r="AF231" s="3" t="str">
        <f>IFERROR(MID(VLOOKUP($B231,Seqs!$A:$B,2,0),AG231,1),"")</f>
        <v>C</v>
      </c>
      <c r="AG231" s="3">
        <v>210</v>
      </c>
      <c r="AH231" s="3" t="str">
        <f>IFERROR(MID(VLOOKUP($B231,Seqs!$A:$B,2,0),AI231,1),"")</f>
        <v>L</v>
      </c>
      <c r="AI231" s="3">
        <v>212</v>
      </c>
      <c r="AJ231" s="3" t="str">
        <f>IFERROR(MID(VLOOKUP($B231,Seqs!$A:$B,2,0),AK231,1),"")</f>
        <v>W</v>
      </c>
      <c r="AK231" s="3">
        <v>221</v>
      </c>
      <c r="AL231" s="3" t="str">
        <f>IFERROR(MID(VLOOKUP($B231,Seqs!$A:$B,2,0),AM231,1),"")</f>
        <v>S</v>
      </c>
      <c r="AM231" s="3">
        <v>255</v>
      </c>
      <c r="AN231" s="3" t="str">
        <f>IFERROR(MID(VLOOKUP($B231,Seqs!$A:$B,2,0),AO231,1),"")</f>
        <v>S</v>
      </c>
      <c r="AO231" s="3">
        <v>262</v>
      </c>
      <c r="AP231" s="3" t="str">
        <f>IFERROR(MID(VLOOKUP($B231,Seqs!$A:$B,2,0),AQ231,1),"")</f>
        <v>G</v>
      </c>
      <c r="AQ231" s="3">
        <v>300</v>
      </c>
      <c r="AR231" s="3" t="str">
        <f>IFERROR(MID(VLOOKUP($B231,Seqs!$A:$B,2,0),AS231,1),"")</f>
        <v>S</v>
      </c>
      <c r="AS231" s="3">
        <v>305</v>
      </c>
      <c r="AT231" s="3" t="str">
        <f>IFERROR(MID(VLOOKUP($B231,Seqs!$A:$B,2,0),AU231,1),"")</f>
        <v>I</v>
      </c>
      <c r="AU231" s="3">
        <v>328</v>
      </c>
      <c r="AV231" s="3" t="str">
        <f>IFERROR(MID(VLOOKUP($B231,Seqs!$A:$B,2,0),AW231,1),"")</f>
        <v/>
      </c>
      <c r="AW231" s="3" t="s">
        <v>23</v>
      </c>
      <c r="AX231" s="3" t="str">
        <f>IFERROR(MID(VLOOKUP($B231,Seqs!$A:$B,2,0),AY231,1),"")</f>
        <v/>
      </c>
      <c r="AY231" s="3" t="s">
        <v>23</v>
      </c>
      <c r="AZ231" s="77" t="str">
        <f>VLOOKUP(B231,Classification!A:D,2,0)</f>
        <v>A</v>
      </c>
      <c r="BA231" s="94" t="str">
        <f>VLOOKUP(B231,Classification!A:D,4,0)</f>
        <v>Opioid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240</v>
      </c>
      <c r="BD231" s="2" t="s">
        <v>1376</v>
      </c>
      <c r="BE231" s="3" t="s">
        <v>1292</v>
      </c>
      <c r="BF231" s="119">
        <v>3.1</v>
      </c>
      <c r="BG231" s="49" t="s">
        <v>1</v>
      </c>
      <c r="BH231" s="49" t="s">
        <v>1</v>
      </c>
      <c r="BI231" s="1"/>
      <c r="BJ231" s="70" t="s">
        <v>1288</v>
      </c>
      <c r="BK231" s="57" t="s">
        <v>1288</v>
      </c>
      <c r="BL231" s="57" t="s">
        <v>1288</v>
      </c>
      <c r="BM231" s="57" t="s">
        <v>1288</v>
      </c>
      <c r="BN231" s="57" t="s">
        <v>1288</v>
      </c>
      <c r="BO231" s="57" t="s">
        <v>1288</v>
      </c>
      <c r="BP231" s="57" t="s">
        <v>1288</v>
      </c>
      <c r="BQ231" s="57" t="s">
        <v>1288</v>
      </c>
      <c r="BR231" s="57" t="s">
        <v>1288</v>
      </c>
      <c r="BS231" s="57" t="s">
        <v>1288</v>
      </c>
      <c r="BT231" s="57" t="s">
        <v>1288</v>
      </c>
      <c r="BU231" s="57" t="s">
        <v>1288</v>
      </c>
      <c r="BV231" s="70">
        <f>E231</f>
        <v>57</v>
      </c>
      <c r="BW231" s="71" t="str">
        <f>I231</f>
        <v>-</v>
      </c>
      <c r="BX231" s="72">
        <f>M231</f>
        <v>92</v>
      </c>
      <c r="BY231" s="71">
        <f>Q231</f>
        <v>123</v>
      </c>
      <c r="BZ231" s="72">
        <f>U231</f>
        <v>127</v>
      </c>
      <c r="CA231" s="71">
        <f>Y231</f>
        <v>163</v>
      </c>
      <c r="CB231" s="72">
        <f>AC231</f>
        <v>171</v>
      </c>
      <c r="CC231" s="71">
        <f>AG231</f>
        <v>210</v>
      </c>
      <c r="CD231" s="72">
        <f>AK231</f>
        <v>221</v>
      </c>
      <c r="CE231" s="71">
        <f>AO231</f>
        <v>262</v>
      </c>
      <c r="CF231" s="72">
        <f>AS231</f>
        <v>305</v>
      </c>
      <c r="CG231" s="71" t="str">
        <f>AW231</f>
        <v>-</v>
      </c>
      <c r="CH231" s="70">
        <f>G231</f>
        <v>87</v>
      </c>
      <c r="CI231" s="71" t="str">
        <f>K231</f>
        <v>-</v>
      </c>
      <c r="CJ231" s="72">
        <f>O231</f>
        <v>122</v>
      </c>
      <c r="CK231" s="72">
        <f>S231</f>
        <v>126</v>
      </c>
      <c r="CL231" s="72">
        <f>W231</f>
        <v>162</v>
      </c>
      <c r="CM231" s="72">
        <f>AA231</f>
        <v>170</v>
      </c>
      <c r="CN231" s="72">
        <f>AE231</f>
        <v>197</v>
      </c>
      <c r="CO231" s="72">
        <f>AI231</f>
        <v>212</v>
      </c>
      <c r="CP231" s="72">
        <f>AM231</f>
        <v>255</v>
      </c>
      <c r="CQ231" s="72">
        <f>AQ231</f>
        <v>300</v>
      </c>
      <c r="CR231" s="72">
        <f>AU231</f>
        <v>328</v>
      </c>
      <c r="CS231" s="72" t="str">
        <f>AY231</f>
        <v>-</v>
      </c>
      <c r="CT231" s="23" t="e">
        <f>M231-K231</f>
        <v>#VALUE!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1033"/>
        <v>oprm_mouse__wt</v>
      </c>
      <c r="B232" s="3" t="s">
        <v>918</v>
      </c>
      <c r="C232" s="3" t="s">
        <v>100</v>
      </c>
      <c r="D232" s="3" t="str">
        <f>IFERROR(MID(VLOOKUP($B232,Seqs!$A:$B,2,0),E232,1),"")</f>
        <v>M</v>
      </c>
      <c r="E232" s="3">
        <v>65</v>
      </c>
      <c r="F232" s="3" t="str">
        <f>IFERROR(MID(VLOOKUP($B232,Seqs!$A:$B,2,0),G232,1),"")</f>
        <v>Y</v>
      </c>
      <c r="G232" s="3">
        <v>96</v>
      </c>
      <c r="H232" s="3" t="str">
        <f>IFERROR(MID(VLOOKUP($B232,Seqs!$A:$B,2,0),I232,1),"")</f>
        <v>T</v>
      </c>
      <c r="I232" s="23">
        <v>97</v>
      </c>
      <c r="J232" s="3" t="str">
        <f>IFERROR(MID(VLOOKUP($B232,Seqs!$A:$B,2,0),K232,1),"")</f>
        <v>K</v>
      </c>
      <c r="K232" s="23">
        <v>100</v>
      </c>
      <c r="L232" s="3" t="str">
        <f>IFERROR(MID(VLOOKUP($B232,Seqs!$A:$B,2,0),M232,1),"")</f>
        <v>T</v>
      </c>
      <c r="M232" s="3">
        <v>101</v>
      </c>
      <c r="N232" s="3" t="str">
        <f>IFERROR(MID(VLOOKUP($B232,Seqs!$A:$B,2,0),O232,1),"")</f>
        <v>M</v>
      </c>
      <c r="O232" s="3">
        <v>130</v>
      </c>
      <c r="P232" s="3" t="str">
        <f>IFERROR(MID(VLOOKUP($B232,Seqs!$A:$B,2,0),Q232,1),"")</f>
        <v>T</v>
      </c>
      <c r="Q232" s="3">
        <v>132</v>
      </c>
      <c r="R232" s="3" t="str">
        <f>IFERROR(MID(VLOOKUP($B232,Seqs!$A:$B,2,0),S232,1),"")</f>
        <v>F</v>
      </c>
      <c r="S232" s="3">
        <v>135</v>
      </c>
      <c r="T232" s="3" t="str">
        <f>IFERROR(MID(VLOOKUP($B232,Seqs!$A:$B,2,0),U232,1),"")</f>
        <v>G</v>
      </c>
      <c r="U232" s="3">
        <v>136</v>
      </c>
      <c r="V232" s="3" t="str">
        <f>IFERROR(MID(VLOOKUP($B232,Seqs!$A:$B,2,0),W232,1),"")</f>
        <v>H</v>
      </c>
      <c r="W232" s="3">
        <v>171</v>
      </c>
      <c r="X232" s="3" t="str">
        <f>IFERROR(MID(VLOOKUP($B232,Seqs!$A:$B,2,0),Y232,1),"")</f>
        <v>P</v>
      </c>
      <c r="Y232" s="3">
        <v>172</v>
      </c>
      <c r="Z232" s="3" t="str">
        <f>IFERROR(MID(VLOOKUP($B232,Seqs!$A:$B,2,0),AA232,1),"")</f>
        <v>R</v>
      </c>
      <c r="AA232" s="3">
        <v>179</v>
      </c>
      <c r="AB232" s="3" t="str">
        <f>IFERROR(MID(VLOOKUP($B232,Seqs!$A:$B,2,0),AC232,1),"")</f>
        <v>T</v>
      </c>
      <c r="AC232" s="3">
        <v>180</v>
      </c>
      <c r="AD232" s="3" t="str">
        <f>IFERROR(MID(VLOOKUP($B232,Seqs!$A:$B,2,0),AE232,1),"")</f>
        <v>A</v>
      </c>
      <c r="AE232" s="3">
        <v>206</v>
      </c>
      <c r="AF232" s="3" t="str">
        <f>IFERROR(MID(VLOOKUP($B232,Seqs!$A:$B,2,0),AG232,1),"")</f>
        <v>C</v>
      </c>
      <c r="AG232" s="3">
        <v>217</v>
      </c>
      <c r="AH232" s="3" t="str">
        <f>IFERROR(MID(VLOOKUP($B232,Seqs!$A:$B,2,0),AI232,1),"")</f>
        <v>L</v>
      </c>
      <c r="AI232" s="3">
        <v>219</v>
      </c>
      <c r="AJ232" s="3" t="str">
        <f>IFERROR(MID(VLOOKUP($B232,Seqs!$A:$B,2,0),AK232,1),"")</f>
        <v>T</v>
      </c>
      <c r="AK232" s="3">
        <v>225</v>
      </c>
      <c r="AL232" s="3" t="str">
        <f>IFERROR(MID(VLOOKUP($B232,Seqs!$A:$B,2,0),AM232,1),"")</f>
        <v>V</v>
      </c>
      <c r="AM232" s="3">
        <v>262</v>
      </c>
      <c r="AN232" s="3" t="str">
        <f>IFERROR(MID(VLOOKUP($B232,Seqs!$A:$B,2,0),AO232,1),"")</f>
        <v>S</v>
      </c>
      <c r="AO232" s="3">
        <v>268</v>
      </c>
      <c r="AP232" s="3" t="str">
        <f>IFERROR(MID(VLOOKUP($B232,Seqs!$A:$B,2,0),AQ232,1),"")</f>
        <v>I</v>
      </c>
      <c r="AQ232" s="3">
        <v>306</v>
      </c>
      <c r="AR232" s="3" t="str">
        <f>IFERROR(MID(VLOOKUP($B232,Seqs!$A:$B,2,0),AS232,1),"")</f>
        <v>T</v>
      </c>
      <c r="AS232" s="3">
        <v>311</v>
      </c>
      <c r="AT232" s="3" t="str">
        <f>IFERROR(MID(VLOOKUP($B232,Seqs!$A:$B,2,0),AU232,1),"")</f>
        <v>L</v>
      </c>
      <c r="AU232" s="3">
        <v>339</v>
      </c>
      <c r="AV232" s="3" t="str">
        <f>IFERROR(MID(VLOOKUP($B232,Seqs!$A:$B,2,0),AW232,1),"")</f>
        <v>D</v>
      </c>
      <c r="AW232" s="3">
        <v>340</v>
      </c>
      <c r="AX232" s="3" t="str">
        <f>IFERROR(MID(VLOOKUP($B232,Seqs!$A:$B,2,0),AY232,1),"")</f>
        <v>I</v>
      </c>
      <c r="AY232" s="3">
        <v>352</v>
      </c>
      <c r="AZ232" s="77" t="str">
        <f>VLOOKUP(B232,Classification!A:D,2,0)</f>
        <v>A</v>
      </c>
      <c r="BA232" s="94" t="str">
        <f>VLOOKUP(B232,Classification!A:D,4,0)</f>
        <v>Opioid</v>
      </c>
      <c r="BB232" s="27" t="b">
        <f t="shared" si="1034"/>
        <v>1</v>
      </c>
      <c r="BC232" s="23">
        <f t="shared" si="1007"/>
        <v>263</v>
      </c>
      <c r="BD232" s="56" t="s">
        <v>23</v>
      </c>
      <c r="BE232" s="3" t="s">
        <v>23</v>
      </c>
      <c r="BF232" s="119" t="s">
        <v>23</v>
      </c>
      <c r="BG232" s="49" t="s">
        <v>1373</v>
      </c>
      <c r="BH232" s="49" t="s">
        <v>1378</v>
      </c>
      <c r="BI232" s="1"/>
      <c r="BJ232" s="70" t="s">
        <v>1288</v>
      </c>
      <c r="BK232" s="57" t="s">
        <v>1288</v>
      </c>
      <c r="BL232" s="57" t="s">
        <v>1288</v>
      </c>
      <c r="BM232" s="57" t="s">
        <v>1288</v>
      </c>
      <c r="BN232" s="57" t="s">
        <v>1288</v>
      </c>
      <c r="BO232" s="57" t="s">
        <v>1288</v>
      </c>
      <c r="BP232" s="57" t="s">
        <v>1288</v>
      </c>
      <c r="BQ232" s="57" t="s">
        <v>1288</v>
      </c>
      <c r="BR232" s="57" t="s">
        <v>1288</v>
      </c>
      <c r="BS232" s="57" t="s">
        <v>1288</v>
      </c>
      <c r="BT232" s="57" t="s">
        <v>1288</v>
      </c>
      <c r="BU232" s="57" t="s">
        <v>1288</v>
      </c>
      <c r="BV232" s="70">
        <f t="shared" si="1008"/>
        <v>65</v>
      </c>
      <c r="BW232" s="71">
        <f t="shared" si="1009"/>
        <v>97</v>
      </c>
      <c r="BX232" s="72">
        <f t="shared" si="1010"/>
        <v>101</v>
      </c>
      <c r="BY232" s="71">
        <f t="shared" si="1011"/>
        <v>132</v>
      </c>
      <c r="BZ232" s="72">
        <f t="shared" si="1012"/>
        <v>136</v>
      </c>
      <c r="CA232" s="71">
        <f t="shared" si="1013"/>
        <v>172</v>
      </c>
      <c r="CB232" s="72">
        <f t="shared" si="1014"/>
        <v>180</v>
      </c>
      <c r="CC232" s="71">
        <f t="shared" si="1015"/>
        <v>217</v>
      </c>
      <c r="CD232" s="72">
        <f t="shared" si="1016"/>
        <v>225</v>
      </c>
      <c r="CE232" s="71">
        <f t="shared" si="1017"/>
        <v>268</v>
      </c>
      <c r="CF232" s="72">
        <f t="shared" si="1018"/>
        <v>311</v>
      </c>
      <c r="CG232" s="71">
        <f t="shared" si="1019"/>
        <v>340</v>
      </c>
      <c r="CH232" s="70">
        <f t="shared" si="1020"/>
        <v>96</v>
      </c>
      <c r="CI232" s="71">
        <f t="shared" si="1021"/>
        <v>100</v>
      </c>
      <c r="CJ232" s="72">
        <f t="shared" si="1022"/>
        <v>130</v>
      </c>
      <c r="CK232" s="72">
        <f t="shared" si="1023"/>
        <v>135</v>
      </c>
      <c r="CL232" s="72">
        <f t="shared" si="1024"/>
        <v>171</v>
      </c>
      <c r="CM232" s="72">
        <f t="shared" si="1025"/>
        <v>179</v>
      </c>
      <c r="CN232" s="72">
        <f t="shared" si="1026"/>
        <v>206</v>
      </c>
      <c r="CO232" s="72">
        <f t="shared" si="1027"/>
        <v>219</v>
      </c>
      <c r="CP232" s="72">
        <f t="shared" si="1028"/>
        <v>262</v>
      </c>
      <c r="CQ232" s="72">
        <f t="shared" si="1029"/>
        <v>306</v>
      </c>
      <c r="CR232" s="72">
        <f t="shared" si="1030"/>
        <v>339</v>
      </c>
      <c r="CS232" s="72">
        <f t="shared" si="1031"/>
        <v>352</v>
      </c>
      <c r="CT232" s="23">
        <f t="shared" si="1032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033"/>
        <v>oprm_mouse_4DKL</v>
      </c>
      <c r="B233" s="3" t="s">
        <v>918</v>
      </c>
      <c r="C233" s="3" t="s">
        <v>65</v>
      </c>
      <c r="D233" s="3" t="str">
        <f>IFERROR(MID(VLOOKUP($B233,Seqs!$A:$B,2,0),E233,1),"")</f>
        <v>M</v>
      </c>
      <c r="E233" s="3">
        <v>65</v>
      </c>
      <c r="F233" s="3" t="str">
        <f>IFERROR(MID(VLOOKUP($B233,Seqs!$A:$B,2,0),G233,1),"")</f>
        <v>Y</v>
      </c>
      <c r="G233" s="3">
        <v>96</v>
      </c>
      <c r="H233" s="3" t="str">
        <f>IFERROR(MID(VLOOKUP($B233,Seqs!$A:$B,2,0),I233,1),"")</f>
        <v>T</v>
      </c>
      <c r="I233" s="23">
        <v>97</v>
      </c>
      <c r="J233" s="3" t="str">
        <f>IFERROR(MID(VLOOKUP($B233,Seqs!$A:$B,2,0),K233,1),"")</f>
        <v>K</v>
      </c>
      <c r="K233" s="23">
        <v>100</v>
      </c>
      <c r="L233" s="3" t="str">
        <f>IFERROR(MID(VLOOKUP($B233,Seqs!$A:$B,2,0),M233,1),"")</f>
        <v>T</v>
      </c>
      <c r="M233" s="3">
        <v>101</v>
      </c>
      <c r="N233" s="3" t="str">
        <f>IFERROR(MID(VLOOKUP($B233,Seqs!$A:$B,2,0),O233,1),"")</f>
        <v>M</v>
      </c>
      <c r="O233" s="3">
        <v>130</v>
      </c>
      <c r="P233" s="3" t="str">
        <f>IFERROR(MID(VLOOKUP($B233,Seqs!$A:$B,2,0),Q233,1),"")</f>
        <v>T</v>
      </c>
      <c r="Q233" s="3">
        <v>132</v>
      </c>
      <c r="R233" s="3" t="str">
        <f>IFERROR(MID(VLOOKUP($B233,Seqs!$A:$B,2,0),S233,1),"")</f>
        <v>F</v>
      </c>
      <c r="S233" s="3">
        <v>135</v>
      </c>
      <c r="T233" s="3" t="str">
        <f>IFERROR(MID(VLOOKUP($B233,Seqs!$A:$B,2,0),U233,1),"")</f>
        <v>G</v>
      </c>
      <c r="U233" s="3">
        <v>136</v>
      </c>
      <c r="V233" s="3" t="str">
        <f>IFERROR(MID(VLOOKUP($B233,Seqs!$A:$B,2,0),W233,1),"")</f>
        <v>H</v>
      </c>
      <c r="W233" s="3">
        <v>171</v>
      </c>
      <c r="X233" s="3" t="str">
        <f>IFERROR(MID(VLOOKUP($B233,Seqs!$A:$B,2,0),Y233,1),"")</f>
        <v>P</v>
      </c>
      <c r="Y233" s="3">
        <v>172</v>
      </c>
      <c r="Z233" s="3" t="str">
        <f>IFERROR(MID(VLOOKUP($B233,Seqs!$A:$B,2,0),AA233,1),"")</f>
        <v>R</v>
      </c>
      <c r="AA233" s="3">
        <v>179</v>
      </c>
      <c r="AB233" s="3" t="str">
        <f>IFERROR(MID(VLOOKUP($B233,Seqs!$A:$B,2,0),AC233,1),"")</f>
        <v>T</v>
      </c>
      <c r="AC233" s="3">
        <v>180</v>
      </c>
      <c r="AD233" s="3" t="str">
        <f>IFERROR(MID(VLOOKUP($B233,Seqs!$A:$B,2,0),AE233,1),"")</f>
        <v>A</v>
      </c>
      <c r="AE233" s="3">
        <v>206</v>
      </c>
      <c r="AF233" s="3" t="str">
        <f>IFERROR(MID(VLOOKUP($B233,Seqs!$A:$B,2,0),AG233,1),"")</f>
        <v>C</v>
      </c>
      <c r="AG233" s="3">
        <v>217</v>
      </c>
      <c r="AH233" s="3" t="str">
        <f>IFERROR(MID(VLOOKUP($B233,Seqs!$A:$B,2,0),AI233,1),"")</f>
        <v>L</v>
      </c>
      <c r="AI233" s="3">
        <v>219</v>
      </c>
      <c r="AJ233" s="3" t="str">
        <f>IFERROR(MID(VLOOKUP($B233,Seqs!$A:$B,2,0),AK233,1),"")</f>
        <v>T</v>
      </c>
      <c r="AK233" s="3">
        <v>225</v>
      </c>
      <c r="AL233" s="3" t="str">
        <f>IFERROR(MID(VLOOKUP($B233,Seqs!$A:$B,2,0),AM233,1),"")</f>
        <v>L</v>
      </c>
      <c r="AM233" s="3">
        <v>257</v>
      </c>
      <c r="AN233" s="3" t="str">
        <f>IFERROR(MID(VLOOKUP($B233,Seqs!$A:$B,2,0),AO233,1),"")</f>
        <v>N</v>
      </c>
      <c r="AO233" s="3">
        <v>274</v>
      </c>
      <c r="AP233" s="3" t="str">
        <f>IFERROR(MID(VLOOKUP($B233,Seqs!$A:$B,2,0),AQ233,1),"")</f>
        <v>I</v>
      </c>
      <c r="AQ233" s="3">
        <v>306</v>
      </c>
      <c r="AR233" s="3" t="str">
        <f>IFERROR(MID(VLOOKUP($B233,Seqs!$A:$B,2,0),AS233,1),"")</f>
        <v>T</v>
      </c>
      <c r="AS233" s="3">
        <v>311</v>
      </c>
      <c r="AT233" s="3" t="str">
        <f>IFERROR(MID(VLOOKUP($B233,Seqs!$A:$B,2,0),AU233,1),"")</f>
        <v>L</v>
      </c>
      <c r="AU233" s="3">
        <v>339</v>
      </c>
      <c r="AV233" s="3" t="str">
        <f>IFERROR(MID(VLOOKUP($B233,Seqs!$A:$B,2,0),AW233,1),"")</f>
        <v>D</v>
      </c>
      <c r="AW233" s="3">
        <v>340</v>
      </c>
      <c r="AX233" s="3" t="str">
        <f>IFERROR(MID(VLOOKUP($B233,Seqs!$A:$B,2,0),AY233,1),"")</f>
        <v>I</v>
      </c>
      <c r="AY233" s="3">
        <v>352</v>
      </c>
      <c r="AZ233" s="77" t="str">
        <f>VLOOKUP(B233,Classification!A:D,2,0)</f>
        <v>A</v>
      </c>
      <c r="BA233" s="94" t="str">
        <f>VLOOKUP(B233,Classification!A:D,4,0)</f>
        <v>Opioid</v>
      </c>
      <c r="BB233" s="27" t="b">
        <f t="shared" si="1034"/>
        <v>1</v>
      </c>
      <c r="BC233" s="23">
        <f t="shared" si="1007"/>
        <v>252</v>
      </c>
      <c r="BD233" s="2" t="s">
        <v>1377</v>
      </c>
      <c r="BE233" s="3" t="s">
        <v>1375</v>
      </c>
      <c r="BF233" s="119">
        <v>2.8</v>
      </c>
      <c r="BG233" s="49" t="s">
        <v>1378</v>
      </c>
      <c r="BH233" s="49" t="s">
        <v>1378</v>
      </c>
      <c r="BI233" s="1"/>
      <c r="BJ233" s="70" t="s">
        <v>1288</v>
      </c>
      <c r="BK233" s="57" t="s">
        <v>1288</v>
      </c>
      <c r="BL233" s="57" t="s">
        <v>1288</v>
      </c>
      <c r="BM233" s="57" t="s">
        <v>1288</v>
      </c>
      <c r="BN233" s="57" t="s">
        <v>1288</v>
      </c>
      <c r="BO233" s="57" t="s">
        <v>1288</v>
      </c>
      <c r="BP233" s="57" t="s">
        <v>1288</v>
      </c>
      <c r="BQ233" s="57" t="s">
        <v>1288</v>
      </c>
      <c r="BR233" s="57" t="s">
        <v>1288</v>
      </c>
      <c r="BS233" s="57" t="s">
        <v>1288</v>
      </c>
      <c r="BT233" s="57" t="s">
        <v>1288</v>
      </c>
      <c r="BU233" s="57" t="s">
        <v>1288</v>
      </c>
      <c r="BV233" s="70">
        <f t="shared" si="1008"/>
        <v>65</v>
      </c>
      <c r="BW233" s="71">
        <f t="shared" si="1009"/>
        <v>97</v>
      </c>
      <c r="BX233" s="72">
        <f t="shared" si="1010"/>
        <v>101</v>
      </c>
      <c r="BY233" s="71">
        <f t="shared" si="1011"/>
        <v>132</v>
      </c>
      <c r="BZ233" s="72">
        <f t="shared" si="1012"/>
        <v>136</v>
      </c>
      <c r="CA233" s="71">
        <f t="shared" si="1013"/>
        <v>172</v>
      </c>
      <c r="CB233" s="72">
        <f t="shared" si="1014"/>
        <v>180</v>
      </c>
      <c r="CC233" s="71">
        <f t="shared" si="1015"/>
        <v>217</v>
      </c>
      <c r="CD233" s="72">
        <f t="shared" si="1016"/>
        <v>225</v>
      </c>
      <c r="CE233" s="71">
        <f t="shared" si="1017"/>
        <v>274</v>
      </c>
      <c r="CF233" s="72">
        <f t="shared" si="1018"/>
        <v>311</v>
      </c>
      <c r="CG233" s="71">
        <f t="shared" si="1019"/>
        <v>340</v>
      </c>
      <c r="CH233" s="70">
        <f t="shared" si="1020"/>
        <v>96</v>
      </c>
      <c r="CI233" s="71">
        <f t="shared" si="1021"/>
        <v>100</v>
      </c>
      <c r="CJ233" s="72">
        <f t="shared" si="1022"/>
        <v>130</v>
      </c>
      <c r="CK233" s="72">
        <f t="shared" si="1023"/>
        <v>135</v>
      </c>
      <c r="CL233" s="72">
        <f t="shared" si="1024"/>
        <v>171</v>
      </c>
      <c r="CM233" s="72">
        <f t="shared" si="1025"/>
        <v>179</v>
      </c>
      <c r="CN233" s="72">
        <f t="shared" si="1026"/>
        <v>206</v>
      </c>
      <c r="CO233" s="72">
        <f t="shared" si="1027"/>
        <v>219</v>
      </c>
      <c r="CP233" s="72">
        <f t="shared" si="1028"/>
        <v>257</v>
      </c>
      <c r="CQ233" s="72">
        <f t="shared" si="1029"/>
        <v>306</v>
      </c>
      <c r="CR233" s="72">
        <f t="shared" si="1030"/>
        <v>339</v>
      </c>
      <c r="CS233" s="72">
        <f t="shared" si="1031"/>
        <v>352</v>
      </c>
      <c r="CT233" s="23">
        <f t="shared" si="1032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1033"/>
        <v>oprm_mouse_5C1M</v>
      </c>
      <c r="B234" s="3" t="s">
        <v>918</v>
      </c>
      <c r="C234" s="3" t="s">
        <v>84</v>
      </c>
      <c r="D234" s="3" t="str">
        <f>IFERROR(MID(VLOOKUP($B234,Seqs!$A:$B,2,0),E234,1),"")</f>
        <v>M</v>
      </c>
      <c r="E234" s="3">
        <v>65</v>
      </c>
      <c r="F234" s="3" t="str">
        <f>IFERROR(MID(VLOOKUP($B234,Seqs!$A:$B,2,0),G234,1),"")</f>
        <v>Y</v>
      </c>
      <c r="G234" s="3">
        <v>96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T</v>
      </c>
      <c r="M234" s="3">
        <v>101</v>
      </c>
      <c r="N234" s="3" t="str">
        <f>IFERROR(MID(VLOOKUP($B234,Seqs!$A:$B,2,0),O234,1),"")</f>
        <v>M</v>
      </c>
      <c r="O234" s="3">
        <v>130</v>
      </c>
      <c r="P234" s="3" t="str">
        <f>IFERROR(MID(VLOOKUP($B234,Seqs!$A:$B,2,0),Q234,1),"")</f>
        <v>T</v>
      </c>
      <c r="Q234" s="3">
        <v>132</v>
      </c>
      <c r="R234" s="3" t="str">
        <f>IFERROR(MID(VLOOKUP($B234,Seqs!$A:$B,2,0),S234,1),"")</f>
        <v>F</v>
      </c>
      <c r="S234" s="3">
        <v>135</v>
      </c>
      <c r="T234" s="3" t="str">
        <f>IFERROR(MID(VLOOKUP($B234,Seqs!$A:$B,2,0),U234,1),"")</f>
        <v>G</v>
      </c>
      <c r="U234" s="3">
        <v>136</v>
      </c>
      <c r="V234" s="3" t="str">
        <f>IFERROR(MID(VLOOKUP($B234,Seqs!$A:$B,2,0),W234,1),"")</f>
        <v>H</v>
      </c>
      <c r="W234" s="3">
        <v>171</v>
      </c>
      <c r="X234" s="3" t="str">
        <f>IFERROR(MID(VLOOKUP($B234,Seqs!$A:$B,2,0),Y234,1),"")</f>
        <v>P</v>
      </c>
      <c r="Y234" s="3">
        <v>172</v>
      </c>
      <c r="Z234" s="3" t="str">
        <f>IFERROR(MID(VLOOKUP($B234,Seqs!$A:$B,2,0),AA234,1),"")</f>
        <v>R</v>
      </c>
      <c r="AA234" s="3">
        <v>179</v>
      </c>
      <c r="AB234" s="3" t="str">
        <f>IFERROR(MID(VLOOKUP($B234,Seqs!$A:$B,2,0),AC234,1),"")</f>
        <v>T</v>
      </c>
      <c r="AC234" s="3">
        <v>180</v>
      </c>
      <c r="AD234" s="3" t="str">
        <f>IFERROR(MID(VLOOKUP($B234,Seqs!$A:$B,2,0),AE234,1),"")</f>
        <v>A</v>
      </c>
      <c r="AE234" s="3">
        <v>206</v>
      </c>
      <c r="AF234" s="3" t="str">
        <f>IFERROR(MID(VLOOKUP($B234,Seqs!$A:$B,2,0),AG234,1),"")</f>
        <v>C</v>
      </c>
      <c r="AG234" s="3">
        <v>217</v>
      </c>
      <c r="AH234" s="3" t="str">
        <f>IFERROR(MID(VLOOKUP($B234,Seqs!$A:$B,2,0),AI234,1),"")</f>
        <v>L</v>
      </c>
      <c r="AI234" s="3">
        <v>219</v>
      </c>
      <c r="AJ234" s="3" t="str">
        <f>IFERROR(MID(VLOOKUP($B234,Seqs!$A:$B,2,0),AK234,1),"")</f>
        <v>T</v>
      </c>
      <c r="AK234" s="3">
        <v>225</v>
      </c>
      <c r="AL234" s="3" t="str">
        <f>IFERROR(MID(VLOOKUP($B234,Seqs!$A:$B,2,0),AM234,1),"")</f>
        <v>V</v>
      </c>
      <c r="AM234" s="3">
        <v>262</v>
      </c>
      <c r="AN234" s="3" t="str">
        <f>IFERROR(MID(VLOOKUP($B234,Seqs!$A:$B,2,0),AO234,1),"")</f>
        <v>S</v>
      </c>
      <c r="AO234" s="3">
        <v>268</v>
      </c>
      <c r="AP234" s="3" t="str">
        <f>IFERROR(MID(VLOOKUP($B234,Seqs!$A:$B,2,0),AQ234,1),"")</f>
        <v>I</v>
      </c>
      <c r="AQ234" s="3">
        <v>306</v>
      </c>
      <c r="AR234" s="3" t="str">
        <f>IFERROR(MID(VLOOKUP($B234,Seqs!$A:$B,2,0),AS234,1),"")</f>
        <v>T</v>
      </c>
      <c r="AS234" s="3">
        <v>311</v>
      </c>
      <c r="AT234" s="3" t="str">
        <f>IFERROR(MID(VLOOKUP($B234,Seqs!$A:$B,2,0),AU234,1),"")</f>
        <v>P</v>
      </c>
      <c r="AU234" s="3">
        <v>333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Opioid</v>
      </c>
      <c r="BB234" s="27" t="b">
        <f t="shared" si="1034"/>
        <v>1</v>
      </c>
      <c r="BC234" s="23">
        <f t="shared" si="1007"/>
        <v>242</v>
      </c>
      <c r="BD234" s="5" t="s">
        <v>1376</v>
      </c>
      <c r="BE234" s="3" t="s">
        <v>1292</v>
      </c>
      <c r="BF234" s="119">
        <v>2.1</v>
      </c>
      <c r="BG234" s="49" t="s">
        <v>1378</v>
      </c>
      <c r="BH234" s="49" t="s">
        <v>1378</v>
      </c>
      <c r="BI234" s="1"/>
      <c r="BJ234" s="70" t="s">
        <v>1288</v>
      </c>
      <c r="BK234" s="57" t="s">
        <v>1288</v>
      </c>
      <c r="BL234" s="57" t="s">
        <v>1288</v>
      </c>
      <c r="BM234" s="57" t="s">
        <v>1288</v>
      </c>
      <c r="BN234" s="57" t="s">
        <v>1288</v>
      </c>
      <c r="BO234" s="57" t="s">
        <v>1288</v>
      </c>
      <c r="BP234" s="57" t="s">
        <v>1288</v>
      </c>
      <c r="BQ234" s="57" t="s">
        <v>1288</v>
      </c>
      <c r="BR234" s="57" t="s">
        <v>1288</v>
      </c>
      <c r="BS234" s="57" t="s">
        <v>1288</v>
      </c>
      <c r="BT234" s="57" t="s">
        <v>1288</v>
      </c>
      <c r="BU234" s="57" t="s">
        <v>1288</v>
      </c>
      <c r="BV234" s="70">
        <f t="shared" si="1008"/>
        <v>65</v>
      </c>
      <c r="BW234" s="71" t="str">
        <f t="shared" si="1009"/>
        <v>-</v>
      </c>
      <c r="BX234" s="72">
        <f t="shared" si="1010"/>
        <v>101</v>
      </c>
      <c r="BY234" s="71">
        <f t="shared" si="1011"/>
        <v>132</v>
      </c>
      <c r="BZ234" s="72">
        <f t="shared" si="1012"/>
        <v>136</v>
      </c>
      <c r="CA234" s="71">
        <f t="shared" si="1013"/>
        <v>172</v>
      </c>
      <c r="CB234" s="72">
        <f t="shared" si="1014"/>
        <v>180</v>
      </c>
      <c r="CC234" s="71">
        <f t="shared" si="1015"/>
        <v>217</v>
      </c>
      <c r="CD234" s="72">
        <f t="shared" si="1016"/>
        <v>225</v>
      </c>
      <c r="CE234" s="71">
        <f t="shared" si="1017"/>
        <v>268</v>
      </c>
      <c r="CF234" s="72">
        <f t="shared" si="1018"/>
        <v>311</v>
      </c>
      <c r="CG234" s="71" t="str">
        <f t="shared" si="1019"/>
        <v>-</v>
      </c>
      <c r="CH234" s="70">
        <f t="shared" si="1020"/>
        <v>96</v>
      </c>
      <c r="CI234" s="71" t="str">
        <f t="shared" si="1021"/>
        <v>-</v>
      </c>
      <c r="CJ234" s="72">
        <f t="shared" si="1022"/>
        <v>130</v>
      </c>
      <c r="CK234" s="72">
        <f t="shared" si="1023"/>
        <v>135</v>
      </c>
      <c r="CL234" s="72">
        <f t="shared" si="1024"/>
        <v>171</v>
      </c>
      <c r="CM234" s="72">
        <f t="shared" si="1025"/>
        <v>179</v>
      </c>
      <c r="CN234" s="72">
        <f t="shared" si="1026"/>
        <v>206</v>
      </c>
      <c r="CO234" s="72">
        <f t="shared" si="1027"/>
        <v>219</v>
      </c>
      <c r="CP234" s="72">
        <f t="shared" si="1028"/>
        <v>262</v>
      </c>
      <c r="CQ234" s="72">
        <f t="shared" si="1029"/>
        <v>306</v>
      </c>
      <c r="CR234" s="72">
        <f t="shared" si="1030"/>
        <v>333</v>
      </c>
      <c r="CS234" s="72" t="str">
        <f t="shared" si="1031"/>
        <v>-</v>
      </c>
      <c r="CT234" s="23" t="e">
        <f t="shared" si="1032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>CONCATENATE(B235,"_",C235)</f>
        <v>oprm_mouse_6DDE</v>
      </c>
      <c r="B235" s="3" t="s">
        <v>918</v>
      </c>
      <c r="C235" s="3" t="s">
        <v>1501</v>
      </c>
      <c r="D235" s="3" t="str">
        <f>IFERROR(MID(VLOOKUP($B235,Seqs!$A:$B,2,0),E235,1),"")</f>
        <v>T</v>
      </c>
      <c r="E235" s="3">
        <v>67</v>
      </c>
      <c r="F235" s="3" t="str">
        <f>IFERROR(MID(VLOOKUP($B235,Seqs!$A:$B,2,0),G235,1),"")</f>
        <v>K</v>
      </c>
      <c r="G235" s="3">
        <v>98</v>
      </c>
      <c r="H235" s="3" t="str">
        <f>IFERROR(MID(VLOOKUP($B235,Seqs!$A:$B,2,0),I235,1),"")</f>
        <v/>
      </c>
      <c r="I235" s="23" t="s">
        <v>23</v>
      </c>
      <c r="J235" s="3" t="str">
        <f>IFERROR(MID(VLOOKUP($B235,Seqs!$A:$B,2,0),K235,1),"")</f>
        <v/>
      </c>
      <c r="K235" s="23" t="s">
        <v>23</v>
      </c>
      <c r="L235" s="3" t="str">
        <f>IFERROR(MID(VLOOKUP($B235,Seqs!$A:$B,2,0),M235,1),"")</f>
        <v>A</v>
      </c>
      <c r="M235" s="3">
        <v>102</v>
      </c>
      <c r="N235" s="3" t="str">
        <f>IFERROR(MID(VLOOKUP($B235,Seqs!$A:$B,2,0),O235,1),"")</f>
        <v>G</v>
      </c>
      <c r="O235" s="3">
        <v>131</v>
      </c>
      <c r="P235" s="3" t="str">
        <f>IFERROR(MID(VLOOKUP($B235,Seqs!$A:$B,2,0),Q235,1),"")</f>
        <v>T</v>
      </c>
      <c r="Q235" s="3">
        <v>132</v>
      </c>
      <c r="R235" s="3" t="str">
        <f>IFERROR(MID(VLOOKUP($B235,Seqs!$A:$B,2,0),S235,1),"")</f>
        <v>F</v>
      </c>
      <c r="S235" s="3">
        <v>135</v>
      </c>
      <c r="T235" s="3" t="str">
        <f>IFERROR(MID(VLOOKUP($B235,Seqs!$A:$B,2,0),U235,1),"")</f>
        <v>G</v>
      </c>
      <c r="U235" s="3">
        <v>136</v>
      </c>
      <c r="V235" s="3" t="str">
        <f>IFERROR(MID(VLOOKUP($B235,Seqs!$A:$B,2,0),W235,1),"")</f>
        <v>H</v>
      </c>
      <c r="W235" s="3">
        <v>171</v>
      </c>
      <c r="X235" s="3" t="str">
        <f>IFERROR(MID(VLOOKUP($B235,Seqs!$A:$B,2,0),Y235,1),"")</f>
        <v>P</v>
      </c>
      <c r="Y235" s="3">
        <v>172</v>
      </c>
      <c r="Z235" s="3" t="str">
        <f>IFERROR(MID(VLOOKUP($B235,Seqs!$A:$B,2,0),AA235,1),"")</f>
        <v>R</v>
      </c>
      <c r="AA235" s="3">
        <v>179</v>
      </c>
      <c r="AB235" s="3" t="str">
        <f>IFERROR(MID(VLOOKUP($B235,Seqs!$A:$B,2,0),AC235,1),"")</f>
        <v>T</v>
      </c>
      <c r="AC235" s="3">
        <v>180</v>
      </c>
      <c r="AD235" s="3" t="str">
        <f>IFERROR(MID(VLOOKUP($B235,Seqs!$A:$B,2,0),AE235,1),"")</f>
        <v>F</v>
      </c>
      <c r="AE235" s="3">
        <v>204</v>
      </c>
      <c r="AF235" s="3" t="str">
        <f>IFERROR(MID(VLOOKUP($B235,Seqs!$A:$B,2,0),AG235,1),"")</f>
        <v>C</v>
      </c>
      <c r="AG235" s="3">
        <v>217</v>
      </c>
      <c r="AH235" s="3" t="str">
        <f>IFERROR(MID(VLOOKUP($B235,Seqs!$A:$B,2,0),AI235,1),"")</f>
        <v>L</v>
      </c>
      <c r="AI235" s="3">
        <v>219</v>
      </c>
      <c r="AJ235" s="3" t="str">
        <f>IFERROR(MID(VLOOKUP($B235,Seqs!$A:$B,2,0),AK235,1),"")</f>
        <v>Y</v>
      </c>
      <c r="AK235" s="3">
        <v>227</v>
      </c>
      <c r="AL235" s="3" t="str">
        <f>IFERROR(MID(VLOOKUP($B235,Seqs!$A:$B,2,0),AM235,1),"")</f>
        <v>V</v>
      </c>
      <c r="AM235" s="3">
        <v>262</v>
      </c>
      <c r="AN235" s="3" t="str">
        <f>IFERROR(MID(VLOOKUP($B235,Seqs!$A:$B,2,0),AO235,1),"")</f>
        <v>S</v>
      </c>
      <c r="AO235" s="3">
        <v>268</v>
      </c>
      <c r="AP235" s="3" t="str">
        <f>IFERROR(MID(VLOOKUP($B235,Seqs!$A:$B,2,0),AQ235,1),"")</f>
        <v>I</v>
      </c>
      <c r="AQ235" s="3">
        <v>306</v>
      </c>
      <c r="AR235" s="3" t="str">
        <f>IFERROR(MID(VLOOKUP($B235,Seqs!$A:$B,2,0),AS235,1),"")</f>
        <v>F</v>
      </c>
      <c r="AS235" s="3">
        <v>313</v>
      </c>
      <c r="AT235" s="3" t="str">
        <f>IFERROR(MID(VLOOKUP($B235,Seqs!$A:$B,2,0),AU235,1),"")</f>
        <v>Y</v>
      </c>
      <c r="AU235" s="3">
        <v>336</v>
      </c>
      <c r="AV235" s="3" t="str">
        <f>IFERROR(MID(VLOOKUP($B235,Seqs!$A:$B,2,0),AW235,1),"")</f>
        <v/>
      </c>
      <c r="AW235" s="3" t="s">
        <v>23</v>
      </c>
      <c r="AX235" s="3" t="str">
        <f>IFERROR(MID(VLOOKUP($B235,Seqs!$A:$B,2,0),AY235,1),"")</f>
        <v/>
      </c>
      <c r="AY235" s="3" t="s">
        <v>23</v>
      </c>
      <c r="AZ235" s="77" t="str">
        <f>VLOOKUP(B235,Classification!A:D,2,0)</f>
        <v>A</v>
      </c>
      <c r="BA235" s="94" t="str">
        <f>VLOOKUP(B235,Classification!A:D,4,0)</f>
        <v>Opioid</v>
      </c>
      <c r="BB235" s="27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23">
        <f>_xlfn.AGGREGATE(9,6,CH235:CS235)-_xlfn.AGGREGATE(9,6,BV235:CG235)+12</f>
        <v>239</v>
      </c>
      <c r="BD235" s="5" t="s">
        <v>23</v>
      </c>
      <c r="BE235" s="3" t="s">
        <v>1292</v>
      </c>
      <c r="BF235" s="119">
        <v>3.5</v>
      </c>
      <c r="BG235" s="49" t="s">
        <v>1423</v>
      </c>
      <c r="BH235" s="49" t="s">
        <v>1423</v>
      </c>
      <c r="BI235" s="1"/>
      <c r="BJ235" s="70" t="s">
        <v>1288</v>
      </c>
      <c r="BK235" s="57" t="s">
        <v>1288</v>
      </c>
      <c r="BL235" s="57" t="s">
        <v>1288</v>
      </c>
      <c r="BM235" s="57" t="s">
        <v>1288</v>
      </c>
      <c r="BN235" s="57" t="s">
        <v>1288</v>
      </c>
      <c r="BO235" s="57" t="s">
        <v>1288</v>
      </c>
      <c r="BP235" s="57" t="s">
        <v>1288</v>
      </c>
      <c r="BQ235" s="57" t="s">
        <v>1288</v>
      </c>
      <c r="BR235" s="57" t="s">
        <v>1288</v>
      </c>
      <c r="BS235" s="57" t="s">
        <v>1288</v>
      </c>
      <c r="BT235" s="57" t="s">
        <v>1288</v>
      </c>
      <c r="BU235" s="57" t="s">
        <v>1288</v>
      </c>
      <c r="BV235" s="70">
        <f>E235</f>
        <v>67</v>
      </c>
      <c r="BW235" s="71" t="str">
        <f>I235</f>
        <v>-</v>
      </c>
      <c r="BX235" s="72">
        <f>M235</f>
        <v>102</v>
      </c>
      <c r="BY235" s="71">
        <f>Q235</f>
        <v>132</v>
      </c>
      <c r="BZ235" s="72">
        <f>U235</f>
        <v>136</v>
      </c>
      <c r="CA235" s="71">
        <f>Y235</f>
        <v>172</v>
      </c>
      <c r="CB235" s="72">
        <f>AC235</f>
        <v>180</v>
      </c>
      <c r="CC235" s="71">
        <f>AG235</f>
        <v>217</v>
      </c>
      <c r="CD235" s="72">
        <f>AK235</f>
        <v>227</v>
      </c>
      <c r="CE235" s="71">
        <f>AO235</f>
        <v>268</v>
      </c>
      <c r="CF235" s="72">
        <f>AS235</f>
        <v>313</v>
      </c>
      <c r="CG235" s="71" t="str">
        <f>AW235</f>
        <v>-</v>
      </c>
      <c r="CH235" s="70">
        <f>G235</f>
        <v>98</v>
      </c>
      <c r="CI235" s="71" t="str">
        <f>K235</f>
        <v>-</v>
      </c>
      <c r="CJ235" s="72">
        <f>O235</f>
        <v>131</v>
      </c>
      <c r="CK235" s="72">
        <f>S235</f>
        <v>135</v>
      </c>
      <c r="CL235" s="72">
        <f>W235</f>
        <v>171</v>
      </c>
      <c r="CM235" s="72">
        <f>AA235</f>
        <v>179</v>
      </c>
      <c r="CN235" s="72">
        <f>AE235</f>
        <v>204</v>
      </c>
      <c r="CO235" s="72">
        <f>AI235</f>
        <v>219</v>
      </c>
      <c r="CP235" s="72">
        <f>AM235</f>
        <v>262</v>
      </c>
      <c r="CQ235" s="72">
        <f>AQ235</f>
        <v>306</v>
      </c>
      <c r="CR235" s="72">
        <f>AU235</f>
        <v>336</v>
      </c>
      <c r="CS235" s="72" t="str">
        <f>AY235</f>
        <v>-</v>
      </c>
      <c r="CT235" s="23" t="e">
        <f>M235-K235</f>
        <v>#VALUE!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>CONCATENATE(B236,"_",C236)</f>
        <v>oprm_mouse_6DDF</v>
      </c>
      <c r="B236" s="3" t="s">
        <v>918</v>
      </c>
      <c r="C236" s="3" t="s">
        <v>1502</v>
      </c>
      <c r="D236" s="3" t="str">
        <f>IFERROR(MID(VLOOKUP($B236,Seqs!$A:$B,2,0),E236,1),"")</f>
        <v>T</v>
      </c>
      <c r="E236" s="3">
        <v>67</v>
      </c>
      <c r="F236" s="3" t="str">
        <f>IFERROR(MID(VLOOKUP($B236,Seqs!$A:$B,2,0),G236,1),"")</f>
        <v>K</v>
      </c>
      <c r="G236" s="3">
        <v>98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A</v>
      </c>
      <c r="M236" s="3">
        <v>102</v>
      </c>
      <c r="N236" s="3" t="str">
        <f>IFERROR(MID(VLOOKUP($B236,Seqs!$A:$B,2,0),O236,1),"")</f>
        <v>G</v>
      </c>
      <c r="O236" s="3">
        <v>131</v>
      </c>
      <c r="P236" s="3" t="str">
        <f>IFERROR(MID(VLOOKUP($B236,Seqs!$A:$B,2,0),Q236,1),"")</f>
        <v>T</v>
      </c>
      <c r="Q236" s="3">
        <v>132</v>
      </c>
      <c r="R236" s="3" t="str">
        <f>IFERROR(MID(VLOOKUP($B236,Seqs!$A:$B,2,0),S236,1),"")</f>
        <v>F</v>
      </c>
      <c r="S236" s="3">
        <v>135</v>
      </c>
      <c r="T236" s="3" t="str">
        <f>IFERROR(MID(VLOOKUP($B236,Seqs!$A:$B,2,0),U236,1),"")</f>
        <v>G</v>
      </c>
      <c r="U236" s="3">
        <v>136</v>
      </c>
      <c r="V236" s="3" t="str">
        <f>IFERROR(MID(VLOOKUP($B236,Seqs!$A:$B,2,0),W236,1),"")</f>
        <v>H</v>
      </c>
      <c r="W236" s="3">
        <v>171</v>
      </c>
      <c r="X236" s="3" t="str">
        <f>IFERROR(MID(VLOOKUP($B236,Seqs!$A:$B,2,0),Y236,1),"")</f>
        <v>P</v>
      </c>
      <c r="Y236" s="3">
        <v>172</v>
      </c>
      <c r="Z236" s="3" t="str">
        <f>IFERROR(MID(VLOOKUP($B236,Seqs!$A:$B,2,0),AA236,1),"")</f>
        <v>R</v>
      </c>
      <c r="AA236" s="3">
        <v>179</v>
      </c>
      <c r="AB236" s="3" t="str">
        <f>IFERROR(MID(VLOOKUP($B236,Seqs!$A:$B,2,0),AC236,1),"")</f>
        <v>T</v>
      </c>
      <c r="AC236" s="3">
        <v>180</v>
      </c>
      <c r="AD236" s="3" t="str">
        <f>IFERROR(MID(VLOOKUP($B236,Seqs!$A:$B,2,0),AE236,1),"")</f>
        <v>F</v>
      </c>
      <c r="AE236" s="3">
        <v>204</v>
      </c>
      <c r="AF236" s="3" t="str">
        <f>IFERROR(MID(VLOOKUP($B236,Seqs!$A:$B,2,0),AG236,1),"")</f>
        <v>C</v>
      </c>
      <c r="AG236" s="3">
        <v>217</v>
      </c>
      <c r="AH236" s="3" t="str">
        <f>IFERROR(MID(VLOOKUP($B236,Seqs!$A:$B,2,0),AI236,1),"")</f>
        <v>L</v>
      </c>
      <c r="AI236" s="3">
        <v>219</v>
      </c>
      <c r="AJ236" s="3" t="str">
        <f>IFERROR(MID(VLOOKUP($B236,Seqs!$A:$B,2,0),AK236,1),"")</f>
        <v>Y</v>
      </c>
      <c r="AK236" s="3">
        <v>227</v>
      </c>
      <c r="AL236" s="3" t="str">
        <f>IFERROR(MID(VLOOKUP($B236,Seqs!$A:$B,2,0),AM236,1),"")</f>
        <v>V</v>
      </c>
      <c r="AM236" s="3">
        <v>262</v>
      </c>
      <c r="AN236" s="3" t="str">
        <f>IFERROR(MID(VLOOKUP($B236,Seqs!$A:$B,2,0),AO236,1),"")</f>
        <v>S</v>
      </c>
      <c r="AO236" s="3">
        <v>268</v>
      </c>
      <c r="AP236" s="3" t="str">
        <f>IFERROR(MID(VLOOKUP($B236,Seqs!$A:$B,2,0),AQ236,1),"")</f>
        <v>I</v>
      </c>
      <c r="AQ236" s="3">
        <v>306</v>
      </c>
      <c r="AR236" s="3" t="str">
        <f>IFERROR(MID(VLOOKUP($B236,Seqs!$A:$B,2,0),AS236,1),"")</f>
        <v>F</v>
      </c>
      <c r="AS236" s="3">
        <v>313</v>
      </c>
      <c r="AT236" s="3" t="str">
        <f>IFERROR(MID(VLOOKUP($B236,Seqs!$A:$B,2,0),AU236,1),"")</f>
        <v>Y</v>
      </c>
      <c r="AU236" s="3">
        <v>336</v>
      </c>
      <c r="AV236" s="3" t="str">
        <f>IFERROR(MID(VLOOKUP($B236,Seqs!$A:$B,2,0),AW236,1),"")</f>
        <v/>
      </c>
      <c r="AW236" s="3" t="s">
        <v>23</v>
      </c>
      <c r="AX236" s="3" t="str">
        <f>IFERROR(MID(VLOOKUP($B236,Seqs!$A:$B,2,0),AY236,1),"")</f>
        <v/>
      </c>
      <c r="AY236" s="3" t="s">
        <v>23</v>
      </c>
      <c r="AZ236" s="77" t="str">
        <f>VLOOKUP(B236,Classification!A:D,2,0)</f>
        <v>A</v>
      </c>
      <c r="BA236" s="94" t="str">
        <f>VLOOKUP(B236,Classification!A:D,4,0)</f>
        <v>Opioid</v>
      </c>
      <c r="BB236" s="27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>_xlfn.AGGREGATE(9,6,CH236:CS236)-_xlfn.AGGREGATE(9,6,BV236:CG236)+12</f>
        <v>239</v>
      </c>
      <c r="BD236" s="5" t="s">
        <v>23</v>
      </c>
      <c r="BE236" s="3" t="s">
        <v>1292</v>
      </c>
      <c r="BF236" s="119">
        <v>4.5</v>
      </c>
      <c r="BG236" s="49" t="s">
        <v>1423</v>
      </c>
      <c r="BH236" s="49" t="s">
        <v>1423</v>
      </c>
      <c r="BI236" s="1"/>
      <c r="BJ236" s="70" t="s">
        <v>1288</v>
      </c>
      <c r="BK236" s="57" t="s">
        <v>1288</v>
      </c>
      <c r="BL236" s="57" t="s">
        <v>1288</v>
      </c>
      <c r="BM236" s="57" t="s">
        <v>1288</v>
      </c>
      <c r="BN236" s="57" t="s">
        <v>1288</v>
      </c>
      <c r="BO236" s="57" t="s">
        <v>1288</v>
      </c>
      <c r="BP236" s="57" t="s">
        <v>1288</v>
      </c>
      <c r="BQ236" s="57" t="s">
        <v>1288</v>
      </c>
      <c r="BR236" s="57" t="s">
        <v>1288</v>
      </c>
      <c r="BS236" s="57" t="s">
        <v>1288</v>
      </c>
      <c r="BT236" s="57" t="s">
        <v>1288</v>
      </c>
      <c r="BU236" s="57" t="s">
        <v>1288</v>
      </c>
      <c r="BV236" s="70">
        <f>E236</f>
        <v>67</v>
      </c>
      <c r="BW236" s="71" t="str">
        <f>I236</f>
        <v>-</v>
      </c>
      <c r="BX236" s="72">
        <f>M236</f>
        <v>102</v>
      </c>
      <c r="BY236" s="71">
        <f>Q236</f>
        <v>132</v>
      </c>
      <c r="BZ236" s="72">
        <f>U236</f>
        <v>136</v>
      </c>
      <c r="CA236" s="71">
        <f>Y236</f>
        <v>172</v>
      </c>
      <c r="CB236" s="72">
        <f>AC236</f>
        <v>180</v>
      </c>
      <c r="CC236" s="71">
        <f>AG236</f>
        <v>217</v>
      </c>
      <c r="CD236" s="72">
        <f>AK236</f>
        <v>227</v>
      </c>
      <c r="CE236" s="71">
        <f>AO236</f>
        <v>268</v>
      </c>
      <c r="CF236" s="72">
        <f>AS236</f>
        <v>313</v>
      </c>
      <c r="CG236" s="71" t="str">
        <f>AW236</f>
        <v>-</v>
      </c>
      <c r="CH236" s="70">
        <f>G236</f>
        <v>98</v>
      </c>
      <c r="CI236" s="71" t="str">
        <f>K236</f>
        <v>-</v>
      </c>
      <c r="CJ236" s="72">
        <f>O236</f>
        <v>131</v>
      </c>
      <c r="CK236" s="72">
        <f>S236</f>
        <v>135</v>
      </c>
      <c r="CL236" s="72">
        <f>W236</f>
        <v>171</v>
      </c>
      <c r="CM236" s="72">
        <f>AA236</f>
        <v>179</v>
      </c>
      <c r="CN236" s="72">
        <f>AE236</f>
        <v>204</v>
      </c>
      <c r="CO236" s="72">
        <f>AI236</f>
        <v>219</v>
      </c>
      <c r="CP236" s="72">
        <f>AM236</f>
        <v>262</v>
      </c>
      <c r="CQ236" s="72">
        <f>AQ236</f>
        <v>306</v>
      </c>
      <c r="CR236" s="72">
        <f>AU236</f>
        <v>336</v>
      </c>
      <c r="CS236" s="72" t="str">
        <f>AY236</f>
        <v>-</v>
      </c>
      <c r="CT236" s="23" t="e">
        <f>M236-K236</f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33"/>
        <v>oprx_human__wt</v>
      </c>
      <c r="B237" s="3" t="s">
        <v>1174</v>
      </c>
      <c r="C237" s="3" t="s">
        <v>100</v>
      </c>
      <c r="D237" s="3" t="str">
        <f>IFERROR(MID(VLOOKUP($B237,Seqs!$A:$B,2,0),E237,1),"")</f>
        <v>L</v>
      </c>
      <c r="E237" s="3">
        <v>48</v>
      </c>
      <c r="F237" s="3" t="str">
        <f>IFERROR(MID(VLOOKUP($B237,Seqs!$A:$B,2,0),G237,1),"")</f>
        <v>H</v>
      </c>
      <c r="G237" s="3">
        <v>79</v>
      </c>
      <c r="H237" s="3" t="str">
        <f>IFERROR(MID(VLOOKUP($B237,Seqs!$A:$B,2,0),I237,1),"")</f>
        <v>T</v>
      </c>
      <c r="I237" s="23">
        <v>80</v>
      </c>
      <c r="J237" s="3" t="str">
        <f>IFERROR(MID(VLOOKUP($B237,Seqs!$A:$B,2,0),K237,1),"")</f>
        <v>K</v>
      </c>
      <c r="K237" s="23">
        <v>83</v>
      </c>
      <c r="L237" s="3" t="str">
        <f>IFERROR(MID(VLOOKUP($B237,Seqs!$A:$B,2,0),M237,1),"")</f>
        <v>T</v>
      </c>
      <c r="M237" s="3">
        <v>84</v>
      </c>
      <c r="N237" s="3" t="str">
        <f>IFERROR(MID(VLOOKUP($B237,Seqs!$A:$B,2,0),O237,1),"")</f>
        <v>L</v>
      </c>
      <c r="O237" s="3">
        <v>113</v>
      </c>
      <c r="P237" s="3" t="str">
        <f>IFERROR(MID(VLOOKUP($B237,Seqs!$A:$B,2,0),Q237,1),"")</f>
        <v>F</v>
      </c>
      <c r="Q237" s="3">
        <v>115</v>
      </c>
      <c r="R237" s="3" t="str">
        <f>IFERROR(MID(VLOOKUP($B237,Seqs!$A:$B,2,0),S237,1),"")</f>
        <v>F</v>
      </c>
      <c r="S237" s="3">
        <v>118</v>
      </c>
      <c r="T237" s="3" t="str">
        <f>IFERROR(MID(VLOOKUP($B237,Seqs!$A:$B,2,0),U237,1),"")</f>
        <v>G</v>
      </c>
      <c r="U237" s="3">
        <v>119</v>
      </c>
      <c r="V237" s="3" t="str">
        <f>IFERROR(MID(VLOOKUP($B237,Seqs!$A:$B,2,0),W237,1),"")</f>
        <v>H</v>
      </c>
      <c r="W237" s="3">
        <v>154</v>
      </c>
      <c r="X237" s="3" t="str">
        <f>IFERROR(MID(VLOOKUP($B237,Seqs!$A:$B,2,0),Y237,1),"")</f>
        <v>P</v>
      </c>
      <c r="Y237" s="3">
        <v>155</v>
      </c>
      <c r="Z237" s="3" t="str">
        <f>IFERROR(MID(VLOOKUP($B237,Seqs!$A:$B,2,0),AA237,1),"")</f>
        <v>R</v>
      </c>
      <c r="AA237" s="3">
        <v>162</v>
      </c>
      <c r="AB237" s="3" t="str">
        <f>IFERROR(MID(VLOOKUP($B237,Seqs!$A:$B,2,0),AC237,1),"")</f>
        <v>T</v>
      </c>
      <c r="AC237" s="9">
        <v>163</v>
      </c>
      <c r="AD237" s="3" t="str">
        <f>IFERROR(MID(VLOOKUP($B237,Seqs!$A:$B,2,0),AE237,1),"")</f>
        <v>G</v>
      </c>
      <c r="AE237" s="3">
        <v>189</v>
      </c>
      <c r="AF237" s="3" t="str">
        <f>IFERROR(MID(VLOOKUP($B237,Seqs!$A:$B,2,0),AG237,1),"")</f>
        <v>C</v>
      </c>
      <c r="AG237" s="3">
        <v>200</v>
      </c>
      <c r="AH237" s="3" t="str">
        <f>IFERROR(MID(VLOOKUP($B237,Seqs!$A:$B,2,0),AI237,1),"")</f>
        <v>V</v>
      </c>
      <c r="AI237" s="3">
        <v>202</v>
      </c>
      <c r="AJ237" s="3" t="str">
        <f>IFERROR(MID(VLOOKUP($B237,Seqs!$A:$B,2,0),AK237,1),"")</f>
        <v>Q</v>
      </c>
      <c r="AK237" s="3">
        <v>208</v>
      </c>
      <c r="AL237" s="3" t="str">
        <f>IFERROR(MID(VLOOKUP($B237,Seqs!$A:$B,2,0),AM237,1),"")</f>
        <v>V</v>
      </c>
      <c r="AM237" s="3">
        <v>245</v>
      </c>
      <c r="AN237" s="3" t="str">
        <f>IFERROR(MID(VLOOKUP($B237,Seqs!$A:$B,2,0),AO237,1),"")</f>
        <v>S</v>
      </c>
      <c r="AO237" s="3">
        <v>251</v>
      </c>
      <c r="AP237" s="3" t="str">
        <f>IFERROR(MID(VLOOKUP($B237,Seqs!$A:$B,2,0),AQ237,1),"")</f>
        <v>G</v>
      </c>
      <c r="AQ237" s="3">
        <v>289</v>
      </c>
      <c r="AR237" s="3" t="str">
        <f>IFERROR(MID(VLOOKUP($B237,Seqs!$A:$B,2,0),AS237,1),"")</f>
        <v>S</v>
      </c>
      <c r="AS237" s="3">
        <v>294</v>
      </c>
      <c r="AT237" s="3" t="str">
        <f>IFERROR(MID(VLOOKUP($B237,Seqs!$A:$B,2,0),AU237,1),"")</f>
        <v>L</v>
      </c>
      <c r="AU237" s="3">
        <v>322</v>
      </c>
      <c r="AV237" s="3" t="str">
        <f>IFERROR(MID(VLOOKUP($B237,Seqs!$A:$B,2,0),AW237,1),"")</f>
        <v>D</v>
      </c>
      <c r="AW237" s="3">
        <v>323</v>
      </c>
      <c r="AX237" s="3" t="str">
        <f>IFERROR(MID(VLOOKUP($B237,Seqs!$A:$B,2,0),AY237,1),"")</f>
        <v>C</v>
      </c>
      <c r="AY237" s="3">
        <v>335</v>
      </c>
      <c r="AZ237" s="77" t="str">
        <f>VLOOKUP(B237,Classification!A:D,2,0)</f>
        <v>A</v>
      </c>
      <c r="BA237" s="94" t="str">
        <f>VLOOKUP(B237,Classification!A:D,4,0)</f>
        <v>Opioid</v>
      </c>
      <c r="BB237" s="27" t="b">
        <f t="shared" si="1034"/>
        <v>1</v>
      </c>
      <c r="BC237" s="23">
        <f t="shared" si="1007"/>
        <v>263</v>
      </c>
      <c r="BD237" s="56" t="s">
        <v>23</v>
      </c>
      <c r="BE237" s="3" t="s">
        <v>23</v>
      </c>
      <c r="BF237" s="119" t="s">
        <v>23</v>
      </c>
      <c r="BG237" s="49" t="s">
        <v>1373</v>
      </c>
      <c r="BH237" s="49" t="s">
        <v>1378</v>
      </c>
      <c r="BI237" s="1"/>
      <c r="BJ237" s="70" t="s">
        <v>1288</v>
      </c>
      <c r="BK237" s="57" t="s">
        <v>1288</v>
      </c>
      <c r="BL237" s="57" t="s">
        <v>1288</v>
      </c>
      <c r="BM237" s="57" t="s">
        <v>1288</v>
      </c>
      <c r="BN237" s="57" t="s">
        <v>1288</v>
      </c>
      <c r="BO237" s="57" t="s">
        <v>1288</v>
      </c>
      <c r="BP237" s="57" t="s">
        <v>1288</v>
      </c>
      <c r="BQ237" s="57" t="s">
        <v>1288</v>
      </c>
      <c r="BR237" s="57" t="s">
        <v>1288</v>
      </c>
      <c r="BS237" s="57" t="s">
        <v>1288</v>
      </c>
      <c r="BT237" s="57" t="s">
        <v>1288</v>
      </c>
      <c r="BU237" s="57" t="s">
        <v>1288</v>
      </c>
      <c r="BV237" s="70">
        <f t="shared" si="1008"/>
        <v>48</v>
      </c>
      <c r="BW237" s="71">
        <f t="shared" si="1009"/>
        <v>80</v>
      </c>
      <c r="BX237" s="72">
        <f t="shared" si="1010"/>
        <v>84</v>
      </c>
      <c r="BY237" s="71">
        <f t="shared" si="1011"/>
        <v>115</v>
      </c>
      <c r="BZ237" s="72">
        <f t="shared" si="1012"/>
        <v>119</v>
      </c>
      <c r="CA237" s="71">
        <f t="shared" si="1013"/>
        <v>155</v>
      </c>
      <c r="CB237" s="72">
        <f t="shared" si="1014"/>
        <v>163</v>
      </c>
      <c r="CC237" s="71">
        <f t="shared" si="1015"/>
        <v>200</v>
      </c>
      <c r="CD237" s="72">
        <f t="shared" si="1016"/>
        <v>208</v>
      </c>
      <c r="CE237" s="71">
        <f t="shared" si="1017"/>
        <v>251</v>
      </c>
      <c r="CF237" s="72">
        <f t="shared" si="1018"/>
        <v>294</v>
      </c>
      <c r="CG237" s="71">
        <f t="shared" si="1019"/>
        <v>323</v>
      </c>
      <c r="CH237" s="70">
        <f t="shared" si="1020"/>
        <v>79</v>
      </c>
      <c r="CI237" s="71">
        <f t="shared" si="1021"/>
        <v>83</v>
      </c>
      <c r="CJ237" s="72">
        <f t="shared" si="1022"/>
        <v>113</v>
      </c>
      <c r="CK237" s="72">
        <f t="shared" si="1023"/>
        <v>118</v>
      </c>
      <c r="CL237" s="72">
        <f t="shared" si="1024"/>
        <v>154</v>
      </c>
      <c r="CM237" s="72">
        <f t="shared" si="1025"/>
        <v>162</v>
      </c>
      <c r="CN237" s="72">
        <f t="shared" si="1026"/>
        <v>189</v>
      </c>
      <c r="CO237" s="72">
        <f t="shared" si="1027"/>
        <v>202</v>
      </c>
      <c r="CP237" s="72">
        <f t="shared" si="1028"/>
        <v>245</v>
      </c>
      <c r="CQ237" s="72">
        <f t="shared" si="1029"/>
        <v>289</v>
      </c>
      <c r="CR237" s="72">
        <f t="shared" si="1030"/>
        <v>322</v>
      </c>
      <c r="CS237" s="72">
        <f t="shared" si="1031"/>
        <v>335</v>
      </c>
      <c r="CT237" s="23">
        <f t="shared" si="1032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033"/>
        <v>oprx_human_4EA3</v>
      </c>
      <c r="B238" s="3" t="s">
        <v>1174</v>
      </c>
      <c r="C238" s="3" t="s">
        <v>67</v>
      </c>
      <c r="D238" s="3" t="str">
        <f>IFERROR(MID(VLOOKUP($B238,Seqs!$A:$B,2,0),E238,1),"")</f>
        <v>L</v>
      </c>
      <c r="E238" s="3">
        <v>48</v>
      </c>
      <c r="F238" s="3" t="str">
        <f>IFERROR(MID(VLOOKUP($B238,Seqs!$A:$B,2,0),G238,1),"")</f>
        <v>H</v>
      </c>
      <c r="G238" s="3">
        <v>79</v>
      </c>
      <c r="H238" s="3" t="str">
        <f>IFERROR(MID(VLOOKUP($B238,Seqs!$A:$B,2,0),I238,1),"")</f>
        <v/>
      </c>
      <c r="I238" s="23" t="s">
        <v>23</v>
      </c>
      <c r="J238" s="3" t="str">
        <f>IFERROR(MID(VLOOKUP($B238,Seqs!$A:$B,2,0),K238,1),"")</f>
        <v/>
      </c>
      <c r="K238" s="23" t="s">
        <v>23</v>
      </c>
      <c r="L238" s="3" t="str">
        <f>IFERROR(MID(VLOOKUP($B238,Seqs!$A:$B,2,0),M238,1),"")</f>
        <v>T</v>
      </c>
      <c r="M238" s="3">
        <v>84</v>
      </c>
      <c r="N238" s="3" t="str">
        <f>IFERROR(MID(VLOOKUP($B238,Seqs!$A:$B,2,0),O238,1),"")</f>
        <v>L</v>
      </c>
      <c r="O238" s="3">
        <v>113</v>
      </c>
      <c r="P238" s="3" t="str">
        <f>IFERROR(MID(VLOOKUP($B238,Seqs!$A:$B,2,0),Q238,1),"")</f>
        <v>F</v>
      </c>
      <c r="Q238" s="3">
        <v>115</v>
      </c>
      <c r="R238" s="3" t="str">
        <f>IFERROR(MID(VLOOKUP($B238,Seqs!$A:$B,2,0),S238,1),"")</f>
        <v>F</v>
      </c>
      <c r="S238" s="3">
        <v>118</v>
      </c>
      <c r="T238" s="3" t="str">
        <f>IFERROR(MID(VLOOKUP($B238,Seqs!$A:$B,2,0),U238,1),"")</f>
        <v>G</v>
      </c>
      <c r="U238" s="3">
        <v>119</v>
      </c>
      <c r="V238" s="3" t="str">
        <f>IFERROR(MID(VLOOKUP($B238,Seqs!$A:$B,2,0),W238,1),"")</f>
        <v>H</v>
      </c>
      <c r="W238" s="3">
        <v>154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T</v>
      </c>
      <c r="AC238" s="9">
        <v>163</v>
      </c>
      <c r="AD238" s="3" t="str">
        <f>IFERROR(MID(VLOOKUP($B238,Seqs!$A:$B,2,0),AE238,1),"")</f>
        <v>G</v>
      </c>
      <c r="AE238" s="3">
        <v>189</v>
      </c>
      <c r="AF238" s="3" t="str">
        <f>IFERROR(MID(VLOOKUP($B238,Seqs!$A:$B,2,0),AG238,1),"")</f>
        <v>C</v>
      </c>
      <c r="AG238" s="3">
        <v>200</v>
      </c>
      <c r="AH238" s="3" t="str">
        <f>IFERROR(MID(VLOOKUP($B238,Seqs!$A:$B,2,0),AI238,1),"")</f>
        <v>V</v>
      </c>
      <c r="AI238" s="3">
        <v>202</v>
      </c>
      <c r="AJ238" s="3" t="str">
        <f>IFERROR(MID(VLOOKUP($B238,Seqs!$A:$B,2,0),AK238,1),"")</f>
        <v>Q</v>
      </c>
      <c r="AK238" s="3">
        <v>208</v>
      </c>
      <c r="AL238" s="3" t="str">
        <f>IFERROR(MID(VLOOKUP($B238,Seqs!$A:$B,2,0),AM238,1),"")</f>
        <v>L</v>
      </c>
      <c r="AM238" s="3">
        <v>242</v>
      </c>
      <c r="AN238" s="3" t="str">
        <f>IFERROR(MID(VLOOKUP($B238,Seqs!$A:$B,2,0),AO238,1),"")</f>
        <v>S</v>
      </c>
      <c r="AO238" s="3">
        <v>251</v>
      </c>
      <c r="AP238" s="3" t="str">
        <f>IFERROR(MID(VLOOKUP($B238,Seqs!$A:$B,2,0),AQ238,1),"")</f>
        <v>G</v>
      </c>
      <c r="AQ238" s="3">
        <v>289</v>
      </c>
      <c r="AR238" s="3" t="str">
        <f>IFERROR(MID(VLOOKUP($B238,Seqs!$A:$B,2,0),AS238,1),"")</f>
        <v>S</v>
      </c>
      <c r="AS238" s="3">
        <v>294</v>
      </c>
      <c r="AT238" s="3" t="str">
        <f>IFERROR(MID(VLOOKUP($B238,Seqs!$A:$B,2,0),AU238,1),"")</f>
        <v>L</v>
      </c>
      <c r="AU238" s="3">
        <v>322</v>
      </c>
      <c r="AV238" s="3" t="str">
        <f>IFERROR(MID(VLOOKUP($B238,Seqs!$A:$B,2,0),AW238,1),"")</f>
        <v>D</v>
      </c>
      <c r="AW238" s="3">
        <v>323</v>
      </c>
      <c r="AX238" s="3" t="str">
        <f>IFERROR(MID(VLOOKUP($B238,Seqs!$A:$B,2,0),AY238,1),"")</f>
        <v>R</v>
      </c>
      <c r="AY238" s="3">
        <v>331</v>
      </c>
      <c r="AZ238" s="77" t="str">
        <f>VLOOKUP(B238,Classification!A:D,2,0)</f>
        <v>A</v>
      </c>
      <c r="BA238" s="94" t="str">
        <f>VLOOKUP(B238,Classification!A:D,4,0)</f>
        <v>Opioid</v>
      </c>
      <c r="BB238" s="27" t="b">
        <f t="shared" si="1034"/>
        <v>1</v>
      </c>
      <c r="BC238" s="23">
        <f t="shared" si="1007"/>
        <v>246</v>
      </c>
      <c r="BD238" s="5" t="s">
        <v>23</v>
      </c>
      <c r="BE238" s="3" t="s">
        <v>1375</v>
      </c>
      <c r="BF238" s="119">
        <v>3.01</v>
      </c>
      <c r="BG238" s="49" t="s">
        <v>1378</v>
      </c>
      <c r="BH238" s="49" t="s">
        <v>1378</v>
      </c>
      <c r="BI238" s="1"/>
      <c r="BJ238" s="70" t="s">
        <v>1288</v>
      </c>
      <c r="BK238" s="57" t="s">
        <v>1288</v>
      </c>
      <c r="BL238" s="57" t="s">
        <v>1288</v>
      </c>
      <c r="BM238" s="57" t="s">
        <v>1288</v>
      </c>
      <c r="BN238" s="57" t="s">
        <v>1288</v>
      </c>
      <c r="BO238" s="57" t="s">
        <v>1288</v>
      </c>
      <c r="BP238" s="57" t="s">
        <v>1288</v>
      </c>
      <c r="BQ238" s="57" t="s">
        <v>1288</v>
      </c>
      <c r="BR238" s="57" t="s">
        <v>1288</v>
      </c>
      <c r="BS238" s="57" t="s">
        <v>1288</v>
      </c>
      <c r="BT238" s="57" t="s">
        <v>1288</v>
      </c>
      <c r="BU238" s="57" t="s">
        <v>1288</v>
      </c>
      <c r="BV238" s="70">
        <f t="shared" si="1008"/>
        <v>48</v>
      </c>
      <c r="BW238" s="71" t="str">
        <f t="shared" si="1009"/>
        <v>-</v>
      </c>
      <c r="BX238" s="72">
        <f t="shared" si="1010"/>
        <v>84</v>
      </c>
      <c r="BY238" s="71">
        <f t="shared" si="1011"/>
        <v>115</v>
      </c>
      <c r="BZ238" s="72">
        <f t="shared" si="1012"/>
        <v>119</v>
      </c>
      <c r="CA238" s="71" t="str">
        <f t="shared" si="1013"/>
        <v>-</v>
      </c>
      <c r="CB238" s="72">
        <f t="shared" si="1014"/>
        <v>163</v>
      </c>
      <c r="CC238" s="71">
        <f t="shared" si="1015"/>
        <v>200</v>
      </c>
      <c r="CD238" s="72">
        <f t="shared" si="1016"/>
        <v>208</v>
      </c>
      <c r="CE238" s="71">
        <f t="shared" si="1017"/>
        <v>251</v>
      </c>
      <c r="CF238" s="72">
        <f t="shared" si="1018"/>
        <v>294</v>
      </c>
      <c r="CG238" s="71">
        <f t="shared" si="1019"/>
        <v>323</v>
      </c>
      <c r="CH238" s="70">
        <f t="shared" si="1020"/>
        <v>79</v>
      </c>
      <c r="CI238" s="71" t="str">
        <f t="shared" si="1021"/>
        <v>-</v>
      </c>
      <c r="CJ238" s="72">
        <f t="shared" si="1022"/>
        <v>113</v>
      </c>
      <c r="CK238" s="72">
        <f t="shared" si="1023"/>
        <v>118</v>
      </c>
      <c r="CL238" s="72">
        <f t="shared" si="1024"/>
        <v>154</v>
      </c>
      <c r="CM238" s="72" t="str">
        <f t="shared" si="1025"/>
        <v>-</v>
      </c>
      <c r="CN238" s="72">
        <f t="shared" si="1026"/>
        <v>189</v>
      </c>
      <c r="CO238" s="72">
        <f t="shared" si="1027"/>
        <v>202</v>
      </c>
      <c r="CP238" s="72">
        <f t="shared" si="1028"/>
        <v>242</v>
      </c>
      <c r="CQ238" s="72">
        <f t="shared" si="1029"/>
        <v>289</v>
      </c>
      <c r="CR238" s="72">
        <f t="shared" si="1030"/>
        <v>322</v>
      </c>
      <c r="CS238" s="72">
        <f t="shared" si="1031"/>
        <v>331</v>
      </c>
      <c r="CT238" s="23" t="e">
        <f t="shared" si="1032"/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033"/>
        <v>oprx_human_5DHG</v>
      </c>
      <c r="B239" s="3" t="s">
        <v>1174</v>
      </c>
      <c r="C239" s="3" t="s">
        <v>1356</v>
      </c>
      <c r="D239" s="3" t="str">
        <f>IFERROR(MID(VLOOKUP($B239,Seqs!$A:$B,2,0),E239,1),"")</f>
        <v>L</v>
      </c>
      <c r="E239" s="3">
        <v>48</v>
      </c>
      <c r="F239" s="3" t="str">
        <f>IFERROR(MID(VLOOKUP($B239,Seqs!$A:$B,2,0),G239,1),"")</f>
        <v>H</v>
      </c>
      <c r="G239" s="3">
        <v>79</v>
      </c>
      <c r="H239" s="3" t="str">
        <f>IFERROR(MID(VLOOKUP($B239,Seqs!$A:$B,2,0),I239,1),"")</f>
        <v/>
      </c>
      <c r="I239" s="23" t="s">
        <v>23</v>
      </c>
      <c r="J239" s="3" t="str">
        <f>IFERROR(MID(VLOOKUP($B239,Seqs!$A:$B,2,0),K239,1),"")</f>
        <v/>
      </c>
      <c r="K239" s="23" t="s">
        <v>23</v>
      </c>
      <c r="L239" s="3" t="str">
        <f>IFERROR(MID(VLOOKUP($B239,Seqs!$A:$B,2,0),M239,1),"")</f>
        <v>T</v>
      </c>
      <c r="M239" s="3">
        <v>84</v>
      </c>
      <c r="N239" s="3" t="str">
        <f>IFERROR(MID(VLOOKUP($B239,Seqs!$A:$B,2,0),O239,1),"")</f>
        <v>L</v>
      </c>
      <c r="O239" s="3">
        <v>113</v>
      </c>
      <c r="P239" s="3" t="str">
        <f>IFERROR(MID(VLOOKUP($B239,Seqs!$A:$B,2,0),Q239,1),"")</f>
        <v>F</v>
      </c>
      <c r="Q239" s="3">
        <v>115</v>
      </c>
      <c r="R239" s="3" t="str">
        <f>IFERROR(MID(VLOOKUP($B239,Seqs!$A:$B,2,0),S239,1),"")</f>
        <v>F</v>
      </c>
      <c r="S239" s="3">
        <v>118</v>
      </c>
      <c r="T239" s="3" t="str">
        <f>IFERROR(MID(VLOOKUP($B239,Seqs!$A:$B,2,0),U239,1),"")</f>
        <v>G</v>
      </c>
      <c r="U239" s="3">
        <v>119</v>
      </c>
      <c r="V239" s="3" t="str">
        <f>IFERROR(MID(VLOOKUP($B239,Seqs!$A:$B,2,0),W239,1),"")</f>
        <v>H</v>
      </c>
      <c r="W239" s="3">
        <v>154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T</v>
      </c>
      <c r="AC239" s="9">
        <v>163</v>
      </c>
      <c r="AD239" s="3" t="str">
        <f>IFERROR(MID(VLOOKUP($B239,Seqs!$A:$B,2,0),AE239,1),"")</f>
        <v>G</v>
      </c>
      <c r="AE239" s="3">
        <v>189</v>
      </c>
      <c r="AF239" s="3" t="str">
        <f>IFERROR(MID(VLOOKUP($B239,Seqs!$A:$B,2,0),AG239,1),"")</f>
        <v>C</v>
      </c>
      <c r="AG239" s="3">
        <v>200</v>
      </c>
      <c r="AH239" s="3" t="str">
        <f>IFERROR(MID(VLOOKUP($B239,Seqs!$A:$B,2,0),AI239,1),"")</f>
        <v>V</v>
      </c>
      <c r="AI239" s="3">
        <v>202</v>
      </c>
      <c r="AJ239" s="3" t="str">
        <f>IFERROR(MID(VLOOKUP($B239,Seqs!$A:$B,2,0),AK239,1),"")</f>
        <v>Q</v>
      </c>
      <c r="AK239" s="3">
        <v>208</v>
      </c>
      <c r="AL239" s="3" t="str">
        <f>IFERROR(MID(VLOOKUP($B239,Seqs!$A:$B,2,0),AM239,1),"")</f>
        <v>L</v>
      </c>
      <c r="AM239" s="3">
        <v>242</v>
      </c>
      <c r="AN239" s="3" t="str">
        <f>IFERROR(MID(VLOOKUP($B239,Seqs!$A:$B,2,0),AO239,1),"")</f>
        <v>S</v>
      </c>
      <c r="AO239" s="3">
        <v>251</v>
      </c>
      <c r="AP239" s="3" t="str">
        <f>IFERROR(MID(VLOOKUP($B239,Seqs!$A:$B,2,0),AQ239,1),"")</f>
        <v>G</v>
      </c>
      <c r="AQ239" s="3">
        <v>289</v>
      </c>
      <c r="AR239" s="3" t="str">
        <f>IFERROR(MID(VLOOKUP($B239,Seqs!$A:$B,2,0),AS239,1),"")</f>
        <v>S</v>
      </c>
      <c r="AS239" s="3">
        <v>294</v>
      </c>
      <c r="AT239" s="3" t="str">
        <f>IFERROR(MID(VLOOKUP($B239,Seqs!$A:$B,2,0),AU239,1),"")</f>
        <v>L</v>
      </c>
      <c r="AU239" s="3">
        <v>322</v>
      </c>
      <c r="AV239" s="3" t="str">
        <f>IFERROR(MID(VLOOKUP($B239,Seqs!$A:$B,2,0),AW239,1),"")</f>
        <v>D</v>
      </c>
      <c r="AW239" s="3">
        <v>323</v>
      </c>
      <c r="AX239" s="3" t="str">
        <f>IFERROR(MID(VLOOKUP($B239,Seqs!$A:$B,2,0),AY239,1),"")</f>
        <v>F</v>
      </c>
      <c r="AY239" s="3">
        <v>333</v>
      </c>
      <c r="AZ239" s="77" t="str">
        <f>VLOOKUP(B239,Classification!A:D,2,0)</f>
        <v>A</v>
      </c>
      <c r="BA239" s="94" t="str">
        <f>VLOOKUP(B239,Classification!A:D,4,0)</f>
        <v>Opioid</v>
      </c>
      <c r="BB239" s="27" t="b">
        <f t="shared" si="1034"/>
        <v>1</v>
      </c>
      <c r="BC239" s="23">
        <f t="shared" si="1007"/>
        <v>248</v>
      </c>
      <c r="BD239" s="16" t="s">
        <v>1377</v>
      </c>
      <c r="BE239" s="3" t="s">
        <v>1375</v>
      </c>
      <c r="BF239" s="119">
        <v>3</v>
      </c>
      <c r="BG239" s="49" t="s">
        <v>1282</v>
      </c>
      <c r="BH239" s="49" t="s">
        <v>1378</v>
      </c>
      <c r="BI239" s="1"/>
      <c r="BJ239" s="70" t="s">
        <v>1288</v>
      </c>
      <c r="BK239" s="57" t="s">
        <v>1288</v>
      </c>
      <c r="BL239" s="57" t="s">
        <v>1288</v>
      </c>
      <c r="BM239" s="57" t="s">
        <v>1288</v>
      </c>
      <c r="BN239" s="57" t="s">
        <v>1288</v>
      </c>
      <c r="BO239" s="57" t="s">
        <v>1288</v>
      </c>
      <c r="BP239" s="57" t="s">
        <v>1288</v>
      </c>
      <c r="BQ239" s="57" t="s">
        <v>1288</v>
      </c>
      <c r="BR239" s="57" t="s">
        <v>1288</v>
      </c>
      <c r="BS239" s="57" t="s">
        <v>1288</v>
      </c>
      <c r="BT239" s="57" t="s">
        <v>1288</v>
      </c>
      <c r="BU239" s="57" t="s">
        <v>1288</v>
      </c>
      <c r="BV239" s="70">
        <f t="shared" si="1008"/>
        <v>48</v>
      </c>
      <c r="BW239" s="71" t="str">
        <f t="shared" si="1009"/>
        <v>-</v>
      </c>
      <c r="BX239" s="72">
        <f t="shared" si="1010"/>
        <v>84</v>
      </c>
      <c r="BY239" s="71">
        <f t="shared" si="1011"/>
        <v>115</v>
      </c>
      <c r="BZ239" s="72">
        <f t="shared" si="1012"/>
        <v>119</v>
      </c>
      <c r="CA239" s="71" t="str">
        <f t="shared" si="1013"/>
        <v>-</v>
      </c>
      <c r="CB239" s="72">
        <f t="shared" si="1014"/>
        <v>163</v>
      </c>
      <c r="CC239" s="71">
        <f t="shared" si="1015"/>
        <v>200</v>
      </c>
      <c r="CD239" s="72">
        <f t="shared" si="1016"/>
        <v>208</v>
      </c>
      <c r="CE239" s="71">
        <f t="shared" si="1017"/>
        <v>251</v>
      </c>
      <c r="CF239" s="72">
        <f t="shared" si="1018"/>
        <v>294</v>
      </c>
      <c r="CG239" s="71">
        <f t="shared" si="1019"/>
        <v>323</v>
      </c>
      <c r="CH239" s="70">
        <f t="shared" si="1020"/>
        <v>79</v>
      </c>
      <c r="CI239" s="71" t="str">
        <f t="shared" si="1021"/>
        <v>-</v>
      </c>
      <c r="CJ239" s="72">
        <f t="shared" si="1022"/>
        <v>113</v>
      </c>
      <c r="CK239" s="72">
        <f t="shared" si="1023"/>
        <v>118</v>
      </c>
      <c r="CL239" s="72">
        <f t="shared" si="1024"/>
        <v>154</v>
      </c>
      <c r="CM239" s="72" t="str">
        <f t="shared" si="1025"/>
        <v>-</v>
      </c>
      <c r="CN239" s="72">
        <f t="shared" si="1026"/>
        <v>189</v>
      </c>
      <c r="CO239" s="72">
        <f t="shared" si="1027"/>
        <v>202</v>
      </c>
      <c r="CP239" s="72">
        <f t="shared" si="1028"/>
        <v>242</v>
      </c>
      <c r="CQ239" s="72">
        <f t="shared" si="1029"/>
        <v>289</v>
      </c>
      <c r="CR239" s="72">
        <f t="shared" si="1030"/>
        <v>322</v>
      </c>
      <c r="CS239" s="72">
        <f t="shared" si="1031"/>
        <v>333</v>
      </c>
      <c r="CT239" s="23" t="e">
        <f t="shared" si="1032"/>
        <v>#VALUE!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033"/>
        <v>oprx_human_5DHH</v>
      </c>
      <c r="B240" s="3" t="s">
        <v>1174</v>
      </c>
      <c r="C240" s="3" t="s">
        <v>1357</v>
      </c>
      <c r="D240" s="3" t="str">
        <f>IFERROR(MID(VLOOKUP($B240,Seqs!$A:$B,2,0),E240,1),"")</f>
        <v>L</v>
      </c>
      <c r="E240" s="3">
        <v>48</v>
      </c>
      <c r="F240" s="3" t="str">
        <f>IFERROR(MID(VLOOKUP($B240,Seqs!$A:$B,2,0),G240,1),"")</f>
        <v>H</v>
      </c>
      <c r="G240" s="3">
        <v>79</v>
      </c>
      <c r="H240" s="3" t="str">
        <f>IFERROR(MID(VLOOKUP($B240,Seqs!$A:$B,2,0),I240,1),"")</f>
        <v/>
      </c>
      <c r="I240" s="23" t="s">
        <v>23</v>
      </c>
      <c r="J240" s="3" t="str">
        <f>IFERROR(MID(VLOOKUP($B240,Seqs!$A:$B,2,0),K240,1),"")</f>
        <v/>
      </c>
      <c r="K240" s="23" t="s">
        <v>23</v>
      </c>
      <c r="L240" s="3" t="str">
        <f>IFERROR(MID(VLOOKUP($B240,Seqs!$A:$B,2,0),M240,1),"")</f>
        <v>T</v>
      </c>
      <c r="M240" s="3">
        <v>84</v>
      </c>
      <c r="N240" s="3" t="str">
        <f>IFERROR(MID(VLOOKUP($B240,Seqs!$A:$B,2,0),O240,1),"")</f>
        <v>L</v>
      </c>
      <c r="O240" s="3">
        <v>113</v>
      </c>
      <c r="P240" s="3" t="str">
        <f>IFERROR(MID(VLOOKUP($B240,Seqs!$A:$B,2,0),Q240,1),"")</f>
        <v>F</v>
      </c>
      <c r="Q240" s="3">
        <v>115</v>
      </c>
      <c r="R240" s="3" t="str">
        <f>IFERROR(MID(VLOOKUP($B240,Seqs!$A:$B,2,0),S240,1),"")</f>
        <v>F</v>
      </c>
      <c r="S240" s="3">
        <v>118</v>
      </c>
      <c r="T240" s="3" t="str">
        <f>IFERROR(MID(VLOOKUP($B240,Seqs!$A:$B,2,0),U240,1),"")</f>
        <v>G</v>
      </c>
      <c r="U240" s="3">
        <v>119</v>
      </c>
      <c r="V240" s="3" t="str">
        <f>IFERROR(MID(VLOOKUP($B240,Seqs!$A:$B,2,0),W240,1),"")</f>
        <v>H</v>
      </c>
      <c r="W240" s="3">
        <v>154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T</v>
      </c>
      <c r="AC240" s="9">
        <v>163</v>
      </c>
      <c r="AD240" s="3" t="str">
        <f>IFERROR(MID(VLOOKUP($B240,Seqs!$A:$B,2,0),AE240,1),"")</f>
        <v>G</v>
      </c>
      <c r="AE240" s="3">
        <v>189</v>
      </c>
      <c r="AF240" s="3" t="str">
        <f>IFERROR(MID(VLOOKUP($B240,Seqs!$A:$B,2,0),AG240,1),"")</f>
        <v>C</v>
      </c>
      <c r="AG240" s="3">
        <v>200</v>
      </c>
      <c r="AH240" s="3" t="str">
        <f>IFERROR(MID(VLOOKUP($B240,Seqs!$A:$B,2,0),AI240,1),"")</f>
        <v>V</v>
      </c>
      <c r="AI240" s="3">
        <v>202</v>
      </c>
      <c r="AJ240" s="3" t="str">
        <f>IFERROR(MID(VLOOKUP($B240,Seqs!$A:$B,2,0),AK240,1),"")</f>
        <v>Q</v>
      </c>
      <c r="AK240" s="3">
        <v>208</v>
      </c>
      <c r="AL240" s="3" t="str">
        <f>IFERROR(MID(VLOOKUP($B240,Seqs!$A:$B,2,0),AM240,1),"")</f>
        <v>L</v>
      </c>
      <c r="AM240" s="3">
        <v>242</v>
      </c>
      <c r="AN240" s="3" t="str">
        <f>IFERROR(MID(VLOOKUP($B240,Seqs!$A:$B,2,0),AO240,1),"")</f>
        <v>S</v>
      </c>
      <c r="AO240" s="3">
        <v>251</v>
      </c>
      <c r="AP240" s="3" t="str">
        <f>IFERROR(MID(VLOOKUP($B240,Seqs!$A:$B,2,0),AQ240,1),"")</f>
        <v>G</v>
      </c>
      <c r="AQ240" s="3">
        <v>289</v>
      </c>
      <c r="AR240" s="3" t="str">
        <f>IFERROR(MID(VLOOKUP($B240,Seqs!$A:$B,2,0),AS240,1),"")</f>
        <v>S</v>
      </c>
      <c r="AS240" s="3">
        <v>294</v>
      </c>
      <c r="AT240" s="3" t="str">
        <f>IFERROR(MID(VLOOKUP($B240,Seqs!$A:$B,2,0),AU240,1),"")</f>
        <v>L</v>
      </c>
      <c r="AU240" s="3">
        <v>322</v>
      </c>
      <c r="AV240" s="3" t="str">
        <f>IFERROR(MID(VLOOKUP($B240,Seqs!$A:$B,2,0),AW240,1),"")</f>
        <v>D</v>
      </c>
      <c r="AW240" s="3">
        <v>323</v>
      </c>
      <c r="AX240" s="3" t="str">
        <f>IFERROR(MID(VLOOKUP($B240,Seqs!$A:$B,2,0),AY240,1),"")</f>
        <v>R</v>
      </c>
      <c r="AY240" s="3">
        <v>331</v>
      </c>
      <c r="AZ240" s="77" t="str">
        <f>VLOOKUP(B240,Classification!A:D,2,0)</f>
        <v>A</v>
      </c>
      <c r="BA240" s="94" t="str">
        <f>VLOOKUP(B240,Classification!A:D,4,0)</f>
        <v>Opioid</v>
      </c>
      <c r="BB240" s="27" t="b">
        <f t="shared" si="1034"/>
        <v>1</v>
      </c>
      <c r="BC240" s="23">
        <f t="shared" si="1007"/>
        <v>246</v>
      </c>
      <c r="BD240" s="5" t="s">
        <v>23</v>
      </c>
      <c r="BE240" s="3" t="s">
        <v>1375</v>
      </c>
      <c r="BF240" s="119">
        <v>3</v>
      </c>
      <c r="BG240" s="49" t="s">
        <v>1</v>
      </c>
      <c r="BH240" s="49" t="s">
        <v>1378</v>
      </c>
      <c r="BI240" s="1" t="s">
        <v>1361</v>
      </c>
      <c r="BJ240" s="70" t="s">
        <v>1288</v>
      </c>
      <c r="BK240" s="57" t="s">
        <v>1288</v>
      </c>
      <c r="BL240" s="57" t="s">
        <v>1288</v>
      </c>
      <c r="BM240" s="57" t="s">
        <v>1288</v>
      </c>
      <c r="BN240" s="57" t="s">
        <v>1288</v>
      </c>
      <c r="BO240" s="57" t="s">
        <v>1288</v>
      </c>
      <c r="BP240" s="57" t="s">
        <v>1288</v>
      </c>
      <c r="BQ240" s="57" t="s">
        <v>1288</v>
      </c>
      <c r="BR240" s="57" t="s">
        <v>1288</v>
      </c>
      <c r="BS240" s="57" t="s">
        <v>1288</v>
      </c>
      <c r="BT240" s="57" t="s">
        <v>1288</v>
      </c>
      <c r="BU240" s="57" t="s">
        <v>1288</v>
      </c>
      <c r="BV240" s="70">
        <f t="shared" si="1008"/>
        <v>48</v>
      </c>
      <c r="BW240" s="71" t="str">
        <f t="shared" si="1009"/>
        <v>-</v>
      </c>
      <c r="BX240" s="72">
        <f t="shared" si="1010"/>
        <v>84</v>
      </c>
      <c r="BY240" s="71">
        <f t="shared" si="1011"/>
        <v>115</v>
      </c>
      <c r="BZ240" s="72">
        <f t="shared" si="1012"/>
        <v>119</v>
      </c>
      <c r="CA240" s="71" t="str">
        <f t="shared" si="1013"/>
        <v>-</v>
      </c>
      <c r="CB240" s="72">
        <f t="shared" si="1014"/>
        <v>163</v>
      </c>
      <c r="CC240" s="71">
        <f t="shared" si="1015"/>
        <v>200</v>
      </c>
      <c r="CD240" s="72">
        <f t="shared" si="1016"/>
        <v>208</v>
      </c>
      <c r="CE240" s="71">
        <f t="shared" si="1017"/>
        <v>251</v>
      </c>
      <c r="CF240" s="72">
        <f t="shared" si="1018"/>
        <v>294</v>
      </c>
      <c r="CG240" s="71">
        <f t="shared" si="1019"/>
        <v>323</v>
      </c>
      <c r="CH240" s="70">
        <f t="shared" si="1020"/>
        <v>79</v>
      </c>
      <c r="CI240" s="71" t="str">
        <f t="shared" si="1021"/>
        <v>-</v>
      </c>
      <c r="CJ240" s="72">
        <f t="shared" si="1022"/>
        <v>113</v>
      </c>
      <c r="CK240" s="72">
        <f t="shared" si="1023"/>
        <v>118</v>
      </c>
      <c r="CL240" s="72">
        <f t="shared" si="1024"/>
        <v>154</v>
      </c>
      <c r="CM240" s="72" t="str">
        <f t="shared" si="1025"/>
        <v>-</v>
      </c>
      <c r="CN240" s="72">
        <f t="shared" si="1026"/>
        <v>189</v>
      </c>
      <c r="CO240" s="72">
        <f t="shared" si="1027"/>
        <v>202</v>
      </c>
      <c r="CP240" s="72">
        <f t="shared" si="1028"/>
        <v>242</v>
      </c>
      <c r="CQ240" s="72">
        <f t="shared" si="1029"/>
        <v>289</v>
      </c>
      <c r="CR240" s="72">
        <f t="shared" si="1030"/>
        <v>322</v>
      </c>
      <c r="CS240" s="72">
        <f t="shared" si="1031"/>
        <v>331</v>
      </c>
      <c r="CT240" s="23" t="e">
        <f t="shared" si="1032"/>
        <v>#VALUE!</v>
      </c>
    </row>
    <row r="241" spans="1:1030" x14ac:dyDescent="0.2">
      <c r="A241" s="3" t="str">
        <f t="shared" si="1033"/>
        <v>opsd_bovin__wt</v>
      </c>
      <c r="B241" s="3" t="s">
        <v>920</v>
      </c>
      <c r="C241" s="3" t="s">
        <v>100</v>
      </c>
      <c r="D241" s="3" t="str">
        <f>IFERROR(MID(VLOOKUP($B241,Seqs!$A:$B,2,0),E241,1),"")</f>
        <v>E</v>
      </c>
      <c r="E241" s="105">
        <v>33</v>
      </c>
      <c r="F241" s="3" t="str">
        <f>IFERROR(MID(VLOOKUP($B241,Seqs!$A:$B,2,0),G241,1),"")</f>
        <v>H</v>
      </c>
      <c r="G241" s="3">
        <v>65</v>
      </c>
      <c r="H241" s="3" t="str">
        <f>IFERROR(MID(VLOOKUP($B241,Seqs!$A:$B,2,0),I241,1),"")</f>
        <v>K</v>
      </c>
      <c r="I241" s="23">
        <v>66</v>
      </c>
      <c r="J241" s="3" t="str">
        <f>IFERROR(MID(VLOOKUP($B241,Seqs!$A:$B,2,0),K241,1),"")</f>
        <v>R</v>
      </c>
      <c r="K241" s="23">
        <v>69</v>
      </c>
      <c r="L241" s="3" t="str">
        <f>IFERROR(MID(VLOOKUP($B241,Seqs!$A:$B,2,0),M241,1),"")</f>
        <v>T</v>
      </c>
      <c r="M241" s="3">
        <v>70</v>
      </c>
      <c r="N241" s="3" t="str">
        <f>IFERROR(MID(VLOOKUP($B241,Seqs!$A:$B,2,0),O241,1),"")</f>
        <v>H</v>
      </c>
      <c r="O241" s="3">
        <v>100</v>
      </c>
      <c r="P241" s="3" t="str">
        <f>IFERROR(MID(VLOOKUP($B241,Seqs!$A:$B,2,0),Q241,1),"")</f>
        <v>Y</v>
      </c>
      <c r="Q241" s="3">
        <v>102</v>
      </c>
      <c r="R241" s="3" t="str">
        <f>IFERROR(MID(VLOOKUP($B241,Seqs!$A:$B,2,0),S241,1),"")</f>
        <v>F</v>
      </c>
      <c r="S241" s="3">
        <v>105</v>
      </c>
      <c r="T241" s="3" t="str">
        <f>IFERROR(MID(VLOOKUP($B241,Seqs!$A:$B,2,0),U241,1),"")</f>
        <v>G</v>
      </c>
      <c r="U241" s="3">
        <v>106</v>
      </c>
      <c r="V241" s="3" t="str">
        <f>IFERROR(MID(VLOOKUP($B241,Seqs!$A:$B,2,0),W241,1),"")</f>
        <v>K</v>
      </c>
      <c r="W241" s="3">
        <v>141</v>
      </c>
      <c r="X241" s="3" t="str">
        <f>IFERROR(MID(VLOOKUP($B241,Seqs!$A:$B,2,0),Y241,1),"")</f>
        <v>P</v>
      </c>
      <c r="Y241" s="3">
        <v>142</v>
      </c>
      <c r="Z241" s="3" t="str">
        <f>IFERROR(MID(VLOOKUP($B241,Seqs!$A:$B,2,0),AA241,1),"")</f>
        <v>F</v>
      </c>
      <c r="AA241" s="105">
        <v>148</v>
      </c>
      <c r="AB241" s="3" t="str">
        <f>IFERROR(MID(VLOOKUP($B241,Seqs!$A:$B,2,0),AC241,1),"")</f>
        <v>G</v>
      </c>
      <c r="AC241" s="105">
        <v>149</v>
      </c>
      <c r="AD241" s="3" t="str">
        <f>IFERROR(MID(VLOOKUP($B241,Seqs!$A:$B,2,0),AE241,1),"")</f>
        <v>V</v>
      </c>
      <c r="AE241" s="3">
        <v>173</v>
      </c>
      <c r="AF241" s="3" t="str">
        <f>IFERROR(MID(VLOOKUP($B241,Seqs!$A:$B,2,0),AG241,1),"")</f>
        <v>C</v>
      </c>
      <c r="AG241" s="3">
        <v>187</v>
      </c>
      <c r="AH241" s="3" t="str">
        <f>IFERROR(MID(VLOOKUP($B241,Seqs!$A:$B,2,0),AI241,1),"")</f>
        <v>I</v>
      </c>
      <c r="AI241" s="3">
        <v>189</v>
      </c>
      <c r="AJ241" s="3" t="str">
        <f>IFERROR(MID(VLOOKUP($B241,Seqs!$A:$B,2,0),AK241,1),"")</f>
        <v>N</v>
      </c>
      <c r="AK241" s="3">
        <v>199</v>
      </c>
      <c r="AL241" s="3" t="str">
        <f>IFERROR(MID(VLOOKUP($B241,Seqs!$A:$B,2,0),AM241,1),"")</f>
        <v>Q</v>
      </c>
      <c r="AM241" s="3">
        <v>237</v>
      </c>
      <c r="AN241" s="3" t="str">
        <f>IFERROR(MID(VLOOKUP($B241,Seqs!$A:$B,2,0),AO241,1),"")</f>
        <v>A</v>
      </c>
      <c r="AO241" s="3">
        <v>241</v>
      </c>
      <c r="AP241" s="3" t="str">
        <f>IFERROR(MID(VLOOKUP($B241,Seqs!$A:$B,2,0),AQ241,1),"")</f>
        <v>H</v>
      </c>
      <c r="AQ241" s="3">
        <v>278</v>
      </c>
      <c r="AR241" s="3" t="str">
        <f>IFERROR(MID(VLOOKUP($B241,Seqs!$A:$B,2,0),AS241,1),"")</f>
        <v>G</v>
      </c>
      <c r="AS241" s="3">
        <v>284</v>
      </c>
      <c r="AT241" s="3" t="str">
        <f>IFERROR(MID(VLOOKUP($B241,Seqs!$A:$B,2,0),AU241,1),"")</f>
        <v>M</v>
      </c>
      <c r="AU241" s="3">
        <v>309</v>
      </c>
      <c r="AV241" s="3" t="str">
        <f>IFERROR(MID(VLOOKUP($B241,Seqs!$A:$B,2,0),AW241,1),"")</f>
        <v>N</v>
      </c>
      <c r="AW241" s="3">
        <v>310</v>
      </c>
      <c r="AX241" s="3" t="str">
        <f>IFERROR(MID(VLOOKUP($B241,Seqs!$A:$B,2,0),AY241,1),"")</f>
        <v>C</v>
      </c>
      <c r="AY241" s="3">
        <v>322</v>
      </c>
      <c r="AZ241" s="77" t="str">
        <f>VLOOKUP(B241,Classification!A:D,2,0)</f>
        <v>A</v>
      </c>
      <c r="BA241" s="94" t="str">
        <f>VLOOKUP(B241,Classification!A:D,4,0)</f>
        <v>Opsins</v>
      </c>
      <c r="BB241" s="27" t="b">
        <f t="shared" si="1034"/>
        <v>1</v>
      </c>
      <c r="BC241" s="23">
        <f t="shared" si="1007"/>
        <v>259</v>
      </c>
      <c r="BD241" s="34" t="s">
        <v>23</v>
      </c>
      <c r="BE241" s="3" t="s">
        <v>23</v>
      </c>
      <c r="BF241" s="119" t="s">
        <v>23</v>
      </c>
      <c r="BG241" s="49" t="s">
        <v>1373</v>
      </c>
      <c r="BH241" s="49" t="s">
        <v>1378</v>
      </c>
      <c r="BI241" s="1"/>
      <c r="BJ241" s="70" t="s">
        <v>1288</v>
      </c>
      <c r="BK241" s="57" t="s">
        <v>1288</v>
      </c>
      <c r="BL241" s="57" t="s">
        <v>1288</v>
      </c>
      <c r="BM241" s="57" t="s">
        <v>1288</v>
      </c>
      <c r="BN241" s="57" t="s">
        <v>1288</v>
      </c>
      <c r="BO241" s="57" t="s">
        <v>1288</v>
      </c>
      <c r="BP241" s="57" t="s">
        <v>1288</v>
      </c>
      <c r="BQ241" s="57" t="s">
        <v>1288</v>
      </c>
      <c r="BR241" s="57" t="s">
        <v>1288</v>
      </c>
      <c r="BS241" s="57" t="s">
        <v>1288</v>
      </c>
      <c r="BT241" s="57" t="s">
        <v>1288</v>
      </c>
      <c r="BU241" s="57" t="s">
        <v>1288</v>
      </c>
      <c r="BV241" s="70">
        <f t="shared" si="1008"/>
        <v>33</v>
      </c>
      <c r="BW241" s="71">
        <f t="shared" si="1009"/>
        <v>66</v>
      </c>
      <c r="BX241" s="72">
        <f t="shared" si="1010"/>
        <v>70</v>
      </c>
      <c r="BY241" s="71">
        <f t="shared" si="1011"/>
        <v>102</v>
      </c>
      <c r="BZ241" s="72">
        <f t="shared" si="1012"/>
        <v>106</v>
      </c>
      <c r="CA241" s="71">
        <f t="shared" si="1013"/>
        <v>142</v>
      </c>
      <c r="CB241" s="72">
        <f t="shared" si="1014"/>
        <v>149</v>
      </c>
      <c r="CC241" s="71">
        <f t="shared" si="1015"/>
        <v>187</v>
      </c>
      <c r="CD241" s="72">
        <f t="shared" si="1016"/>
        <v>199</v>
      </c>
      <c r="CE241" s="71">
        <f t="shared" si="1017"/>
        <v>241</v>
      </c>
      <c r="CF241" s="72">
        <f t="shared" si="1018"/>
        <v>284</v>
      </c>
      <c r="CG241" s="71">
        <f t="shared" si="1019"/>
        <v>310</v>
      </c>
      <c r="CH241" s="70">
        <f t="shared" si="1020"/>
        <v>65</v>
      </c>
      <c r="CI241" s="71">
        <f t="shared" si="1021"/>
        <v>69</v>
      </c>
      <c r="CJ241" s="72">
        <f t="shared" si="1022"/>
        <v>100</v>
      </c>
      <c r="CK241" s="72">
        <f t="shared" si="1023"/>
        <v>105</v>
      </c>
      <c r="CL241" s="72">
        <f t="shared" si="1024"/>
        <v>141</v>
      </c>
      <c r="CM241" s="72">
        <f t="shared" si="1025"/>
        <v>148</v>
      </c>
      <c r="CN241" s="72">
        <f t="shared" si="1026"/>
        <v>173</v>
      </c>
      <c r="CO241" s="72">
        <f t="shared" si="1027"/>
        <v>189</v>
      </c>
      <c r="CP241" s="72">
        <f t="shared" si="1028"/>
        <v>237</v>
      </c>
      <c r="CQ241" s="72">
        <f t="shared" si="1029"/>
        <v>278</v>
      </c>
      <c r="CR241" s="72">
        <f t="shared" si="1030"/>
        <v>309</v>
      </c>
      <c r="CS241" s="72">
        <f t="shared" si="1031"/>
        <v>322</v>
      </c>
      <c r="CT241" s="23">
        <f t="shared" si="1032"/>
        <v>1</v>
      </c>
    </row>
    <row r="242" spans="1:1030" x14ac:dyDescent="0.2">
      <c r="A242" s="3" t="str">
        <f t="shared" si="1033"/>
        <v>opsd_bovin_1GZM</v>
      </c>
      <c r="B242" s="3" t="s">
        <v>920</v>
      </c>
      <c r="C242" s="3" t="s">
        <v>1338</v>
      </c>
      <c r="D242" s="3" t="str">
        <f>IFERROR(MID(VLOOKUP($B242,Seqs!$A:$B,2,0),E242,1),"")</f>
        <v>E</v>
      </c>
      <c r="E242" s="105">
        <v>33</v>
      </c>
      <c r="F242" s="3" t="str">
        <f>IFERROR(MID(VLOOKUP($B242,Seqs!$A:$B,2,0),G242,1),"")</f>
        <v>H</v>
      </c>
      <c r="G242" s="3">
        <v>65</v>
      </c>
      <c r="H242" s="3" t="str">
        <f>IFERROR(MID(VLOOKUP($B242,Seqs!$A:$B,2,0),I242,1),"")</f>
        <v>K</v>
      </c>
      <c r="I242" s="23">
        <v>66</v>
      </c>
      <c r="J242" s="3" t="str">
        <f>IFERROR(MID(VLOOKUP($B242,Seqs!$A:$B,2,0),K242,1),"")</f>
        <v>R</v>
      </c>
      <c r="K242" s="23">
        <v>69</v>
      </c>
      <c r="L242" s="3" t="str">
        <f>IFERROR(MID(VLOOKUP($B242,Seqs!$A:$B,2,0),M242,1),"")</f>
        <v>T</v>
      </c>
      <c r="M242" s="3">
        <v>70</v>
      </c>
      <c r="N242" s="3" t="str">
        <f>IFERROR(MID(VLOOKUP($B242,Seqs!$A:$B,2,0),O242,1),"")</f>
        <v>H</v>
      </c>
      <c r="O242" s="3">
        <v>100</v>
      </c>
      <c r="P242" s="3" t="str">
        <f>IFERROR(MID(VLOOKUP($B242,Seqs!$A:$B,2,0),Q242,1),"")</f>
        <v>Y</v>
      </c>
      <c r="Q242" s="3">
        <v>102</v>
      </c>
      <c r="R242" s="3" t="str">
        <f>IFERROR(MID(VLOOKUP($B242,Seqs!$A:$B,2,0),S242,1),"")</f>
        <v>F</v>
      </c>
      <c r="S242" s="3">
        <v>105</v>
      </c>
      <c r="T242" s="3" t="str">
        <f>IFERROR(MID(VLOOKUP($B242,Seqs!$A:$B,2,0),U242,1),"")</f>
        <v>G</v>
      </c>
      <c r="U242" s="3">
        <v>106</v>
      </c>
      <c r="V242" s="3" t="str">
        <f>IFERROR(MID(VLOOKUP($B242,Seqs!$A:$B,2,0),W242,1),"")</f>
        <v>K</v>
      </c>
      <c r="W242" s="3">
        <v>141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G</v>
      </c>
      <c r="AC242" s="9">
        <v>149</v>
      </c>
      <c r="AD242" s="3" t="str">
        <f>IFERROR(MID(VLOOKUP($B242,Seqs!$A:$B,2,0),AE242,1),"")</f>
        <v>V</v>
      </c>
      <c r="AE242" s="3">
        <v>173</v>
      </c>
      <c r="AF242" s="3" t="str">
        <f>IFERROR(MID(VLOOKUP($B242,Seqs!$A:$B,2,0),AG242,1),"")</f>
        <v>C</v>
      </c>
      <c r="AG242" s="3">
        <v>187</v>
      </c>
      <c r="AH242" s="3" t="str">
        <f>IFERROR(MID(VLOOKUP($B242,Seqs!$A:$B,2,0),AI242,1),"")</f>
        <v>I</v>
      </c>
      <c r="AI242" s="3">
        <v>189</v>
      </c>
      <c r="AJ242" s="3" t="str">
        <f>IFERROR(MID(VLOOKUP($B242,Seqs!$A:$B,2,0),AK242,1),"")</f>
        <v>N</v>
      </c>
      <c r="AK242" s="3">
        <v>199</v>
      </c>
      <c r="AL242" s="3" t="str">
        <f>IFERROR(MID(VLOOKUP($B242,Seqs!$A:$B,2,0),AM242,1),"")</f>
        <v>A</v>
      </c>
      <c r="AM242" s="3">
        <v>233</v>
      </c>
      <c r="AN242" s="3" t="str">
        <f>IFERROR(MID(VLOOKUP($B242,Seqs!$A:$B,2,0),AO242,1),"")</f>
        <v>A</v>
      </c>
      <c r="AO242" s="3">
        <v>241</v>
      </c>
      <c r="AP242" s="3" t="str">
        <f>IFERROR(MID(VLOOKUP($B242,Seqs!$A:$B,2,0),AQ242,1),"")</f>
        <v>H</v>
      </c>
      <c r="AQ242" s="3">
        <v>278</v>
      </c>
      <c r="AR242" s="3" t="str">
        <f>IFERROR(MID(VLOOKUP($B242,Seqs!$A:$B,2,0),AS242,1),"")</f>
        <v>G</v>
      </c>
      <c r="AS242" s="3">
        <v>284</v>
      </c>
      <c r="AT242" s="3" t="str">
        <f>IFERROR(MID(VLOOKUP($B242,Seqs!$A:$B,2,0),AU242,1),"")</f>
        <v>M</v>
      </c>
      <c r="AU242" s="3">
        <v>309</v>
      </c>
      <c r="AV242" s="3" t="str">
        <f>IFERROR(MID(VLOOKUP($B242,Seqs!$A:$B,2,0),AW242,1),"")</f>
        <v>N</v>
      </c>
      <c r="AW242" s="3">
        <v>310</v>
      </c>
      <c r="AX242" s="3" t="str">
        <f>IFERROR(MID(VLOOKUP($B242,Seqs!$A:$B,2,0),AY242,1),"")</f>
        <v>C</v>
      </c>
      <c r="AY242" s="3">
        <v>322</v>
      </c>
      <c r="AZ242" s="77" t="str">
        <f>VLOOKUP(B242,Classification!A:D,2,0)</f>
        <v>A</v>
      </c>
      <c r="BA242" s="94" t="str">
        <f>VLOOKUP(B242,Classification!A:D,4,0)</f>
        <v>Opsins</v>
      </c>
      <c r="BB242" s="27" t="b">
        <f t="shared" si="1034"/>
        <v>1</v>
      </c>
      <c r="BC242" s="23">
        <f t="shared" si="1007"/>
        <v>249</v>
      </c>
      <c r="BD242" s="56" t="s">
        <v>1377</v>
      </c>
      <c r="BE242" s="3" t="s">
        <v>1375</v>
      </c>
      <c r="BF242" s="119">
        <v>2.65</v>
      </c>
      <c r="BG242" s="49" t="s">
        <v>1378</v>
      </c>
      <c r="BH242" s="49" t="s">
        <v>1378</v>
      </c>
      <c r="BI242" s="1"/>
      <c r="BJ242" s="70" t="s">
        <v>1288</v>
      </c>
      <c r="BK242" s="57" t="s">
        <v>1288</v>
      </c>
      <c r="BL242" s="57" t="s">
        <v>1288</v>
      </c>
      <c r="BM242" s="57" t="s">
        <v>1288</v>
      </c>
      <c r="BN242" s="57" t="s">
        <v>1288</v>
      </c>
      <c r="BO242" s="57" t="s">
        <v>1288</v>
      </c>
      <c r="BP242" s="57" t="s">
        <v>1288</v>
      </c>
      <c r="BQ242" s="57" t="s">
        <v>1288</v>
      </c>
      <c r="BR242" s="57" t="s">
        <v>1288</v>
      </c>
      <c r="BS242" s="57" t="s">
        <v>1288</v>
      </c>
      <c r="BT242" s="57" t="s">
        <v>1288</v>
      </c>
      <c r="BU242" s="57" t="s">
        <v>1288</v>
      </c>
      <c r="BV242" s="70">
        <f t="shared" si="1008"/>
        <v>33</v>
      </c>
      <c r="BW242" s="71">
        <f t="shared" si="1009"/>
        <v>66</v>
      </c>
      <c r="BX242" s="72">
        <f t="shared" si="1010"/>
        <v>70</v>
      </c>
      <c r="BY242" s="71">
        <f t="shared" si="1011"/>
        <v>102</v>
      </c>
      <c r="BZ242" s="72">
        <f t="shared" si="1012"/>
        <v>106</v>
      </c>
      <c r="CA242" s="71" t="str">
        <f t="shared" si="1013"/>
        <v>-</v>
      </c>
      <c r="CB242" s="72">
        <f t="shared" si="1014"/>
        <v>149</v>
      </c>
      <c r="CC242" s="71">
        <f t="shared" si="1015"/>
        <v>187</v>
      </c>
      <c r="CD242" s="72">
        <f t="shared" si="1016"/>
        <v>199</v>
      </c>
      <c r="CE242" s="71">
        <f t="shared" si="1017"/>
        <v>241</v>
      </c>
      <c r="CF242" s="72">
        <f t="shared" si="1018"/>
        <v>284</v>
      </c>
      <c r="CG242" s="71">
        <f t="shared" si="1019"/>
        <v>310</v>
      </c>
      <c r="CH242" s="70">
        <f t="shared" si="1020"/>
        <v>65</v>
      </c>
      <c r="CI242" s="71">
        <f t="shared" si="1021"/>
        <v>69</v>
      </c>
      <c r="CJ242" s="72">
        <f t="shared" si="1022"/>
        <v>100</v>
      </c>
      <c r="CK242" s="72">
        <f t="shared" si="1023"/>
        <v>105</v>
      </c>
      <c r="CL242" s="72">
        <f t="shared" si="1024"/>
        <v>141</v>
      </c>
      <c r="CM242" s="72" t="str">
        <f t="shared" si="1025"/>
        <v>-</v>
      </c>
      <c r="CN242" s="72">
        <f t="shared" si="1026"/>
        <v>173</v>
      </c>
      <c r="CO242" s="72">
        <f t="shared" si="1027"/>
        <v>189</v>
      </c>
      <c r="CP242" s="72">
        <f t="shared" si="1028"/>
        <v>233</v>
      </c>
      <c r="CQ242" s="72">
        <f t="shared" si="1029"/>
        <v>278</v>
      </c>
      <c r="CR242" s="72">
        <f t="shared" si="1030"/>
        <v>309</v>
      </c>
      <c r="CS242" s="72">
        <f t="shared" si="1031"/>
        <v>322</v>
      </c>
      <c r="CT242" s="23">
        <f t="shared" si="1032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1033"/>
        <v>opsd_bovin_1U19</v>
      </c>
      <c r="B243" s="3" t="s">
        <v>920</v>
      </c>
      <c r="C243" s="3" t="s">
        <v>53</v>
      </c>
      <c r="D243" s="3" t="str">
        <f>IFERROR(MID(VLOOKUP($B243,Seqs!$A:$B,2,0),E243,1),"")</f>
        <v>E</v>
      </c>
      <c r="E243" s="105">
        <v>33</v>
      </c>
      <c r="F243" s="3" t="str">
        <f>IFERROR(MID(VLOOKUP($B243,Seqs!$A:$B,2,0),G243,1),"")</f>
        <v>H</v>
      </c>
      <c r="G243" s="3">
        <v>65</v>
      </c>
      <c r="H243" s="3" t="str">
        <f>IFERROR(MID(VLOOKUP($B243,Seqs!$A:$B,2,0),I243,1),"")</f>
        <v>K</v>
      </c>
      <c r="I243" s="23">
        <v>66</v>
      </c>
      <c r="J243" s="3" t="str">
        <f>IFERROR(MID(VLOOKUP($B243,Seqs!$A:$B,2,0),K243,1),"")</f>
        <v>R</v>
      </c>
      <c r="K243" s="23">
        <v>69</v>
      </c>
      <c r="L243" s="3" t="str">
        <f>IFERROR(MID(VLOOKUP($B243,Seqs!$A:$B,2,0),M243,1),"")</f>
        <v>T</v>
      </c>
      <c r="M243" s="3">
        <v>70</v>
      </c>
      <c r="N243" s="3" t="str">
        <f>IFERROR(MID(VLOOKUP($B243,Seqs!$A:$B,2,0),O243,1),"")</f>
        <v>H</v>
      </c>
      <c r="O243" s="3">
        <v>100</v>
      </c>
      <c r="P243" s="3" t="str">
        <f>IFERROR(MID(VLOOKUP($B243,Seqs!$A:$B,2,0),Q243,1),"")</f>
        <v>Y</v>
      </c>
      <c r="Q243" s="3">
        <v>102</v>
      </c>
      <c r="R243" s="3" t="str">
        <f>IFERROR(MID(VLOOKUP($B243,Seqs!$A:$B,2,0),S243,1),"")</f>
        <v>F</v>
      </c>
      <c r="S243" s="3">
        <v>105</v>
      </c>
      <c r="T243" s="3" t="str">
        <f>IFERROR(MID(VLOOKUP($B243,Seqs!$A:$B,2,0),U243,1),"")</f>
        <v>G</v>
      </c>
      <c r="U243" s="3">
        <v>106</v>
      </c>
      <c r="V243" s="3" t="str">
        <f>IFERROR(MID(VLOOKUP($B243,Seqs!$A:$B,2,0),W243,1),"")</f>
        <v>K</v>
      </c>
      <c r="W243" s="3">
        <v>141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G</v>
      </c>
      <c r="AC243" s="9">
        <v>149</v>
      </c>
      <c r="AD243" s="3" t="str">
        <f>IFERROR(MID(VLOOKUP($B243,Seqs!$A:$B,2,0),AE243,1),"")</f>
        <v>V</v>
      </c>
      <c r="AE243" s="3">
        <v>173</v>
      </c>
      <c r="AF243" s="3" t="str">
        <f>IFERROR(MID(VLOOKUP($B243,Seqs!$A:$B,2,0),AG243,1),"")</f>
        <v>C</v>
      </c>
      <c r="AG243" s="3">
        <v>187</v>
      </c>
      <c r="AH243" s="3" t="str">
        <f>IFERROR(MID(VLOOKUP($B243,Seqs!$A:$B,2,0),AI243,1),"")</f>
        <v>I</v>
      </c>
      <c r="AI243" s="3">
        <v>189</v>
      </c>
      <c r="AJ243" s="3" t="str">
        <f>IFERROR(MID(VLOOKUP($B243,Seqs!$A:$B,2,0),AK243,1),"")</f>
        <v>N</v>
      </c>
      <c r="AK243" s="3">
        <v>199</v>
      </c>
      <c r="AL243" s="3" t="str">
        <f>IFERROR(MID(VLOOKUP($B243,Seqs!$A:$B,2,0),AM243,1),"")</f>
        <v>Q</v>
      </c>
      <c r="AM243" s="3">
        <v>225</v>
      </c>
      <c r="AN243" s="3" t="str">
        <f>IFERROR(MID(VLOOKUP($B243,Seqs!$A:$B,2,0),AO243,1),"")</f>
        <v>T</v>
      </c>
      <c r="AO243" s="3">
        <v>243</v>
      </c>
      <c r="AP243" s="3" t="str">
        <f>IFERROR(MID(VLOOKUP($B243,Seqs!$A:$B,2,0),AQ243,1),"")</f>
        <v>H</v>
      </c>
      <c r="AQ243" s="3">
        <v>278</v>
      </c>
      <c r="AR243" s="3" t="str">
        <f>IFERROR(MID(VLOOKUP($B243,Seqs!$A:$B,2,0),AS243,1),"")</f>
        <v>G</v>
      </c>
      <c r="AS243" s="3">
        <v>284</v>
      </c>
      <c r="AT243" s="3" t="str">
        <f>IFERROR(MID(VLOOKUP($B243,Seqs!$A:$B,2,0),AU243,1),"")</f>
        <v>M</v>
      </c>
      <c r="AU243" s="3">
        <v>309</v>
      </c>
      <c r="AV243" s="3" t="str">
        <f>IFERROR(MID(VLOOKUP($B243,Seqs!$A:$B,2,0),AW243,1),"")</f>
        <v>N</v>
      </c>
      <c r="AW243" s="3">
        <v>310</v>
      </c>
      <c r="AX243" s="3" t="str">
        <f>IFERROR(MID(VLOOKUP($B243,Seqs!$A:$B,2,0),AY243,1),"")</f>
        <v>C</v>
      </c>
      <c r="AY243" s="3">
        <v>322</v>
      </c>
      <c r="AZ243" s="77" t="str">
        <f>VLOOKUP(B243,Classification!A:D,2,0)</f>
        <v>A</v>
      </c>
      <c r="BA243" s="94" t="str">
        <f>VLOOKUP(B243,Classification!A:D,4,0)</f>
        <v>Opsins</v>
      </c>
      <c r="BB243" s="27" t="b">
        <f t="shared" si="1034"/>
        <v>1</v>
      </c>
      <c r="BC243" s="23">
        <f t="shared" si="1007"/>
        <v>239</v>
      </c>
      <c r="BD243" s="74" t="s">
        <v>23</v>
      </c>
      <c r="BE243" s="3" t="s">
        <v>1375</v>
      </c>
      <c r="BF243" s="119">
        <v>2.2000000000000002</v>
      </c>
      <c r="BG243" s="49" t="s">
        <v>1</v>
      </c>
      <c r="BH243" s="49" t="s">
        <v>1378</v>
      </c>
      <c r="BI243" s="1"/>
      <c r="BJ243" s="70" t="s">
        <v>1288</v>
      </c>
      <c r="BK243" s="57" t="s">
        <v>1288</v>
      </c>
      <c r="BL243" s="57" t="s">
        <v>1288</v>
      </c>
      <c r="BM243" s="57" t="s">
        <v>1288</v>
      </c>
      <c r="BN243" s="57" t="s">
        <v>1288</v>
      </c>
      <c r="BO243" s="57" t="s">
        <v>1288</v>
      </c>
      <c r="BP243" s="57" t="s">
        <v>1288</v>
      </c>
      <c r="BQ243" s="57" t="s">
        <v>1288</v>
      </c>
      <c r="BR243" s="57" t="s">
        <v>1288</v>
      </c>
      <c r="BS243" s="57" t="s">
        <v>1288</v>
      </c>
      <c r="BT243" s="57" t="s">
        <v>1288</v>
      </c>
      <c r="BU243" s="57" t="s">
        <v>1288</v>
      </c>
      <c r="BV243" s="70">
        <f t="shared" si="1008"/>
        <v>33</v>
      </c>
      <c r="BW243" s="71">
        <f t="shared" si="1009"/>
        <v>66</v>
      </c>
      <c r="BX243" s="72">
        <f t="shared" si="1010"/>
        <v>70</v>
      </c>
      <c r="BY243" s="71">
        <f t="shared" si="1011"/>
        <v>102</v>
      </c>
      <c r="BZ243" s="72">
        <f t="shared" si="1012"/>
        <v>106</v>
      </c>
      <c r="CA243" s="71" t="str">
        <f t="shared" si="1013"/>
        <v>-</v>
      </c>
      <c r="CB243" s="72">
        <f t="shared" si="1014"/>
        <v>149</v>
      </c>
      <c r="CC243" s="71">
        <f t="shared" si="1015"/>
        <v>187</v>
      </c>
      <c r="CD243" s="72">
        <f t="shared" si="1016"/>
        <v>199</v>
      </c>
      <c r="CE243" s="71">
        <f t="shared" si="1017"/>
        <v>243</v>
      </c>
      <c r="CF243" s="72">
        <f t="shared" si="1018"/>
        <v>284</v>
      </c>
      <c r="CG243" s="71">
        <f t="shared" si="1019"/>
        <v>310</v>
      </c>
      <c r="CH243" s="70">
        <f t="shared" si="1020"/>
        <v>65</v>
      </c>
      <c r="CI243" s="71">
        <f t="shared" si="1021"/>
        <v>69</v>
      </c>
      <c r="CJ243" s="72">
        <f t="shared" si="1022"/>
        <v>100</v>
      </c>
      <c r="CK243" s="72">
        <f t="shared" si="1023"/>
        <v>105</v>
      </c>
      <c r="CL243" s="72">
        <f t="shared" si="1024"/>
        <v>141</v>
      </c>
      <c r="CM243" s="72" t="str">
        <f t="shared" si="1025"/>
        <v>-</v>
      </c>
      <c r="CN243" s="72">
        <f t="shared" si="1026"/>
        <v>173</v>
      </c>
      <c r="CO243" s="72">
        <f t="shared" si="1027"/>
        <v>189</v>
      </c>
      <c r="CP243" s="72">
        <f t="shared" si="1028"/>
        <v>225</v>
      </c>
      <c r="CQ243" s="72">
        <f t="shared" si="1029"/>
        <v>278</v>
      </c>
      <c r="CR243" s="72">
        <f t="shared" si="1030"/>
        <v>309</v>
      </c>
      <c r="CS243" s="72">
        <f t="shared" si="1031"/>
        <v>322</v>
      </c>
      <c r="CT243" s="23">
        <f t="shared" si="1032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033"/>
        <v>opsd_bovin_2X72</v>
      </c>
      <c r="B244" s="2" t="s">
        <v>920</v>
      </c>
      <c r="C244" s="3" t="s">
        <v>1370</v>
      </c>
      <c r="D244" s="3" t="str">
        <f>IFERROR(MID(VLOOKUP($B244,Seqs!$A:$B,2,0),E244,1),"")</f>
        <v>E</v>
      </c>
      <c r="E244" s="105">
        <v>33</v>
      </c>
      <c r="F244" s="3" t="str">
        <f>IFERROR(MID(VLOOKUP($B244,Seqs!$A:$B,2,0),G244,1),"")</f>
        <v>H</v>
      </c>
      <c r="G244" s="3">
        <v>65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T</v>
      </c>
      <c r="M244" s="3">
        <v>70</v>
      </c>
      <c r="N244" s="3" t="str">
        <f>IFERROR(MID(VLOOKUP($B244,Seqs!$A:$B,2,0),O244,1),"")</f>
        <v>H</v>
      </c>
      <c r="O244" s="3">
        <v>100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F</v>
      </c>
      <c r="S244" s="3">
        <v>105</v>
      </c>
      <c r="T244" s="3" t="str">
        <f>IFERROR(MID(VLOOKUP($B244,Seqs!$A:$B,2,0),U244,1),"")</f>
        <v>G</v>
      </c>
      <c r="U244" s="3">
        <v>106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G</v>
      </c>
      <c r="AC244" s="9">
        <v>149</v>
      </c>
      <c r="AD244" s="3" t="str">
        <f>IFERROR(MID(VLOOKUP($B244,Seqs!$A:$B,2,0),AE244,1),"")</f>
        <v>V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237</v>
      </c>
      <c r="AN244" s="3" t="str">
        <f>IFERROR(MID(VLOOKUP($B244,Seqs!$A:$B,2,0),AO244,1),"")</f>
        <v>A</v>
      </c>
      <c r="AO244" s="3">
        <v>241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23">
        <f>_xlfn.AGGREGATE(9,6,CH244:CS244)-_xlfn.AGGREGATE(9,6,BV244:CG244)+12</f>
        <v>253</v>
      </c>
      <c r="BD244" s="56" t="s">
        <v>23</v>
      </c>
      <c r="BE244" s="3" t="s">
        <v>1292</v>
      </c>
      <c r="BF244" s="119">
        <v>3</v>
      </c>
      <c r="BG244" s="49" t="s">
        <v>1378</v>
      </c>
      <c r="BH244" s="49" t="s">
        <v>1378</v>
      </c>
      <c r="BI244" s="1"/>
      <c r="BJ244" s="70" t="s">
        <v>1288</v>
      </c>
      <c r="BK244" s="57" t="s">
        <v>1288</v>
      </c>
      <c r="BL244" s="57" t="s">
        <v>1288</v>
      </c>
      <c r="BM244" s="57" t="s">
        <v>1288</v>
      </c>
      <c r="BN244" s="57" t="s">
        <v>1288</v>
      </c>
      <c r="BO244" s="57" t="s">
        <v>1288</v>
      </c>
      <c r="BP244" s="57" t="s">
        <v>1288</v>
      </c>
      <c r="BQ244" s="57" t="s">
        <v>1288</v>
      </c>
      <c r="BR244" s="57" t="s">
        <v>1288</v>
      </c>
      <c r="BS244" s="57" t="s">
        <v>1288</v>
      </c>
      <c r="BT244" s="57" t="s">
        <v>1288</v>
      </c>
      <c r="BU244" s="57" t="s">
        <v>1288</v>
      </c>
      <c r="BV244" s="70">
        <f>E244</f>
        <v>33</v>
      </c>
      <c r="BW244" s="71">
        <f>I244</f>
        <v>66</v>
      </c>
      <c r="BX244" s="72">
        <f>M244</f>
        <v>70</v>
      </c>
      <c r="BY244" s="71">
        <f>Q244</f>
        <v>102</v>
      </c>
      <c r="BZ244" s="72">
        <f>U244</f>
        <v>106</v>
      </c>
      <c r="CA244" s="71" t="str">
        <f>Y244</f>
        <v>-</v>
      </c>
      <c r="CB244" s="72">
        <f>AC244</f>
        <v>149</v>
      </c>
      <c r="CC244" s="71">
        <f>AG244</f>
        <v>187</v>
      </c>
      <c r="CD244" s="72">
        <f>AK244</f>
        <v>199</v>
      </c>
      <c r="CE244" s="71">
        <f>AO244</f>
        <v>241</v>
      </c>
      <c r="CF244" s="72">
        <f>AS244</f>
        <v>284</v>
      </c>
      <c r="CG244" s="71">
        <f>AW244</f>
        <v>310</v>
      </c>
      <c r="CH244" s="70">
        <f>G244</f>
        <v>65</v>
      </c>
      <c r="CI244" s="71">
        <f>K244</f>
        <v>69</v>
      </c>
      <c r="CJ244" s="72">
        <f>O244</f>
        <v>100</v>
      </c>
      <c r="CK244" s="72">
        <f>S244</f>
        <v>105</v>
      </c>
      <c r="CL244" s="72">
        <f>W244</f>
        <v>141</v>
      </c>
      <c r="CM244" s="72" t="str">
        <f>AA244</f>
        <v>-</v>
      </c>
      <c r="CN244" s="72">
        <f>AE244</f>
        <v>173</v>
      </c>
      <c r="CO244" s="72">
        <f>AI244</f>
        <v>189</v>
      </c>
      <c r="CP244" s="72">
        <f>AM244</f>
        <v>237</v>
      </c>
      <c r="CQ244" s="72">
        <f>AQ244</f>
        <v>278</v>
      </c>
      <c r="CR244" s="72">
        <f>AU244</f>
        <v>309</v>
      </c>
      <c r="CS244" s="72">
        <f>AY244</f>
        <v>322</v>
      </c>
      <c r="CT244" s="23">
        <f>M244-K244</f>
        <v>1</v>
      </c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6"/>
      <c r="ACQ244" s="6"/>
      <c r="ACR244" s="6"/>
      <c r="ACS244" s="6"/>
      <c r="ACT244" s="6"/>
      <c r="ACU244" s="6"/>
      <c r="ACV244" s="6"/>
      <c r="ACW244" s="6"/>
      <c r="ACX244" s="6"/>
      <c r="ACY244" s="6"/>
      <c r="ACZ244" s="6"/>
      <c r="ADA244" s="6"/>
      <c r="ADB244" s="6"/>
      <c r="ADC244" s="6"/>
      <c r="ADD244" s="6"/>
      <c r="ADE244" s="6"/>
      <c r="ADF244" s="6"/>
      <c r="ADG244" s="6"/>
      <c r="ADH244" s="6"/>
      <c r="ADI244" s="6"/>
      <c r="ADJ244" s="6"/>
      <c r="ADK244" s="6"/>
      <c r="ADL244" s="6"/>
      <c r="ADM244" s="6"/>
      <c r="ADN244" s="6"/>
      <c r="ADO244" s="6"/>
      <c r="ADP244" s="6"/>
      <c r="ADQ244" s="6"/>
      <c r="ADR244" s="6"/>
      <c r="ADS244" s="6"/>
      <c r="ADT244" s="6"/>
      <c r="ADU244" s="6"/>
      <c r="ADV244" s="6"/>
      <c r="ADW244" s="6"/>
      <c r="ADX244" s="6"/>
      <c r="ADY244" s="6"/>
      <c r="ADZ244" s="6"/>
      <c r="AEA244" s="6"/>
      <c r="AEB244" s="6"/>
      <c r="AEC244" s="6"/>
      <c r="AED244" s="6"/>
      <c r="AEE244" s="6"/>
      <c r="AEF244" s="6"/>
      <c r="AEG244" s="6"/>
      <c r="AEH244" s="6"/>
      <c r="AEI244" s="6"/>
      <c r="AEJ244" s="6"/>
      <c r="AEK244" s="6"/>
      <c r="AEL244" s="6"/>
      <c r="AEM244" s="6"/>
      <c r="AEN244" s="6"/>
      <c r="AEO244" s="6"/>
      <c r="AEP244" s="6"/>
      <c r="AEQ244" s="6"/>
      <c r="AER244" s="6"/>
      <c r="AES244" s="6"/>
      <c r="AET244" s="6"/>
      <c r="AEU244" s="6"/>
      <c r="AEV244" s="6"/>
      <c r="AEW244" s="6"/>
      <c r="AEX244" s="6"/>
      <c r="AEY244" s="6"/>
      <c r="AEZ244" s="6"/>
      <c r="AFA244" s="6"/>
      <c r="AFB244" s="6"/>
      <c r="AFC244" s="6"/>
      <c r="AFD244" s="6"/>
      <c r="AFE244" s="6"/>
      <c r="AFF244" s="6"/>
      <c r="AFG244" s="6"/>
      <c r="AFH244" s="6"/>
      <c r="AFI244" s="6"/>
      <c r="AFJ244" s="6"/>
      <c r="AFK244" s="6"/>
      <c r="AFL244" s="6"/>
      <c r="AFM244" s="6"/>
      <c r="AFN244" s="6"/>
      <c r="AFO244" s="6"/>
      <c r="AFP244" s="6"/>
      <c r="AFQ244" s="6"/>
      <c r="AFR244" s="6"/>
      <c r="AFS244" s="6"/>
      <c r="AFT244" s="6"/>
      <c r="AFU244" s="6"/>
      <c r="AFV244" s="6"/>
      <c r="AFW244" s="6"/>
      <c r="AFX244" s="6"/>
      <c r="AFY244" s="6"/>
      <c r="AFZ244" s="6"/>
      <c r="AGA244" s="6"/>
      <c r="AGB244" s="6"/>
      <c r="AGC244" s="6"/>
      <c r="AGD244" s="6"/>
      <c r="AGE244" s="6"/>
      <c r="AGF244" s="6"/>
      <c r="AGG244" s="6"/>
      <c r="AGH244" s="6"/>
      <c r="AGI244" s="6"/>
      <c r="AGJ244" s="6"/>
      <c r="AGK244" s="6"/>
      <c r="AGL244" s="6"/>
      <c r="AGM244" s="6"/>
      <c r="AGN244" s="6"/>
      <c r="AGO244" s="6"/>
      <c r="AGP244" s="6"/>
      <c r="AGQ244" s="6"/>
      <c r="AGR244" s="6"/>
      <c r="AGS244" s="6"/>
      <c r="AGT244" s="6"/>
      <c r="AGU244" s="6"/>
      <c r="AGV244" s="6"/>
      <c r="AGW244" s="6"/>
      <c r="AGX244" s="6"/>
      <c r="AGY244" s="6"/>
      <c r="AGZ244" s="6"/>
      <c r="AHA244" s="6"/>
      <c r="AHB244" s="6"/>
      <c r="AHC244" s="6"/>
      <c r="AHD244" s="6"/>
      <c r="AHE244" s="6"/>
      <c r="AHF244" s="6"/>
      <c r="AHG244" s="6"/>
      <c r="AHH244" s="6"/>
      <c r="AHI244" s="6"/>
      <c r="AHJ244" s="6"/>
      <c r="AHK244" s="6"/>
      <c r="AHL244" s="6"/>
      <c r="AHM244" s="6"/>
      <c r="AHN244" s="6"/>
      <c r="AHO244" s="6"/>
      <c r="AHP244" s="6"/>
      <c r="AHQ244" s="6"/>
      <c r="AHR244" s="6"/>
      <c r="AHS244" s="6"/>
      <c r="AHT244" s="6"/>
      <c r="AHU244" s="6"/>
      <c r="AHV244" s="6"/>
      <c r="AHW244" s="6"/>
      <c r="AHX244" s="6"/>
      <c r="AHY244" s="6"/>
      <c r="AHZ244" s="6"/>
      <c r="AIA244" s="6"/>
      <c r="AIB244" s="6"/>
      <c r="AIC244" s="6"/>
      <c r="AID244" s="6"/>
      <c r="AIE244" s="6"/>
      <c r="AIF244" s="6"/>
      <c r="AIG244" s="6"/>
      <c r="AIH244" s="6"/>
      <c r="AII244" s="6"/>
      <c r="AIJ244" s="6"/>
      <c r="AIK244" s="6"/>
      <c r="AIL244" s="6"/>
      <c r="AIM244" s="6"/>
      <c r="AIN244" s="6"/>
      <c r="AIO244" s="6"/>
      <c r="AIP244" s="6"/>
      <c r="AIQ244" s="6"/>
      <c r="AIR244" s="6"/>
      <c r="AIS244" s="6"/>
      <c r="AIT244" s="6"/>
      <c r="AIU244" s="6"/>
      <c r="AIV244" s="6"/>
      <c r="AIW244" s="6"/>
      <c r="AIX244" s="6"/>
      <c r="AIY244" s="6"/>
      <c r="AIZ244" s="6"/>
      <c r="AJA244" s="6"/>
      <c r="AJB244" s="6"/>
      <c r="AJC244" s="6"/>
      <c r="AJD244" s="6"/>
      <c r="AJE244" s="6"/>
      <c r="AJF244" s="6"/>
      <c r="AJG244" s="6"/>
      <c r="AJH244" s="6"/>
      <c r="AJI244" s="6"/>
      <c r="AJJ244" s="6"/>
      <c r="AJK244" s="6"/>
      <c r="AJL244" s="6"/>
      <c r="AJM244" s="6"/>
      <c r="AJN244" s="6"/>
      <c r="AJO244" s="6"/>
      <c r="AJP244" s="6"/>
      <c r="AJQ244" s="6"/>
      <c r="AJR244" s="6"/>
      <c r="AJS244" s="6"/>
      <c r="AJT244" s="6"/>
      <c r="AJU244" s="6"/>
      <c r="AJV244" s="6"/>
      <c r="AJW244" s="6"/>
      <c r="AJX244" s="6"/>
      <c r="AJY244" s="6"/>
      <c r="AJZ244" s="6"/>
      <c r="AKA244" s="6"/>
      <c r="AKB244" s="6"/>
      <c r="AKC244" s="6"/>
      <c r="AKD244" s="6"/>
      <c r="AKE244" s="6"/>
      <c r="AKF244" s="6"/>
      <c r="AKG244" s="6"/>
      <c r="AKH244" s="6"/>
      <c r="AKI244" s="6"/>
      <c r="AKJ244" s="6"/>
      <c r="AKK244" s="6"/>
      <c r="AKL244" s="6"/>
      <c r="AKM244" s="6"/>
      <c r="AKN244" s="6"/>
      <c r="AKO244" s="6"/>
      <c r="AKP244" s="6"/>
      <c r="AKQ244" s="6"/>
      <c r="AKR244" s="6"/>
      <c r="AKS244" s="6"/>
      <c r="AKT244" s="6"/>
      <c r="AKU244" s="6"/>
      <c r="AKV244" s="6"/>
      <c r="AKW244" s="6"/>
      <c r="AKX244" s="6"/>
      <c r="AKY244" s="6"/>
      <c r="AKZ244" s="6"/>
      <c r="ALA244" s="6"/>
      <c r="ALB244" s="6"/>
      <c r="ALC244" s="6"/>
      <c r="ALD244" s="6"/>
      <c r="ALE244" s="6"/>
      <c r="ALF244" s="6"/>
      <c r="ALG244" s="6"/>
      <c r="ALH244" s="6"/>
      <c r="ALI244" s="6"/>
      <c r="ALJ244" s="6"/>
      <c r="ALK244" s="6"/>
      <c r="ALL244" s="6"/>
      <c r="ALM244" s="6"/>
      <c r="ALN244" s="6"/>
      <c r="ALO244" s="6"/>
      <c r="ALP244" s="6"/>
      <c r="ALQ244" s="6"/>
      <c r="ALR244" s="6"/>
      <c r="ALS244" s="6"/>
      <c r="ALT244" s="6"/>
      <c r="ALU244" s="6"/>
      <c r="ALV244" s="6"/>
      <c r="ALW244" s="6"/>
      <c r="ALX244" s="6"/>
      <c r="ALY244" s="6"/>
      <c r="ALZ244" s="6"/>
      <c r="AMA244" s="6"/>
      <c r="AMB244" s="6"/>
      <c r="AMC244" s="6"/>
      <c r="AMD244" s="6"/>
      <c r="AME244" s="6"/>
      <c r="AMF244" s="6"/>
      <c r="AMG244" s="6"/>
      <c r="AMH244" s="6"/>
      <c r="AMI244" s="6"/>
      <c r="AMJ244" s="6"/>
      <c r="AMK244" s="6"/>
      <c r="AML244" s="6"/>
      <c r="AMM244" s="6"/>
      <c r="AMN244" s="6"/>
      <c r="AMO244" s="6"/>
      <c r="AMP244" s="6"/>
    </row>
    <row r="245" spans="1:1030" x14ac:dyDescent="0.2">
      <c r="A245" s="3" t="str">
        <f t="shared" si="1033"/>
        <v>opsd_bovin_3DQB</v>
      </c>
      <c r="B245" s="3" t="s">
        <v>920</v>
      </c>
      <c r="C245" s="3" t="s">
        <v>54</v>
      </c>
      <c r="D245" s="3" t="str">
        <f>IFERROR(MID(VLOOKUP($B245,Seqs!$A:$B,2,0),E245,1),"")</f>
        <v>E</v>
      </c>
      <c r="E245" s="105">
        <v>33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T</v>
      </c>
      <c r="M245" s="3">
        <v>70</v>
      </c>
      <c r="N245" s="3" t="str">
        <f>IFERROR(MID(VLOOKUP($B245,Seqs!$A:$B,2,0),O245,1),"")</f>
        <v>H</v>
      </c>
      <c r="O245" s="3">
        <v>100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F</v>
      </c>
      <c r="S245" s="3">
        <v>105</v>
      </c>
      <c r="T245" s="3" t="str">
        <f>IFERROR(MID(VLOOKUP($B245,Seqs!$A:$B,2,0),U245,1),"")</f>
        <v>G</v>
      </c>
      <c r="U245" s="3">
        <v>106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G</v>
      </c>
      <c r="AC245" s="9">
        <v>149</v>
      </c>
      <c r="AD245" s="3" t="str">
        <f>IFERROR(MID(VLOOKUP($B245,Seqs!$A:$B,2,0),AE245,1),"")</f>
        <v>V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Q</v>
      </c>
      <c r="AM245" s="3">
        <v>237</v>
      </c>
      <c r="AN245" s="3" t="str">
        <f>IFERROR(MID(VLOOKUP($B245,Seqs!$A:$B,2,0),AO245,1),"")</f>
        <v>A</v>
      </c>
      <c r="AO245" s="3">
        <v>241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G</v>
      </c>
      <c r="AS245" s="3">
        <v>284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C</v>
      </c>
      <c r="AY245" s="3">
        <v>322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 t="shared" si="1034"/>
        <v>1</v>
      </c>
      <c r="BC245" s="23">
        <f>_xlfn.AGGREGATE(9,6,CH245:CS245)-_xlfn.AGGREGATE(9,6,BV245:CG245)+12</f>
        <v>253</v>
      </c>
      <c r="BD245" s="74" t="s">
        <v>23</v>
      </c>
      <c r="BE245" s="3" t="s">
        <v>1292</v>
      </c>
      <c r="BF245" s="119">
        <v>3.2</v>
      </c>
      <c r="BG245" s="49" t="s">
        <v>1378</v>
      </c>
      <c r="BH245" s="49" t="s">
        <v>1378</v>
      </c>
      <c r="BI245" s="1"/>
      <c r="BJ245" s="70" t="s">
        <v>1288</v>
      </c>
      <c r="BK245" s="57" t="s">
        <v>1288</v>
      </c>
      <c r="BL245" s="57" t="s">
        <v>1288</v>
      </c>
      <c r="BM245" s="57" t="s">
        <v>1288</v>
      </c>
      <c r="BN245" s="57" t="s">
        <v>1288</v>
      </c>
      <c r="BO245" s="57" t="s">
        <v>1288</v>
      </c>
      <c r="BP245" s="57" t="s">
        <v>1288</v>
      </c>
      <c r="BQ245" s="57" t="s">
        <v>1288</v>
      </c>
      <c r="BR245" s="57" t="s">
        <v>1288</v>
      </c>
      <c r="BS245" s="57" t="s">
        <v>1288</v>
      </c>
      <c r="BT245" s="57" t="s">
        <v>1288</v>
      </c>
      <c r="BU245" s="57" t="s">
        <v>1288</v>
      </c>
      <c r="BV245" s="70">
        <f>E245</f>
        <v>33</v>
      </c>
      <c r="BW245" s="71">
        <f>I245</f>
        <v>66</v>
      </c>
      <c r="BX245" s="72">
        <f>M245</f>
        <v>70</v>
      </c>
      <c r="BY245" s="71">
        <f>Q245</f>
        <v>102</v>
      </c>
      <c r="BZ245" s="72">
        <f>U245</f>
        <v>106</v>
      </c>
      <c r="CA245" s="71" t="str">
        <f>Y245</f>
        <v>-</v>
      </c>
      <c r="CB245" s="72">
        <f>AC245</f>
        <v>149</v>
      </c>
      <c r="CC245" s="71">
        <f>AG245</f>
        <v>187</v>
      </c>
      <c r="CD245" s="72">
        <f>AK245</f>
        <v>199</v>
      </c>
      <c r="CE245" s="71">
        <f>AO245</f>
        <v>241</v>
      </c>
      <c r="CF245" s="72">
        <f>AS245</f>
        <v>284</v>
      </c>
      <c r="CG245" s="71">
        <f>AW245</f>
        <v>310</v>
      </c>
      <c r="CH245" s="70">
        <f>G245</f>
        <v>65</v>
      </c>
      <c r="CI245" s="71">
        <f>K245</f>
        <v>69</v>
      </c>
      <c r="CJ245" s="72">
        <f>O245</f>
        <v>100</v>
      </c>
      <c r="CK245" s="72">
        <f>S245</f>
        <v>105</v>
      </c>
      <c r="CL245" s="72">
        <f>W245</f>
        <v>141</v>
      </c>
      <c r="CM245" s="72" t="str">
        <f>AA245</f>
        <v>-</v>
      </c>
      <c r="CN245" s="72">
        <f>AE245</f>
        <v>173</v>
      </c>
      <c r="CO245" s="72">
        <f>AI245</f>
        <v>189</v>
      </c>
      <c r="CP245" s="72">
        <f>AM245</f>
        <v>237</v>
      </c>
      <c r="CQ245" s="72">
        <f>AQ245</f>
        <v>278</v>
      </c>
      <c r="CR245" s="72">
        <f>AU245</f>
        <v>309</v>
      </c>
      <c r="CS245" s="72">
        <f>AY245</f>
        <v>322</v>
      </c>
      <c r="CT245" s="23">
        <f>M245-K245</f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033"/>
        <v>opsd_bovin_3PQR</v>
      </c>
      <c r="B246" s="3" t="s">
        <v>920</v>
      </c>
      <c r="C246" s="3" t="s">
        <v>1033</v>
      </c>
      <c r="D246" s="3" t="str">
        <f>IFERROR(MID(VLOOKUP($B246,Seqs!$A:$B,2,0),E246,1),"")</f>
        <v>E</v>
      </c>
      <c r="E246" s="105">
        <v>33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G</v>
      </c>
      <c r="AC246" s="9">
        <v>149</v>
      </c>
      <c r="AD246" s="3" t="str">
        <f>IFERROR(MID(VLOOKUP($B246,Seqs!$A:$B,2,0),AE246,1),"")</f>
        <v>V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237</v>
      </c>
      <c r="AN246" s="3" t="str">
        <f>IFERROR(MID(VLOOKUP($B246,Seqs!$A:$B,2,0),AO246,1),"")</f>
        <v>A</v>
      </c>
      <c r="AO246" s="3">
        <v>241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034"/>
        <v>1</v>
      </c>
      <c r="BC246" s="23">
        <f>_xlfn.AGGREGATE(9,6,CH246:CS246)-_xlfn.AGGREGATE(9,6,BV246:CG246)+12</f>
        <v>253</v>
      </c>
      <c r="BD246" s="4" t="s">
        <v>23</v>
      </c>
      <c r="BE246" s="3" t="s">
        <v>1292</v>
      </c>
      <c r="BF246" s="119">
        <v>2.85</v>
      </c>
      <c r="BG246" s="49" t="s">
        <v>1378</v>
      </c>
      <c r="BH246" s="49" t="s">
        <v>1378</v>
      </c>
      <c r="BI246" s="1"/>
      <c r="BJ246" s="70" t="s">
        <v>1288</v>
      </c>
      <c r="BK246" s="57" t="s">
        <v>1288</v>
      </c>
      <c r="BL246" s="57" t="s">
        <v>1288</v>
      </c>
      <c r="BM246" s="57" t="s">
        <v>1288</v>
      </c>
      <c r="BN246" s="57" t="s">
        <v>1288</v>
      </c>
      <c r="BO246" s="57" t="s">
        <v>1288</v>
      </c>
      <c r="BP246" s="57" t="s">
        <v>1288</v>
      </c>
      <c r="BQ246" s="57" t="s">
        <v>1288</v>
      </c>
      <c r="BR246" s="57" t="s">
        <v>1288</v>
      </c>
      <c r="BS246" s="57" t="s">
        <v>1288</v>
      </c>
      <c r="BT246" s="57" t="s">
        <v>1288</v>
      </c>
      <c r="BU246" s="57" t="s">
        <v>1288</v>
      </c>
      <c r="BV246" s="70">
        <f>E246</f>
        <v>33</v>
      </c>
      <c r="BW246" s="71">
        <f>I246</f>
        <v>66</v>
      </c>
      <c r="BX246" s="72">
        <f>M246</f>
        <v>70</v>
      </c>
      <c r="BY246" s="71">
        <f>Q246</f>
        <v>102</v>
      </c>
      <c r="BZ246" s="72">
        <f>U246</f>
        <v>106</v>
      </c>
      <c r="CA246" s="71" t="str">
        <f>Y246</f>
        <v>-</v>
      </c>
      <c r="CB246" s="72">
        <f>AC246</f>
        <v>149</v>
      </c>
      <c r="CC246" s="71">
        <f>AG246</f>
        <v>187</v>
      </c>
      <c r="CD246" s="72">
        <f>AK246</f>
        <v>199</v>
      </c>
      <c r="CE246" s="71">
        <f>AO246</f>
        <v>241</v>
      </c>
      <c r="CF246" s="72">
        <f>AS246</f>
        <v>284</v>
      </c>
      <c r="CG246" s="71">
        <f>AW246</f>
        <v>310</v>
      </c>
      <c r="CH246" s="70">
        <f>G246</f>
        <v>65</v>
      </c>
      <c r="CI246" s="71">
        <f>K246</f>
        <v>69</v>
      </c>
      <c r="CJ246" s="72">
        <f>O246</f>
        <v>100</v>
      </c>
      <c r="CK246" s="72">
        <f>S246</f>
        <v>105</v>
      </c>
      <c r="CL246" s="72">
        <f>W246</f>
        <v>141</v>
      </c>
      <c r="CM246" s="72" t="str">
        <f>AA246</f>
        <v>-</v>
      </c>
      <c r="CN246" s="72">
        <f>AE246</f>
        <v>173</v>
      </c>
      <c r="CO246" s="72">
        <f>AI246</f>
        <v>189</v>
      </c>
      <c r="CP246" s="72">
        <f>AM246</f>
        <v>237</v>
      </c>
      <c r="CQ246" s="72">
        <f>AQ246</f>
        <v>278</v>
      </c>
      <c r="CR246" s="72">
        <f>AU246</f>
        <v>309</v>
      </c>
      <c r="CS246" s="72">
        <f>AY246</f>
        <v>322</v>
      </c>
      <c r="CT246" s="23">
        <f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1033"/>
        <v>opsd_bovin_4A4M</v>
      </c>
      <c r="B247" s="2" t="s">
        <v>920</v>
      </c>
      <c r="C247" s="3" t="s">
        <v>1371</v>
      </c>
      <c r="D247" s="3" t="str">
        <f>IFERROR(MID(VLOOKUP($B247,Seqs!$A:$B,2,0),E247,1),"")</f>
        <v>E</v>
      </c>
      <c r="E247" s="105">
        <v>33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G</v>
      </c>
      <c r="AC247" s="9">
        <v>149</v>
      </c>
      <c r="AD247" s="3" t="str">
        <f>IFERROR(MID(VLOOKUP($B247,Seqs!$A:$B,2,0),AE247,1),"")</f>
        <v>V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Q</v>
      </c>
      <c r="AM247" s="3">
        <v>237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253</v>
      </c>
      <c r="BD247" s="4" t="s">
        <v>23</v>
      </c>
      <c r="BE247" s="3" t="s">
        <v>1292</v>
      </c>
      <c r="BF247" s="119">
        <v>3.3</v>
      </c>
      <c r="BG247" s="49" t="s">
        <v>1378</v>
      </c>
      <c r="BH247" s="49" t="s">
        <v>1378</v>
      </c>
      <c r="BI247" s="1"/>
      <c r="BJ247" s="70" t="s">
        <v>1288</v>
      </c>
      <c r="BK247" s="57" t="s">
        <v>1288</v>
      </c>
      <c r="BL247" s="57" t="s">
        <v>1288</v>
      </c>
      <c r="BM247" s="57" t="s">
        <v>1288</v>
      </c>
      <c r="BN247" s="57" t="s">
        <v>1288</v>
      </c>
      <c r="BO247" s="57" t="s">
        <v>1288</v>
      </c>
      <c r="BP247" s="57" t="s">
        <v>1288</v>
      </c>
      <c r="BQ247" s="57" t="s">
        <v>1288</v>
      </c>
      <c r="BR247" s="57" t="s">
        <v>1288</v>
      </c>
      <c r="BS247" s="57" t="s">
        <v>1288</v>
      </c>
      <c r="BT247" s="57" t="s">
        <v>1288</v>
      </c>
      <c r="BU247" s="57" t="s">
        <v>1288</v>
      </c>
      <c r="BV247" s="70">
        <f>E247</f>
        <v>33</v>
      </c>
      <c r="BW247" s="71">
        <f>I247</f>
        <v>66</v>
      </c>
      <c r="BX247" s="72">
        <f>M247</f>
        <v>70</v>
      </c>
      <c r="BY247" s="71">
        <f>Q247</f>
        <v>102</v>
      </c>
      <c r="BZ247" s="72">
        <f>U247</f>
        <v>106</v>
      </c>
      <c r="CA247" s="71" t="str">
        <f>Y247</f>
        <v>-</v>
      </c>
      <c r="CB247" s="72">
        <f>AC247</f>
        <v>149</v>
      </c>
      <c r="CC247" s="71">
        <f>AG247</f>
        <v>187</v>
      </c>
      <c r="CD247" s="72">
        <f>AK247</f>
        <v>199</v>
      </c>
      <c r="CE247" s="71">
        <f>AO247</f>
        <v>241</v>
      </c>
      <c r="CF247" s="72">
        <f>AS247</f>
        <v>284</v>
      </c>
      <c r="CG247" s="71">
        <f>AW247</f>
        <v>310</v>
      </c>
      <c r="CH247" s="70">
        <f>G247</f>
        <v>65</v>
      </c>
      <c r="CI247" s="71">
        <f>K247</f>
        <v>69</v>
      </c>
      <c r="CJ247" s="72">
        <f>O247</f>
        <v>100</v>
      </c>
      <c r="CK247" s="72">
        <f>S247</f>
        <v>105</v>
      </c>
      <c r="CL247" s="72">
        <f>W247</f>
        <v>141</v>
      </c>
      <c r="CM247" s="72" t="str">
        <f>AA247</f>
        <v>-</v>
      </c>
      <c r="CN247" s="72">
        <f>AE247</f>
        <v>173</v>
      </c>
      <c r="CO247" s="72">
        <f>AI247</f>
        <v>189</v>
      </c>
      <c r="CP247" s="72">
        <f>AM247</f>
        <v>237</v>
      </c>
      <c r="CQ247" s="72">
        <f>AQ247</f>
        <v>278</v>
      </c>
      <c r="CR247" s="72">
        <f>AU247</f>
        <v>309</v>
      </c>
      <c r="CS247" s="72">
        <f>AY247</f>
        <v>322</v>
      </c>
      <c r="CT247" s="23">
        <f>M247-K247</f>
        <v>1</v>
      </c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6"/>
      <c r="ACQ247" s="6"/>
      <c r="ACR247" s="6"/>
      <c r="ACS247" s="6"/>
      <c r="ACT247" s="6"/>
      <c r="ACU247" s="6"/>
      <c r="ACV247" s="6"/>
      <c r="ACW247" s="6"/>
      <c r="ACX247" s="6"/>
      <c r="ACY247" s="6"/>
      <c r="ACZ247" s="6"/>
      <c r="ADA247" s="6"/>
      <c r="ADB247" s="6"/>
      <c r="ADC247" s="6"/>
      <c r="ADD247" s="6"/>
      <c r="ADE247" s="6"/>
      <c r="ADF247" s="6"/>
      <c r="ADG247" s="6"/>
      <c r="ADH247" s="6"/>
      <c r="ADI247" s="6"/>
      <c r="ADJ247" s="6"/>
      <c r="ADK247" s="6"/>
      <c r="ADL247" s="6"/>
      <c r="ADM247" s="6"/>
      <c r="ADN247" s="6"/>
      <c r="ADO247" s="6"/>
      <c r="ADP247" s="6"/>
      <c r="ADQ247" s="6"/>
      <c r="ADR247" s="6"/>
      <c r="ADS247" s="6"/>
      <c r="ADT247" s="6"/>
      <c r="ADU247" s="6"/>
      <c r="ADV247" s="6"/>
      <c r="ADW247" s="6"/>
      <c r="ADX247" s="6"/>
      <c r="ADY247" s="6"/>
      <c r="ADZ247" s="6"/>
      <c r="AEA247" s="6"/>
      <c r="AEB247" s="6"/>
      <c r="AEC247" s="6"/>
      <c r="AED247" s="6"/>
      <c r="AEE247" s="6"/>
      <c r="AEF247" s="6"/>
      <c r="AEG247" s="6"/>
      <c r="AEH247" s="6"/>
      <c r="AEI247" s="6"/>
      <c r="AEJ247" s="6"/>
      <c r="AEK247" s="6"/>
      <c r="AEL247" s="6"/>
      <c r="AEM247" s="6"/>
      <c r="AEN247" s="6"/>
      <c r="AEO247" s="6"/>
      <c r="AEP247" s="6"/>
      <c r="AEQ247" s="6"/>
      <c r="AER247" s="6"/>
      <c r="AES247" s="6"/>
      <c r="AET247" s="6"/>
      <c r="AEU247" s="6"/>
      <c r="AEV247" s="6"/>
      <c r="AEW247" s="6"/>
      <c r="AEX247" s="6"/>
      <c r="AEY247" s="6"/>
      <c r="AEZ247" s="6"/>
      <c r="AFA247" s="6"/>
      <c r="AFB247" s="6"/>
      <c r="AFC247" s="6"/>
      <c r="AFD247" s="6"/>
      <c r="AFE247" s="6"/>
      <c r="AFF247" s="6"/>
      <c r="AFG247" s="6"/>
      <c r="AFH247" s="6"/>
      <c r="AFI247" s="6"/>
      <c r="AFJ247" s="6"/>
      <c r="AFK247" s="6"/>
      <c r="AFL247" s="6"/>
      <c r="AFM247" s="6"/>
      <c r="AFN247" s="6"/>
      <c r="AFO247" s="6"/>
      <c r="AFP247" s="6"/>
      <c r="AFQ247" s="6"/>
      <c r="AFR247" s="6"/>
      <c r="AFS247" s="6"/>
      <c r="AFT247" s="6"/>
      <c r="AFU247" s="6"/>
      <c r="AFV247" s="6"/>
      <c r="AFW247" s="6"/>
      <c r="AFX247" s="6"/>
      <c r="AFY247" s="6"/>
      <c r="AFZ247" s="6"/>
      <c r="AGA247" s="6"/>
      <c r="AGB247" s="6"/>
      <c r="AGC247" s="6"/>
      <c r="AGD247" s="6"/>
      <c r="AGE247" s="6"/>
      <c r="AGF247" s="6"/>
      <c r="AGG247" s="6"/>
      <c r="AGH247" s="6"/>
      <c r="AGI247" s="6"/>
      <c r="AGJ247" s="6"/>
      <c r="AGK247" s="6"/>
      <c r="AGL247" s="6"/>
      <c r="AGM247" s="6"/>
      <c r="AGN247" s="6"/>
      <c r="AGO247" s="6"/>
      <c r="AGP247" s="6"/>
      <c r="AGQ247" s="6"/>
      <c r="AGR247" s="6"/>
      <c r="AGS247" s="6"/>
      <c r="AGT247" s="6"/>
      <c r="AGU247" s="6"/>
      <c r="AGV247" s="6"/>
      <c r="AGW247" s="6"/>
      <c r="AGX247" s="6"/>
      <c r="AGY247" s="6"/>
      <c r="AGZ247" s="6"/>
      <c r="AHA247" s="6"/>
      <c r="AHB247" s="6"/>
      <c r="AHC247" s="6"/>
      <c r="AHD247" s="6"/>
      <c r="AHE247" s="6"/>
      <c r="AHF247" s="6"/>
      <c r="AHG247" s="6"/>
      <c r="AHH247" s="6"/>
      <c r="AHI247" s="6"/>
      <c r="AHJ247" s="6"/>
      <c r="AHK247" s="6"/>
      <c r="AHL247" s="6"/>
      <c r="AHM247" s="6"/>
      <c r="AHN247" s="6"/>
      <c r="AHO247" s="6"/>
      <c r="AHP247" s="6"/>
      <c r="AHQ247" s="6"/>
      <c r="AHR247" s="6"/>
      <c r="AHS247" s="6"/>
      <c r="AHT247" s="6"/>
      <c r="AHU247" s="6"/>
      <c r="AHV247" s="6"/>
      <c r="AHW247" s="6"/>
      <c r="AHX247" s="6"/>
      <c r="AHY247" s="6"/>
      <c r="AHZ247" s="6"/>
      <c r="AIA247" s="6"/>
      <c r="AIB247" s="6"/>
      <c r="AIC247" s="6"/>
      <c r="AID247" s="6"/>
      <c r="AIE247" s="6"/>
      <c r="AIF247" s="6"/>
      <c r="AIG247" s="6"/>
      <c r="AIH247" s="6"/>
      <c r="AII247" s="6"/>
      <c r="AIJ247" s="6"/>
      <c r="AIK247" s="6"/>
      <c r="AIL247" s="6"/>
      <c r="AIM247" s="6"/>
      <c r="AIN247" s="6"/>
      <c r="AIO247" s="6"/>
      <c r="AIP247" s="6"/>
      <c r="AIQ247" s="6"/>
      <c r="AIR247" s="6"/>
      <c r="AIS247" s="6"/>
      <c r="AIT247" s="6"/>
      <c r="AIU247" s="6"/>
      <c r="AIV247" s="6"/>
      <c r="AIW247" s="6"/>
      <c r="AIX247" s="6"/>
      <c r="AIY247" s="6"/>
      <c r="AIZ247" s="6"/>
      <c r="AJA247" s="6"/>
      <c r="AJB247" s="6"/>
      <c r="AJC247" s="6"/>
      <c r="AJD247" s="6"/>
      <c r="AJE247" s="6"/>
      <c r="AJF247" s="6"/>
      <c r="AJG247" s="6"/>
      <c r="AJH247" s="6"/>
      <c r="AJI247" s="6"/>
      <c r="AJJ247" s="6"/>
      <c r="AJK247" s="6"/>
      <c r="AJL247" s="6"/>
      <c r="AJM247" s="6"/>
      <c r="AJN247" s="6"/>
      <c r="AJO247" s="6"/>
      <c r="AJP247" s="6"/>
      <c r="AJQ247" s="6"/>
      <c r="AJR247" s="6"/>
      <c r="AJS247" s="6"/>
      <c r="AJT247" s="6"/>
      <c r="AJU247" s="6"/>
      <c r="AJV247" s="6"/>
      <c r="AJW247" s="6"/>
      <c r="AJX247" s="6"/>
      <c r="AJY247" s="6"/>
      <c r="AJZ247" s="6"/>
      <c r="AKA247" s="6"/>
      <c r="AKB247" s="6"/>
      <c r="AKC247" s="6"/>
      <c r="AKD247" s="6"/>
      <c r="AKE247" s="6"/>
      <c r="AKF247" s="6"/>
      <c r="AKG247" s="6"/>
      <c r="AKH247" s="6"/>
      <c r="AKI247" s="6"/>
      <c r="AKJ247" s="6"/>
      <c r="AKK247" s="6"/>
      <c r="AKL247" s="6"/>
      <c r="AKM247" s="6"/>
      <c r="AKN247" s="6"/>
      <c r="AKO247" s="6"/>
      <c r="AKP247" s="6"/>
      <c r="AKQ247" s="6"/>
      <c r="AKR247" s="6"/>
      <c r="AKS247" s="6"/>
      <c r="AKT247" s="6"/>
      <c r="AKU247" s="6"/>
      <c r="AKV247" s="6"/>
      <c r="AKW247" s="6"/>
      <c r="AKX247" s="6"/>
      <c r="AKY247" s="6"/>
      <c r="AKZ247" s="6"/>
      <c r="ALA247" s="6"/>
      <c r="ALB247" s="6"/>
      <c r="ALC247" s="6"/>
      <c r="ALD247" s="6"/>
      <c r="ALE247" s="6"/>
      <c r="ALF247" s="6"/>
      <c r="ALG247" s="6"/>
      <c r="ALH247" s="6"/>
      <c r="ALI247" s="6"/>
      <c r="ALJ247" s="6"/>
      <c r="ALK247" s="6"/>
      <c r="ALL247" s="6"/>
      <c r="ALM247" s="6"/>
      <c r="ALN247" s="6"/>
      <c r="ALO247" s="6"/>
      <c r="ALP247" s="6"/>
      <c r="ALQ247" s="6"/>
      <c r="ALR247" s="6"/>
      <c r="ALS247" s="6"/>
      <c r="ALT247" s="6"/>
      <c r="ALU247" s="6"/>
      <c r="ALV247" s="6"/>
      <c r="ALW247" s="6"/>
      <c r="ALX247" s="6"/>
      <c r="ALY247" s="6"/>
      <c r="ALZ247" s="6"/>
      <c r="AMA247" s="6"/>
      <c r="AMB247" s="6"/>
      <c r="AMC247" s="6"/>
      <c r="AMD247" s="6"/>
      <c r="AME247" s="6"/>
      <c r="AMF247" s="6"/>
      <c r="AMG247" s="6"/>
      <c r="AMH247" s="6"/>
      <c r="AMI247" s="6"/>
      <c r="AMJ247" s="6"/>
      <c r="AMK247" s="6"/>
      <c r="AML247" s="6"/>
      <c r="AMM247" s="6"/>
      <c r="AMN247" s="6"/>
      <c r="AMO247" s="6"/>
      <c r="AMP247" s="6"/>
    </row>
    <row r="248" spans="1:1030" x14ac:dyDescent="0.2">
      <c r="A248" s="3" t="str">
        <f t="shared" si="1033"/>
        <v>opsd_bovin_4J4Q</v>
      </c>
      <c r="B248" s="3" t="s">
        <v>920</v>
      </c>
      <c r="C248" s="3" t="s">
        <v>1044</v>
      </c>
      <c r="D248" s="3" t="str">
        <f>IFERROR(MID(VLOOKUP($B248,Seqs!$A:$B,2,0),E248,1),"")</f>
        <v>E</v>
      </c>
      <c r="E248" s="105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G</v>
      </c>
      <c r="AC248" s="9">
        <v>149</v>
      </c>
      <c r="AD248" s="3" t="str">
        <f>IFERROR(MID(VLOOKUP($B248,Seqs!$A:$B,2,0),AE248,1),"")</f>
        <v>V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237</v>
      </c>
      <c r="AN248" s="3" t="str">
        <f>IFERROR(MID(VLOOKUP($B248,Seqs!$A:$B,2,0),AO248,1),"")</f>
        <v>A</v>
      </c>
      <c r="AO248" s="3">
        <v>241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034"/>
        <v>1</v>
      </c>
      <c r="BC248" s="23">
        <f t="shared" ref="BC248:BC309" si="1454">_xlfn.AGGREGATE(9,6,CH248:CS248)-_xlfn.AGGREGATE(9,6,BV248:CG248)+12</f>
        <v>253</v>
      </c>
      <c r="BD248" s="4" t="s">
        <v>23</v>
      </c>
      <c r="BE248" s="3" t="s">
        <v>1292</v>
      </c>
      <c r="BF248" s="119">
        <v>2.65</v>
      </c>
      <c r="BG248" s="49" t="s">
        <v>1378</v>
      </c>
      <c r="BH248" s="49" t="s">
        <v>1378</v>
      </c>
      <c r="BI248" s="1"/>
      <c r="BJ248" s="70" t="s">
        <v>1288</v>
      </c>
      <c r="BK248" s="57" t="s">
        <v>1288</v>
      </c>
      <c r="BL248" s="57" t="s">
        <v>1288</v>
      </c>
      <c r="BM248" s="57" t="s">
        <v>1288</v>
      </c>
      <c r="BN248" s="57" t="s">
        <v>1288</v>
      </c>
      <c r="BO248" s="57" t="s">
        <v>1288</v>
      </c>
      <c r="BP248" s="57" t="s">
        <v>1288</v>
      </c>
      <c r="BQ248" s="57" t="s">
        <v>1288</v>
      </c>
      <c r="BR248" s="57" t="s">
        <v>1288</v>
      </c>
      <c r="BS248" s="57" t="s">
        <v>1288</v>
      </c>
      <c r="BT248" s="57" t="s">
        <v>1288</v>
      </c>
      <c r="BU248" s="57" t="s">
        <v>1288</v>
      </c>
      <c r="BV248" s="70">
        <f t="shared" ref="BV248:BV309" si="1455">E248</f>
        <v>33</v>
      </c>
      <c r="BW248" s="71">
        <f t="shared" ref="BW248:BW309" si="1456">I248</f>
        <v>66</v>
      </c>
      <c r="BX248" s="72">
        <f t="shared" ref="BX248:BX309" si="1457">M248</f>
        <v>70</v>
      </c>
      <c r="BY248" s="71">
        <f t="shared" ref="BY248:BY309" si="1458">Q248</f>
        <v>102</v>
      </c>
      <c r="BZ248" s="72">
        <f t="shared" ref="BZ248:BZ309" si="1459">U248</f>
        <v>106</v>
      </c>
      <c r="CA248" s="71" t="str">
        <f t="shared" ref="CA248:CA309" si="1460">Y248</f>
        <v>-</v>
      </c>
      <c r="CB248" s="72">
        <f t="shared" ref="CB248:CB309" si="1461">AC248</f>
        <v>149</v>
      </c>
      <c r="CC248" s="71">
        <f t="shared" ref="CC248:CC309" si="1462">AG248</f>
        <v>187</v>
      </c>
      <c r="CD248" s="72">
        <f t="shared" ref="CD248:CD309" si="1463">AK248</f>
        <v>199</v>
      </c>
      <c r="CE248" s="71">
        <f t="shared" ref="CE248:CE309" si="1464">AO248</f>
        <v>241</v>
      </c>
      <c r="CF248" s="72">
        <f t="shared" ref="CF248:CF309" si="1465">AS248</f>
        <v>284</v>
      </c>
      <c r="CG248" s="71">
        <f t="shared" ref="CG248:CG309" si="1466">AW248</f>
        <v>310</v>
      </c>
      <c r="CH248" s="70">
        <f t="shared" ref="CH248:CH309" si="1467">G248</f>
        <v>65</v>
      </c>
      <c r="CI248" s="71">
        <f t="shared" ref="CI248:CI309" si="1468">K248</f>
        <v>69</v>
      </c>
      <c r="CJ248" s="72">
        <f t="shared" ref="CJ248:CJ309" si="1469">O248</f>
        <v>100</v>
      </c>
      <c r="CK248" s="72">
        <f t="shared" ref="CK248:CK309" si="1470">S248</f>
        <v>105</v>
      </c>
      <c r="CL248" s="72">
        <f t="shared" ref="CL248:CL309" si="1471">W248</f>
        <v>141</v>
      </c>
      <c r="CM248" s="72" t="str">
        <f t="shared" ref="CM248:CM309" si="1472">AA248</f>
        <v>-</v>
      </c>
      <c r="CN248" s="72">
        <f t="shared" ref="CN248:CN309" si="1473">AE248</f>
        <v>173</v>
      </c>
      <c r="CO248" s="72">
        <f t="shared" ref="CO248:CO309" si="1474">AI248</f>
        <v>189</v>
      </c>
      <c r="CP248" s="72">
        <f t="shared" ref="CP248:CP309" si="1475">AM248</f>
        <v>237</v>
      </c>
      <c r="CQ248" s="72">
        <f t="shared" ref="CQ248:CQ309" si="1476">AQ248</f>
        <v>278</v>
      </c>
      <c r="CR248" s="72">
        <f t="shared" ref="CR248:CR309" si="1477">AU248</f>
        <v>309</v>
      </c>
      <c r="CS248" s="72">
        <f t="shared" ref="CS248:CS309" si="1478">AY248</f>
        <v>322</v>
      </c>
      <c r="CT248" s="23">
        <f t="shared" ref="CT248:CT309" si="1479"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1033"/>
        <v>opsd_bovin_5DYS</v>
      </c>
      <c r="B249" s="3" t="s">
        <v>920</v>
      </c>
      <c r="C249" s="3" t="s">
        <v>1358</v>
      </c>
      <c r="D249" s="3" t="str">
        <f>IFERROR(MID(VLOOKUP($B249,Seqs!$A:$B,2,0),E249,1),"")</f>
        <v>E</v>
      </c>
      <c r="E249" s="105">
        <v>33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9">
        <v>149</v>
      </c>
      <c r="AD249" s="3" t="str">
        <f>IFERROR(MID(VLOOKUP($B249,Seqs!$A:$B,2,0),AE249,1),"")</f>
        <v>V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Q</v>
      </c>
      <c r="AM249" s="3">
        <v>237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 t="shared" si="1034"/>
        <v>1</v>
      </c>
      <c r="BC249" s="23">
        <f t="shared" si="1454"/>
        <v>253</v>
      </c>
      <c r="BD249" s="5" t="s">
        <v>1376</v>
      </c>
      <c r="BE249" s="3" t="s">
        <v>1292</v>
      </c>
      <c r="BF249" s="119">
        <v>2.2999999999999998</v>
      </c>
      <c r="BG249" s="49" t="s">
        <v>1378</v>
      </c>
      <c r="BH249" s="49" t="s">
        <v>1378</v>
      </c>
      <c r="BI249" s="1"/>
      <c r="BJ249" s="70" t="s">
        <v>1288</v>
      </c>
      <c r="BK249" s="57" t="s">
        <v>1288</v>
      </c>
      <c r="BL249" s="57" t="s">
        <v>1288</v>
      </c>
      <c r="BM249" s="57" t="s">
        <v>1288</v>
      </c>
      <c r="BN249" s="57" t="s">
        <v>1288</v>
      </c>
      <c r="BO249" s="57" t="s">
        <v>1288</v>
      </c>
      <c r="BP249" s="57" t="s">
        <v>1288</v>
      </c>
      <c r="BQ249" s="57" t="s">
        <v>1288</v>
      </c>
      <c r="BR249" s="57" t="s">
        <v>1288</v>
      </c>
      <c r="BS249" s="57" t="s">
        <v>1288</v>
      </c>
      <c r="BT249" s="57" t="s">
        <v>1288</v>
      </c>
      <c r="BU249" s="57" t="s">
        <v>1288</v>
      </c>
      <c r="BV249" s="70">
        <f t="shared" si="1455"/>
        <v>33</v>
      </c>
      <c r="BW249" s="71">
        <f t="shared" si="1456"/>
        <v>66</v>
      </c>
      <c r="BX249" s="72">
        <f t="shared" si="1457"/>
        <v>70</v>
      </c>
      <c r="BY249" s="71">
        <f t="shared" si="1458"/>
        <v>102</v>
      </c>
      <c r="BZ249" s="72">
        <f t="shared" si="1459"/>
        <v>106</v>
      </c>
      <c r="CA249" s="71" t="str">
        <f t="shared" si="1460"/>
        <v>-</v>
      </c>
      <c r="CB249" s="72">
        <f t="shared" si="1461"/>
        <v>149</v>
      </c>
      <c r="CC249" s="71">
        <f t="shared" si="1462"/>
        <v>187</v>
      </c>
      <c r="CD249" s="72">
        <f t="shared" si="1463"/>
        <v>199</v>
      </c>
      <c r="CE249" s="71">
        <f t="shared" si="1464"/>
        <v>241</v>
      </c>
      <c r="CF249" s="72">
        <f t="shared" si="1465"/>
        <v>284</v>
      </c>
      <c r="CG249" s="71">
        <f t="shared" si="1466"/>
        <v>310</v>
      </c>
      <c r="CH249" s="70">
        <f t="shared" si="1467"/>
        <v>65</v>
      </c>
      <c r="CI249" s="71">
        <f t="shared" si="1468"/>
        <v>69</v>
      </c>
      <c r="CJ249" s="72">
        <f t="shared" si="1469"/>
        <v>100</v>
      </c>
      <c r="CK249" s="72">
        <f t="shared" si="1470"/>
        <v>105</v>
      </c>
      <c r="CL249" s="72">
        <f t="shared" si="1471"/>
        <v>141</v>
      </c>
      <c r="CM249" s="72" t="str">
        <f t="shared" si="1472"/>
        <v>-</v>
      </c>
      <c r="CN249" s="72">
        <f t="shared" si="1473"/>
        <v>173</v>
      </c>
      <c r="CO249" s="72">
        <f t="shared" si="1474"/>
        <v>189</v>
      </c>
      <c r="CP249" s="72">
        <f t="shared" si="1475"/>
        <v>237</v>
      </c>
      <c r="CQ249" s="72">
        <f t="shared" si="1476"/>
        <v>278</v>
      </c>
      <c r="CR249" s="72">
        <f t="shared" si="1477"/>
        <v>309</v>
      </c>
      <c r="CS249" s="72">
        <f t="shared" si="1478"/>
        <v>322</v>
      </c>
      <c r="CT249" s="23">
        <f t="shared" si="1479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ref="A250:A329" si="1480">CONCATENATE(B250,"_",C250)</f>
        <v>opsd_bovin_5EN0</v>
      </c>
      <c r="B250" s="3" t="s">
        <v>920</v>
      </c>
      <c r="C250" s="3" t="s">
        <v>1359</v>
      </c>
      <c r="D250" s="3" t="str">
        <f>IFERROR(MID(VLOOKUP($B250,Seqs!$A:$B,2,0),E250,1),"")</f>
        <v>E</v>
      </c>
      <c r="E250" s="105">
        <v>33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H</v>
      </c>
      <c r="O250" s="3">
        <v>100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G</v>
      </c>
      <c r="AC250" s="9">
        <v>149</v>
      </c>
      <c r="AD250" s="3" t="str">
        <f>IFERROR(MID(VLOOKUP($B250,Seqs!$A:$B,2,0),AE250,1),"")</f>
        <v>V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N</v>
      </c>
      <c r="AK250" s="3">
        <v>199</v>
      </c>
      <c r="AL250" s="3" t="str">
        <f>IFERROR(MID(VLOOKUP($B250,Seqs!$A:$B,2,0),AM250,1),"")</f>
        <v>Q</v>
      </c>
      <c r="AM250" s="3">
        <v>237</v>
      </c>
      <c r="AN250" s="3" t="str">
        <f>IFERROR(MID(VLOOKUP($B250,Seqs!$A:$B,2,0),AO250,1),"")</f>
        <v>A</v>
      </c>
      <c r="AO250" s="3">
        <v>241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G</v>
      </c>
      <c r="AS250" s="3">
        <v>284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322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 t="shared" ref="BB250:BB329" si="1481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si="1454"/>
        <v>253</v>
      </c>
      <c r="BD250" s="4" t="s">
        <v>23</v>
      </c>
      <c r="BE250" s="3" t="s">
        <v>1292</v>
      </c>
      <c r="BF250" s="119">
        <v>2.81</v>
      </c>
      <c r="BG250" s="49" t="s">
        <v>1378</v>
      </c>
      <c r="BH250" s="49" t="s">
        <v>1378</v>
      </c>
      <c r="BI250" s="1"/>
      <c r="BJ250" s="70" t="s">
        <v>1288</v>
      </c>
      <c r="BK250" s="57" t="s">
        <v>1288</v>
      </c>
      <c r="BL250" s="57" t="s">
        <v>1288</v>
      </c>
      <c r="BM250" s="57" t="s">
        <v>1288</v>
      </c>
      <c r="BN250" s="57" t="s">
        <v>1288</v>
      </c>
      <c r="BO250" s="57" t="s">
        <v>1288</v>
      </c>
      <c r="BP250" s="57" t="s">
        <v>1288</v>
      </c>
      <c r="BQ250" s="57" t="s">
        <v>1288</v>
      </c>
      <c r="BR250" s="57" t="s">
        <v>1288</v>
      </c>
      <c r="BS250" s="57" t="s">
        <v>1288</v>
      </c>
      <c r="BT250" s="57" t="s">
        <v>1288</v>
      </c>
      <c r="BU250" s="57" t="s">
        <v>1288</v>
      </c>
      <c r="BV250" s="70">
        <f t="shared" si="1455"/>
        <v>33</v>
      </c>
      <c r="BW250" s="71">
        <f t="shared" si="1456"/>
        <v>66</v>
      </c>
      <c r="BX250" s="72">
        <f t="shared" si="1457"/>
        <v>70</v>
      </c>
      <c r="BY250" s="71">
        <f t="shared" si="1458"/>
        <v>102</v>
      </c>
      <c r="BZ250" s="72">
        <f t="shared" si="1459"/>
        <v>106</v>
      </c>
      <c r="CA250" s="71" t="str">
        <f t="shared" si="1460"/>
        <v>-</v>
      </c>
      <c r="CB250" s="72">
        <f t="shared" si="1461"/>
        <v>149</v>
      </c>
      <c r="CC250" s="71">
        <f t="shared" si="1462"/>
        <v>187</v>
      </c>
      <c r="CD250" s="72">
        <f t="shared" si="1463"/>
        <v>199</v>
      </c>
      <c r="CE250" s="71">
        <f t="shared" si="1464"/>
        <v>241</v>
      </c>
      <c r="CF250" s="72">
        <f t="shared" si="1465"/>
        <v>284</v>
      </c>
      <c r="CG250" s="71">
        <f t="shared" si="1466"/>
        <v>310</v>
      </c>
      <c r="CH250" s="70">
        <f t="shared" si="1467"/>
        <v>65</v>
      </c>
      <c r="CI250" s="71">
        <f t="shared" si="1468"/>
        <v>69</v>
      </c>
      <c r="CJ250" s="72">
        <f t="shared" si="1469"/>
        <v>100</v>
      </c>
      <c r="CK250" s="72">
        <f t="shared" si="1470"/>
        <v>105</v>
      </c>
      <c r="CL250" s="72">
        <f t="shared" si="1471"/>
        <v>141</v>
      </c>
      <c r="CM250" s="72" t="str">
        <f t="shared" si="1472"/>
        <v>-</v>
      </c>
      <c r="CN250" s="72">
        <f t="shared" si="1473"/>
        <v>173</v>
      </c>
      <c r="CO250" s="72">
        <f t="shared" si="1474"/>
        <v>189</v>
      </c>
      <c r="CP250" s="72">
        <f t="shared" si="1475"/>
        <v>237</v>
      </c>
      <c r="CQ250" s="72">
        <f t="shared" si="1476"/>
        <v>278</v>
      </c>
      <c r="CR250" s="72">
        <f t="shared" si="1477"/>
        <v>309</v>
      </c>
      <c r="CS250" s="72">
        <f t="shared" si="1478"/>
        <v>322</v>
      </c>
      <c r="CT250" s="23">
        <f t="shared" si="1479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ref="A251:A261" si="1482">CONCATENATE(B251,"_",C251)</f>
        <v>opsd_bovin_5TE3</v>
      </c>
      <c r="B251" s="3" t="s">
        <v>920</v>
      </c>
      <c r="C251" s="3" t="s">
        <v>1400</v>
      </c>
      <c r="D251" s="3" t="str">
        <f>IFERROR(MID(VLOOKUP($B251,Seqs!$A:$B,2,0),E251,1),"")</f>
        <v>E</v>
      </c>
      <c r="E251" s="105">
        <v>33</v>
      </c>
      <c r="F251" s="3" t="str">
        <f>IFERROR(MID(VLOOKUP($B251,Seqs!$A:$B,2,0),G251,1),"")</f>
        <v>H</v>
      </c>
      <c r="G251" s="3">
        <v>65</v>
      </c>
      <c r="H251" s="3" t="str">
        <f>IFERROR(MID(VLOOKUP($B251,Seqs!$A:$B,2,0),I251,1),"")</f>
        <v>K</v>
      </c>
      <c r="I251" s="23">
        <v>66</v>
      </c>
      <c r="J251" s="3" t="str">
        <f>IFERROR(MID(VLOOKUP($B251,Seqs!$A:$B,2,0),K251,1),"")</f>
        <v>R</v>
      </c>
      <c r="K251" s="23">
        <v>69</v>
      </c>
      <c r="L251" s="3" t="str">
        <f>IFERROR(MID(VLOOKUP($B251,Seqs!$A:$B,2,0),M251,1),"")</f>
        <v>T</v>
      </c>
      <c r="M251" s="3">
        <v>70</v>
      </c>
      <c r="N251" s="3" t="str">
        <f>IFERROR(MID(VLOOKUP($B251,Seqs!$A:$B,2,0),O251,1),"")</f>
        <v>H</v>
      </c>
      <c r="O251" s="3">
        <v>100</v>
      </c>
      <c r="P251" s="3" t="str">
        <f>IFERROR(MID(VLOOKUP($B251,Seqs!$A:$B,2,0),Q251,1),"")</f>
        <v>Y</v>
      </c>
      <c r="Q251" s="3">
        <v>102</v>
      </c>
      <c r="R251" s="3" t="str">
        <f>IFERROR(MID(VLOOKUP($B251,Seqs!$A:$B,2,0),S251,1),"")</f>
        <v>F</v>
      </c>
      <c r="S251" s="3">
        <v>105</v>
      </c>
      <c r="T251" s="3" t="str">
        <f>IFERROR(MID(VLOOKUP($B251,Seqs!$A:$B,2,0),U251,1),"")</f>
        <v>G</v>
      </c>
      <c r="U251" s="3">
        <v>106</v>
      </c>
      <c r="V251" s="3" t="str">
        <f>IFERROR(MID(VLOOKUP($B251,Seqs!$A:$B,2,0),W251,1),"")</f>
        <v>K</v>
      </c>
      <c r="W251" s="3">
        <v>141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G</v>
      </c>
      <c r="AC251" s="3">
        <v>149</v>
      </c>
      <c r="AD251" s="3" t="str">
        <f>IFERROR(MID(VLOOKUP($B251,Seqs!$A:$B,2,0),AE251,1),"")</f>
        <v>V</v>
      </c>
      <c r="AE251" s="3">
        <v>173</v>
      </c>
      <c r="AF251" s="3" t="str">
        <f>IFERROR(MID(VLOOKUP($B251,Seqs!$A:$B,2,0),AG251,1),"")</f>
        <v>C</v>
      </c>
      <c r="AG251" s="3">
        <v>187</v>
      </c>
      <c r="AH251" s="3" t="str">
        <f>IFERROR(MID(VLOOKUP($B251,Seqs!$A:$B,2,0),AI251,1),"")</f>
        <v>I</v>
      </c>
      <c r="AI251" s="3">
        <v>189</v>
      </c>
      <c r="AJ251" s="3" t="str">
        <f>IFERROR(MID(VLOOKUP($B251,Seqs!$A:$B,2,0),AK251,1),"")</f>
        <v>N</v>
      </c>
      <c r="AK251" s="3">
        <v>199</v>
      </c>
      <c r="AL251" s="3" t="str">
        <f>IFERROR(MID(VLOOKUP($B251,Seqs!$A:$B,2,0),AM251,1),"")</f>
        <v>Q</v>
      </c>
      <c r="AM251" s="3">
        <v>237</v>
      </c>
      <c r="AN251" s="3" t="str">
        <f>IFERROR(MID(VLOOKUP($B251,Seqs!$A:$B,2,0),AO251,1),"")</f>
        <v>A</v>
      </c>
      <c r="AO251" s="3">
        <v>241</v>
      </c>
      <c r="AP251" s="3" t="str">
        <f>IFERROR(MID(VLOOKUP($B251,Seqs!$A:$B,2,0),AQ251,1),"")</f>
        <v>H</v>
      </c>
      <c r="AQ251" s="3">
        <v>278</v>
      </c>
      <c r="AR251" s="3" t="str">
        <f>IFERROR(MID(VLOOKUP($B251,Seqs!$A:$B,2,0),AS251,1),"")</f>
        <v>G</v>
      </c>
      <c r="AS251" s="3">
        <v>284</v>
      </c>
      <c r="AT251" s="3" t="str">
        <f>IFERROR(MID(VLOOKUP($B251,Seqs!$A:$B,2,0),AU251,1),"")</f>
        <v>M</v>
      </c>
      <c r="AU251" s="3">
        <v>309</v>
      </c>
      <c r="AV251" s="3" t="str">
        <f>IFERROR(MID(VLOOKUP($B251,Seqs!$A:$B,2,0),AW251,1),"")</f>
        <v>N</v>
      </c>
      <c r="AW251" s="3">
        <v>310</v>
      </c>
      <c r="AX251" s="3" t="str">
        <f>IFERROR(MID(VLOOKUP($B251,Seqs!$A:$B,2,0),AY251,1),"")</f>
        <v>C</v>
      </c>
      <c r="AY251" s="3">
        <v>322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 t="shared" ref="BB251:BB261" si="1483"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23">
        <f t="shared" ref="BC251:BC261" si="1484">_xlfn.AGGREGATE(9,6,CH251:CS251)-_xlfn.AGGREGATE(9,6,BV251:CG251)+12</f>
        <v>253</v>
      </c>
      <c r="BD251" s="2" t="s">
        <v>23</v>
      </c>
      <c r="BE251" s="3" t="s">
        <v>1292</v>
      </c>
      <c r="BF251" s="119">
        <v>2.7</v>
      </c>
      <c r="BG251" s="49" t="s">
        <v>1</v>
      </c>
      <c r="BH251" s="49" t="s">
        <v>1378</v>
      </c>
      <c r="BI251" s="1"/>
      <c r="BJ251" s="70" t="s">
        <v>1288</v>
      </c>
      <c r="BK251" s="57" t="s">
        <v>1288</v>
      </c>
      <c r="BL251" s="57" t="s">
        <v>1288</v>
      </c>
      <c r="BM251" s="57" t="s">
        <v>1288</v>
      </c>
      <c r="BN251" s="57" t="s">
        <v>1288</v>
      </c>
      <c r="BO251" s="57" t="s">
        <v>1288</v>
      </c>
      <c r="BP251" s="57" t="s">
        <v>1288</v>
      </c>
      <c r="BQ251" s="57" t="s">
        <v>1288</v>
      </c>
      <c r="BR251" s="57" t="s">
        <v>1288</v>
      </c>
      <c r="BS251" s="57" t="s">
        <v>1288</v>
      </c>
      <c r="BT251" s="57" t="s">
        <v>1288</v>
      </c>
      <c r="BU251" s="57" t="s">
        <v>1288</v>
      </c>
      <c r="BV251" s="70">
        <f t="shared" ref="BV251:BV261" si="1485">E251</f>
        <v>33</v>
      </c>
      <c r="BW251" s="71">
        <f t="shared" ref="BW251:BW261" si="1486">I251</f>
        <v>66</v>
      </c>
      <c r="BX251" s="72">
        <f t="shared" ref="BX251:BX261" si="1487">M251</f>
        <v>70</v>
      </c>
      <c r="BY251" s="71">
        <f t="shared" ref="BY251:BY261" si="1488">Q251</f>
        <v>102</v>
      </c>
      <c r="BZ251" s="72">
        <f t="shared" ref="BZ251:BZ261" si="1489">U251</f>
        <v>106</v>
      </c>
      <c r="CA251" s="71" t="str">
        <f t="shared" ref="CA251:CA261" si="1490">Y251</f>
        <v>-</v>
      </c>
      <c r="CB251" s="72">
        <f t="shared" ref="CB251:CB261" si="1491">AC251</f>
        <v>149</v>
      </c>
      <c r="CC251" s="71">
        <f t="shared" ref="CC251:CC261" si="1492">AG251</f>
        <v>187</v>
      </c>
      <c r="CD251" s="72">
        <f t="shared" ref="CD251:CD261" si="1493">AK251</f>
        <v>199</v>
      </c>
      <c r="CE251" s="71">
        <f t="shared" ref="CE251:CE261" si="1494">AO251</f>
        <v>241</v>
      </c>
      <c r="CF251" s="72">
        <f t="shared" ref="CF251:CF261" si="1495">AS251</f>
        <v>284</v>
      </c>
      <c r="CG251" s="71">
        <f t="shared" ref="CG251:CG261" si="1496">AW251</f>
        <v>310</v>
      </c>
      <c r="CH251" s="70">
        <f t="shared" ref="CH251:CH261" si="1497">G251</f>
        <v>65</v>
      </c>
      <c r="CI251" s="71">
        <f t="shared" ref="CI251:CI261" si="1498">K251</f>
        <v>69</v>
      </c>
      <c r="CJ251" s="72">
        <f t="shared" ref="CJ251:CJ261" si="1499">O251</f>
        <v>100</v>
      </c>
      <c r="CK251" s="72">
        <f t="shared" ref="CK251:CK261" si="1500">S251</f>
        <v>105</v>
      </c>
      <c r="CL251" s="72">
        <f t="shared" ref="CL251:CL261" si="1501">W251</f>
        <v>141</v>
      </c>
      <c r="CM251" s="72" t="str">
        <f t="shared" ref="CM251:CM261" si="1502">AA251</f>
        <v>-</v>
      </c>
      <c r="CN251" s="72">
        <f t="shared" ref="CN251:CN261" si="1503">AE251</f>
        <v>173</v>
      </c>
      <c r="CO251" s="72">
        <f t="shared" ref="CO251:CO261" si="1504">AI251</f>
        <v>189</v>
      </c>
      <c r="CP251" s="72">
        <f t="shared" ref="CP251:CP261" si="1505">AM251</f>
        <v>237</v>
      </c>
      <c r="CQ251" s="72">
        <f t="shared" ref="CQ251:CQ261" si="1506">AQ251</f>
        <v>278</v>
      </c>
      <c r="CR251" s="72">
        <f t="shared" ref="CR251:CR261" si="1507">AU251</f>
        <v>309</v>
      </c>
      <c r="CS251" s="72">
        <f t="shared" ref="CS251:CS261" si="1508">AY251</f>
        <v>322</v>
      </c>
      <c r="CT251" s="23">
        <f t="shared" ref="CT251:CT261" si="1509">M251-K251</f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482"/>
        <v>opsd_bovin_5TE5</v>
      </c>
      <c r="B252" s="3" t="s">
        <v>920</v>
      </c>
      <c r="C252" s="3" t="s">
        <v>1401</v>
      </c>
      <c r="D252" s="3" t="str">
        <f>IFERROR(MID(VLOOKUP($B252,Seqs!$A:$B,2,0),E252,1),"")</f>
        <v>Q</v>
      </c>
      <c r="E252" s="3">
        <v>36</v>
      </c>
      <c r="F252" s="3" t="str">
        <f>IFERROR(MID(VLOOKUP($B252,Seqs!$A:$B,2,0),G252,1),"")</f>
        <v>H</v>
      </c>
      <c r="G252" s="3">
        <v>65</v>
      </c>
      <c r="H252" s="3" t="str">
        <f>IFERROR(MID(VLOOKUP($B252,Seqs!$A:$B,2,0),I252,1),"")</f>
        <v>K</v>
      </c>
      <c r="I252" s="23">
        <v>66</v>
      </c>
      <c r="J252" s="3" t="str">
        <f>IFERROR(MID(VLOOKUP($B252,Seqs!$A:$B,2,0),K252,1),"")</f>
        <v>R</v>
      </c>
      <c r="K252" s="23">
        <v>69</v>
      </c>
      <c r="L252" s="3" t="str">
        <f>IFERROR(MID(VLOOKUP($B252,Seqs!$A:$B,2,0),M252,1),"")</f>
        <v>T</v>
      </c>
      <c r="M252" s="3">
        <v>70</v>
      </c>
      <c r="N252" s="3" t="str">
        <f>IFERROR(MID(VLOOKUP($B252,Seqs!$A:$B,2,0),O252,1),"")</f>
        <v>G</v>
      </c>
      <c r="O252" s="3">
        <v>101</v>
      </c>
      <c r="P252" s="3" t="str">
        <f>IFERROR(MID(VLOOKUP($B252,Seqs!$A:$B,2,0),Q252,1),"")</f>
        <v>Y</v>
      </c>
      <c r="Q252" s="3">
        <v>102</v>
      </c>
      <c r="R252" s="3" t="str">
        <f>IFERROR(MID(VLOOKUP($B252,Seqs!$A:$B,2,0),S252,1),"")</f>
        <v>F</v>
      </c>
      <c r="S252" s="3">
        <v>105</v>
      </c>
      <c r="T252" s="3" t="str">
        <f>IFERROR(MID(VLOOKUP($B252,Seqs!$A:$B,2,0),U252,1),"")</f>
        <v>G</v>
      </c>
      <c r="U252" s="3">
        <v>106</v>
      </c>
      <c r="V252" s="3" t="str">
        <f>IFERROR(MID(VLOOKUP($B252,Seqs!$A:$B,2,0),W252,1),"")</f>
        <v>K</v>
      </c>
      <c r="W252" s="3">
        <v>141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G</v>
      </c>
      <c r="AC252" s="3">
        <v>149</v>
      </c>
      <c r="AD252" s="3" t="str">
        <f>IFERROR(MID(VLOOKUP($B252,Seqs!$A:$B,2,0),AE252,1),"")</f>
        <v>V</v>
      </c>
      <c r="AE252" s="3">
        <v>173</v>
      </c>
      <c r="AF252" s="3" t="str">
        <f>IFERROR(MID(VLOOKUP($B252,Seqs!$A:$B,2,0),AG252,1),"")</f>
        <v>C</v>
      </c>
      <c r="AG252" s="3">
        <v>187</v>
      </c>
      <c r="AH252" s="3" t="str">
        <f>IFERROR(MID(VLOOKUP($B252,Seqs!$A:$B,2,0),AI252,1),"")</f>
        <v>I</v>
      </c>
      <c r="AI252" s="3">
        <v>189</v>
      </c>
      <c r="AJ252" s="3" t="str">
        <f>IFERROR(MID(VLOOKUP($B252,Seqs!$A:$B,2,0),AK252,1),"")</f>
        <v>S</v>
      </c>
      <c r="AK252" s="3">
        <v>202</v>
      </c>
      <c r="AL252" s="3" t="str">
        <f>IFERROR(MID(VLOOKUP($B252,Seqs!$A:$B,2,0),AM252,1),"")</f>
        <v>L</v>
      </c>
      <c r="AM252" s="3">
        <v>226</v>
      </c>
      <c r="AN252" s="3" t="str">
        <f>IFERROR(MID(VLOOKUP($B252,Seqs!$A:$B,2,0),AO252,1),"")</f>
        <v>T</v>
      </c>
      <c r="AO252" s="3">
        <v>243</v>
      </c>
      <c r="AP252" s="3" t="str">
        <f>IFERROR(MID(VLOOKUP($B252,Seqs!$A:$B,2,0),AQ252,1),"")</f>
        <v>H</v>
      </c>
      <c r="AQ252" s="3">
        <v>278</v>
      </c>
      <c r="AR252" s="3" t="str">
        <f>IFERROR(MID(VLOOKUP($B252,Seqs!$A:$B,2,0),AS252,1),"")</f>
        <v>P</v>
      </c>
      <c r="AS252" s="3">
        <v>285</v>
      </c>
      <c r="AT252" s="3" t="str">
        <f>IFERROR(MID(VLOOKUP($B252,Seqs!$A:$B,2,0),AU252,1),"")</f>
        <v>M</v>
      </c>
      <c r="AU252" s="3">
        <v>309</v>
      </c>
      <c r="AV252" s="3" t="str">
        <f>IFERROR(MID(VLOOKUP($B252,Seqs!$A:$B,2,0),AW252,1),"")</f>
        <v>N</v>
      </c>
      <c r="AW252" s="3">
        <v>310</v>
      </c>
      <c r="AX252" s="3" t="str">
        <f>IFERROR(MID(VLOOKUP($B252,Seqs!$A:$B,2,0),AY252,1),"")</f>
        <v>C</v>
      </c>
      <c r="AY252" s="3">
        <v>323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 t="shared" si="1483"/>
        <v>1</v>
      </c>
      <c r="BC252" s="23">
        <f t="shared" si="1484"/>
        <v>235</v>
      </c>
      <c r="BD252" s="2" t="s">
        <v>23</v>
      </c>
      <c r="BE252" s="3" t="s">
        <v>1375</v>
      </c>
      <c r="BF252" s="119">
        <v>4.01</v>
      </c>
      <c r="BG252" s="49" t="s">
        <v>1378</v>
      </c>
      <c r="BH252" s="49" t="s">
        <v>1378</v>
      </c>
      <c r="BI252" s="1"/>
      <c r="BJ252" s="70" t="s">
        <v>1288</v>
      </c>
      <c r="BK252" s="57" t="s">
        <v>1288</v>
      </c>
      <c r="BL252" s="57" t="s">
        <v>1288</v>
      </c>
      <c r="BM252" s="57" t="s">
        <v>1288</v>
      </c>
      <c r="BN252" s="57" t="s">
        <v>1288</v>
      </c>
      <c r="BO252" s="57" t="s">
        <v>1288</v>
      </c>
      <c r="BP252" s="57" t="s">
        <v>1288</v>
      </c>
      <c r="BQ252" s="57" t="s">
        <v>1288</v>
      </c>
      <c r="BR252" s="57" t="s">
        <v>1288</v>
      </c>
      <c r="BS252" s="57" t="s">
        <v>1288</v>
      </c>
      <c r="BT252" s="57" t="s">
        <v>1288</v>
      </c>
      <c r="BU252" s="57" t="s">
        <v>1288</v>
      </c>
      <c r="BV252" s="70">
        <f t="shared" si="1485"/>
        <v>36</v>
      </c>
      <c r="BW252" s="71">
        <f t="shared" si="1486"/>
        <v>66</v>
      </c>
      <c r="BX252" s="72">
        <f t="shared" si="1487"/>
        <v>70</v>
      </c>
      <c r="BY252" s="71">
        <f t="shared" si="1488"/>
        <v>102</v>
      </c>
      <c r="BZ252" s="72">
        <f t="shared" si="1489"/>
        <v>106</v>
      </c>
      <c r="CA252" s="71" t="str">
        <f t="shared" si="1490"/>
        <v>-</v>
      </c>
      <c r="CB252" s="72">
        <f t="shared" si="1491"/>
        <v>149</v>
      </c>
      <c r="CC252" s="71">
        <f t="shared" si="1492"/>
        <v>187</v>
      </c>
      <c r="CD252" s="72">
        <f t="shared" si="1493"/>
        <v>202</v>
      </c>
      <c r="CE252" s="71">
        <f t="shared" si="1494"/>
        <v>243</v>
      </c>
      <c r="CF252" s="72">
        <f t="shared" si="1495"/>
        <v>285</v>
      </c>
      <c r="CG252" s="71">
        <f t="shared" si="1496"/>
        <v>310</v>
      </c>
      <c r="CH252" s="70">
        <f t="shared" si="1497"/>
        <v>65</v>
      </c>
      <c r="CI252" s="71">
        <f t="shared" si="1498"/>
        <v>69</v>
      </c>
      <c r="CJ252" s="72">
        <f t="shared" si="1499"/>
        <v>101</v>
      </c>
      <c r="CK252" s="72">
        <f t="shared" si="1500"/>
        <v>105</v>
      </c>
      <c r="CL252" s="72">
        <f t="shared" si="1501"/>
        <v>141</v>
      </c>
      <c r="CM252" s="72" t="str">
        <f t="shared" si="1502"/>
        <v>-</v>
      </c>
      <c r="CN252" s="72">
        <f t="shared" si="1503"/>
        <v>173</v>
      </c>
      <c r="CO252" s="72">
        <f t="shared" si="1504"/>
        <v>189</v>
      </c>
      <c r="CP252" s="72">
        <f t="shared" si="1505"/>
        <v>226</v>
      </c>
      <c r="CQ252" s="72">
        <f t="shared" si="1506"/>
        <v>278</v>
      </c>
      <c r="CR252" s="72">
        <f t="shared" si="1507"/>
        <v>309</v>
      </c>
      <c r="CS252" s="72">
        <f t="shared" si="1508"/>
        <v>323</v>
      </c>
      <c r="CT252" s="23">
        <f t="shared" si="1509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1482"/>
        <v>opsd_bovin_5WKT</v>
      </c>
      <c r="B253" s="3" t="s">
        <v>920</v>
      </c>
      <c r="C253" s="3" t="s">
        <v>1451</v>
      </c>
      <c r="D253" s="3" t="str">
        <f>IFERROR(MID(VLOOKUP($B253,Seqs!$A:$B,2,0),E253,1),"")</f>
        <v>E</v>
      </c>
      <c r="E253" s="3">
        <v>33</v>
      </c>
      <c r="F253" s="3" t="str">
        <f>IFERROR(MID(VLOOKUP($B253,Seqs!$A:$B,2,0),G253,1),"")</f>
        <v>Q</v>
      </c>
      <c r="G253" s="3">
        <v>64</v>
      </c>
      <c r="H253" s="3" t="str">
        <f>IFERROR(MID(VLOOKUP($B253,Seqs!$A:$B,2,0),I253,1),"")</f>
        <v>K</v>
      </c>
      <c r="I253" s="23">
        <v>66</v>
      </c>
      <c r="J253" s="3" t="str">
        <f>IFERROR(MID(VLOOKUP($B253,Seqs!$A:$B,2,0),K253,1),"")</f>
        <v>R</v>
      </c>
      <c r="K253" s="23">
        <v>69</v>
      </c>
      <c r="L253" s="3" t="str">
        <f>IFERROR(MID(VLOOKUP($B253,Seqs!$A:$B,2,0),M253,1),"")</f>
        <v>N</v>
      </c>
      <c r="M253" s="3">
        <v>73</v>
      </c>
      <c r="N253" s="3" t="str">
        <f>IFERROR(MID(VLOOKUP($B253,Seqs!$A:$B,2,0),O253,1),"")</f>
        <v>G</v>
      </c>
      <c r="O253" s="3">
        <v>101</v>
      </c>
      <c r="P253" s="3" t="str">
        <f>IFERROR(MID(VLOOKUP($B253,Seqs!$A:$B,2,0),Q253,1),"")</f>
        <v>Y</v>
      </c>
      <c r="Q253" s="3">
        <v>102</v>
      </c>
      <c r="R253" s="3" t="str">
        <f>IFERROR(MID(VLOOKUP($B253,Seqs!$A:$B,2,0),S253,1),"")</f>
        <v>G</v>
      </c>
      <c r="S253" s="3">
        <v>106</v>
      </c>
      <c r="T253" s="3" t="str">
        <f>IFERROR(MID(VLOOKUP($B253,Seqs!$A:$B,2,0),U253,1),"")</f>
        <v>P</v>
      </c>
      <c r="U253" s="3">
        <v>107</v>
      </c>
      <c r="V253" s="3" t="str">
        <f>IFERROR(MID(VLOOKUP($B253,Seqs!$A:$B,2,0),W253,1),"")</f>
        <v>K</v>
      </c>
      <c r="W253" s="3">
        <v>141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G</v>
      </c>
      <c r="AC253" s="3">
        <v>149</v>
      </c>
      <c r="AD253" s="3" t="str">
        <f>IFERROR(MID(VLOOKUP($B253,Seqs!$A:$B,2,0),AE253,1),"")</f>
        <v>V</v>
      </c>
      <c r="AE253" s="3">
        <v>173</v>
      </c>
      <c r="AF253" s="3" t="str">
        <f>IFERROR(MID(VLOOKUP($B253,Seqs!$A:$B,2,0),AG253,1),"")</f>
        <v>C</v>
      </c>
      <c r="AG253" s="3">
        <v>187</v>
      </c>
      <c r="AH253" s="3" t="str">
        <f>IFERROR(MID(VLOOKUP($B253,Seqs!$A:$B,2,0),AI253,1),"")</f>
        <v>I</v>
      </c>
      <c r="AI253" s="3">
        <v>189</v>
      </c>
      <c r="AJ253" s="3" t="str">
        <f>IFERROR(MID(VLOOKUP($B253,Seqs!$A:$B,2,0),AK253,1),"")</f>
        <v>N</v>
      </c>
      <c r="AK253" s="3">
        <v>199</v>
      </c>
      <c r="AL253" s="3" t="str">
        <f>IFERROR(MID(VLOOKUP($B253,Seqs!$A:$B,2,0),AM253,1),"")</f>
        <v>Q</v>
      </c>
      <c r="AM253" s="3">
        <v>236</v>
      </c>
      <c r="AN253" s="3" t="str">
        <f>IFERROR(MID(VLOOKUP($B253,Seqs!$A:$B,2,0),AO253,1),"")</f>
        <v>S</v>
      </c>
      <c r="AO253" s="3">
        <v>240</v>
      </c>
      <c r="AP253" s="3" t="str">
        <f>IFERROR(MID(VLOOKUP($B253,Seqs!$A:$B,2,0),AQ253,1),"")</f>
        <v>H</v>
      </c>
      <c r="AQ253" s="3">
        <v>278</v>
      </c>
      <c r="AR253" s="3" t="str">
        <f>IFERROR(MID(VLOOKUP($B253,Seqs!$A:$B,2,0),AS253,1),"")</f>
        <v>G</v>
      </c>
      <c r="AS253" s="3">
        <v>284</v>
      </c>
      <c r="AT253" s="3" t="str">
        <f>IFERROR(MID(VLOOKUP($B253,Seqs!$A:$B,2,0),AU253,1),"")</f>
        <v>M</v>
      </c>
      <c r="AU253" s="3">
        <v>309</v>
      </c>
      <c r="AV253" s="3" t="str">
        <f>IFERROR(MID(VLOOKUP($B253,Seqs!$A:$B,2,0),AW253,1),"")</f>
        <v>N</v>
      </c>
      <c r="AW253" s="3">
        <v>310</v>
      </c>
      <c r="AX253" s="3" t="str">
        <f>IFERROR(MID(VLOOKUP($B253,Seqs!$A:$B,2,0),AY253,1),"")</f>
        <v>C</v>
      </c>
      <c r="AY253" s="3">
        <v>322</v>
      </c>
      <c r="AZ253" s="77" t="str">
        <f>VLOOKUP(B253,Classification!A:D,2,0)</f>
        <v>A</v>
      </c>
      <c r="BA253" s="94" t="str">
        <f>VLOOKUP(B253,Classification!A:D,4,0)</f>
        <v>Opsins</v>
      </c>
      <c r="BB253" s="27" t="b">
        <f t="shared" si="1483"/>
        <v>1</v>
      </c>
      <c r="BC253" s="23">
        <f t="shared" si="1484"/>
        <v>250</v>
      </c>
      <c r="BD253" s="2" t="s">
        <v>23</v>
      </c>
      <c r="BE253" s="3" t="s">
        <v>1292</v>
      </c>
      <c r="BF253" s="119">
        <v>3.2</v>
      </c>
      <c r="BG253" s="49" t="s">
        <v>1</v>
      </c>
      <c r="BH253" s="49" t="s">
        <v>1</v>
      </c>
      <c r="BI253" s="1"/>
      <c r="BJ253" s="70" t="s">
        <v>1288</v>
      </c>
      <c r="BK253" s="57" t="s">
        <v>1288</v>
      </c>
      <c r="BL253" s="57" t="s">
        <v>1288</v>
      </c>
      <c r="BM253" s="57" t="s">
        <v>1288</v>
      </c>
      <c r="BN253" s="57" t="s">
        <v>1288</v>
      </c>
      <c r="BO253" s="57" t="s">
        <v>1288</v>
      </c>
      <c r="BP253" s="57" t="s">
        <v>1288</v>
      </c>
      <c r="BQ253" s="57" t="s">
        <v>1288</v>
      </c>
      <c r="BR253" s="57" t="s">
        <v>1288</v>
      </c>
      <c r="BS253" s="57" t="s">
        <v>1288</v>
      </c>
      <c r="BT253" s="57" t="s">
        <v>1288</v>
      </c>
      <c r="BU253" s="57" t="s">
        <v>1288</v>
      </c>
      <c r="BV253" s="70">
        <f t="shared" si="1485"/>
        <v>33</v>
      </c>
      <c r="BW253" s="71">
        <f t="shared" si="1486"/>
        <v>66</v>
      </c>
      <c r="BX253" s="72">
        <f t="shared" si="1487"/>
        <v>73</v>
      </c>
      <c r="BY253" s="71">
        <f t="shared" si="1488"/>
        <v>102</v>
      </c>
      <c r="BZ253" s="72">
        <f t="shared" si="1489"/>
        <v>107</v>
      </c>
      <c r="CA253" s="71" t="str">
        <f t="shared" si="1490"/>
        <v>-</v>
      </c>
      <c r="CB253" s="72">
        <f t="shared" si="1491"/>
        <v>149</v>
      </c>
      <c r="CC253" s="71">
        <f t="shared" si="1492"/>
        <v>187</v>
      </c>
      <c r="CD253" s="72">
        <f t="shared" si="1493"/>
        <v>199</v>
      </c>
      <c r="CE253" s="71">
        <f t="shared" si="1494"/>
        <v>240</v>
      </c>
      <c r="CF253" s="72">
        <f t="shared" si="1495"/>
        <v>284</v>
      </c>
      <c r="CG253" s="71">
        <f t="shared" si="1496"/>
        <v>310</v>
      </c>
      <c r="CH253" s="70">
        <f t="shared" si="1497"/>
        <v>64</v>
      </c>
      <c r="CI253" s="71">
        <f t="shared" si="1498"/>
        <v>69</v>
      </c>
      <c r="CJ253" s="72">
        <f t="shared" si="1499"/>
        <v>101</v>
      </c>
      <c r="CK253" s="72">
        <f t="shared" si="1500"/>
        <v>106</v>
      </c>
      <c r="CL253" s="72">
        <f t="shared" si="1501"/>
        <v>141</v>
      </c>
      <c r="CM253" s="72" t="str">
        <f t="shared" si="1502"/>
        <v>-</v>
      </c>
      <c r="CN253" s="72">
        <f t="shared" si="1503"/>
        <v>173</v>
      </c>
      <c r="CO253" s="72">
        <f t="shared" si="1504"/>
        <v>189</v>
      </c>
      <c r="CP253" s="72">
        <f t="shared" si="1505"/>
        <v>236</v>
      </c>
      <c r="CQ253" s="72">
        <f t="shared" si="1506"/>
        <v>278</v>
      </c>
      <c r="CR253" s="72">
        <f t="shared" si="1507"/>
        <v>309</v>
      </c>
      <c r="CS253" s="72">
        <f t="shared" si="1508"/>
        <v>322</v>
      </c>
      <c r="CT253" s="23">
        <f t="shared" si="1509"/>
        <v>4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1482"/>
        <v>opsd_bovin_6FK6</v>
      </c>
      <c r="B254" s="3" t="s">
        <v>920</v>
      </c>
      <c r="C254" s="3" t="s">
        <v>1482</v>
      </c>
      <c r="D254" s="3" t="str">
        <f>IFERROR(MID(VLOOKUP($B254,Seqs!$A:$B,2,0),E254,1),"")</f>
        <v>E</v>
      </c>
      <c r="E254" s="3">
        <v>33</v>
      </c>
      <c r="F254" s="3" t="str">
        <f>IFERROR(MID(VLOOKUP($B254,Seqs!$A:$B,2,0),G254,1),"")</f>
        <v>Q</v>
      </c>
      <c r="G254" s="3">
        <v>64</v>
      </c>
      <c r="H254" s="3" t="str">
        <f>IFERROR(MID(VLOOKUP($B254,Seqs!$A:$B,2,0),I254,1),"")</f>
        <v>K</v>
      </c>
      <c r="I254" s="23">
        <v>66</v>
      </c>
      <c r="J254" s="3" t="str">
        <f>IFERROR(MID(VLOOKUP($B254,Seqs!$A:$B,2,0),K254,1),"")</f>
        <v>R</v>
      </c>
      <c r="K254" s="23">
        <v>69</v>
      </c>
      <c r="L254" s="3" t="str">
        <f>IFERROR(MID(VLOOKUP($B254,Seqs!$A:$B,2,0),M254,1),"")</f>
        <v>N</v>
      </c>
      <c r="M254" s="3">
        <v>73</v>
      </c>
      <c r="N254" s="3" t="str">
        <f>IFERROR(MID(VLOOKUP($B254,Seqs!$A:$B,2,0),O254,1),"")</f>
        <v>G</v>
      </c>
      <c r="O254" s="3">
        <v>101</v>
      </c>
      <c r="P254" s="3" t="str">
        <f>IFERROR(MID(VLOOKUP($B254,Seqs!$A:$B,2,0),Q254,1),"")</f>
        <v>Y</v>
      </c>
      <c r="Q254" s="3">
        <v>102</v>
      </c>
      <c r="R254" s="3" t="str">
        <f>IFERROR(MID(VLOOKUP($B254,Seqs!$A:$B,2,0),S254,1),"")</f>
        <v>G</v>
      </c>
      <c r="S254" s="3">
        <v>106</v>
      </c>
      <c r="T254" s="3" t="str">
        <f>IFERROR(MID(VLOOKUP($B254,Seqs!$A:$B,2,0),U254,1),"")</f>
        <v>P</v>
      </c>
      <c r="U254" s="3">
        <v>107</v>
      </c>
      <c r="V254" s="3" t="str">
        <f>IFERROR(MID(VLOOKUP($B254,Seqs!$A:$B,2,0),W254,1),"")</f>
        <v>K</v>
      </c>
      <c r="W254" s="3">
        <v>141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G</v>
      </c>
      <c r="AC254" s="3">
        <v>149</v>
      </c>
      <c r="AD254" s="3" t="str">
        <f>IFERROR(MID(VLOOKUP($B254,Seqs!$A:$B,2,0),AE254,1),"")</f>
        <v>V</v>
      </c>
      <c r="AE254" s="3">
        <v>173</v>
      </c>
      <c r="AF254" s="3" t="str">
        <f>IFERROR(MID(VLOOKUP($B254,Seqs!$A:$B,2,0),AG254,1),"")</f>
        <v>C</v>
      </c>
      <c r="AG254" s="3">
        <v>187</v>
      </c>
      <c r="AH254" s="3" t="str">
        <f>IFERROR(MID(VLOOKUP($B254,Seqs!$A:$B,2,0),AI254,1),"")</f>
        <v>I</v>
      </c>
      <c r="AI254" s="3">
        <v>189</v>
      </c>
      <c r="AJ254" s="3" t="str">
        <f>IFERROR(MID(VLOOKUP($B254,Seqs!$A:$B,2,0),AK254,1),"")</f>
        <v>N</v>
      </c>
      <c r="AK254" s="3">
        <v>199</v>
      </c>
      <c r="AL254" s="3" t="str">
        <f>IFERROR(MID(VLOOKUP($B254,Seqs!$A:$B,2,0),AM254,1),"")</f>
        <v>Q</v>
      </c>
      <c r="AM254" s="3">
        <v>236</v>
      </c>
      <c r="AN254" s="3" t="str">
        <f>IFERROR(MID(VLOOKUP($B254,Seqs!$A:$B,2,0),AO254,1),"")</f>
        <v>S</v>
      </c>
      <c r="AO254" s="3">
        <v>240</v>
      </c>
      <c r="AP254" s="3" t="str">
        <f>IFERROR(MID(VLOOKUP($B254,Seqs!$A:$B,2,0),AQ254,1),"")</f>
        <v>H</v>
      </c>
      <c r="AQ254" s="3">
        <v>278</v>
      </c>
      <c r="AR254" s="3" t="str">
        <f>IFERROR(MID(VLOOKUP($B254,Seqs!$A:$B,2,0),AS254,1),"")</f>
        <v>G</v>
      </c>
      <c r="AS254" s="3">
        <v>284</v>
      </c>
      <c r="AT254" s="3" t="str">
        <f>IFERROR(MID(VLOOKUP($B254,Seqs!$A:$B,2,0),AU254,1),"")</f>
        <v>M</v>
      </c>
      <c r="AU254" s="3">
        <v>309</v>
      </c>
      <c r="AV254" s="3" t="str">
        <f>IFERROR(MID(VLOOKUP($B254,Seqs!$A:$B,2,0),AW254,1),"")</f>
        <v>N</v>
      </c>
      <c r="AW254" s="3">
        <v>310</v>
      </c>
      <c r="AX254" s="3" t="str">
        <f>IFERROR(MID(VLOOKUP($B254,Seqs!$A:$B,2,0),AY254,1),"")</f>
        <v>C</v>
      </c>
      <c r="AY254" s="3">
        <v>322</v>
      </c>
      <c r="AZ254" s="77" t="str">
        <f>VLOOKUP(B254,Classification!A:D,2,0)</f>
        <v>A</v>
      </c>
      <c r="BA254" s="94" t="str">
        <f>VLOOKUP(B254,Classification!A:D,4,0)</f>
        <v>Opsins</v>
      </c>
      <c r="BB254" s="27" t="b">
        <f t="shared" si="1483"/>
        <v>1</v>
      </c>
      <c r="BC254" s="23">
        <f t="shared" si="1484"/>
        <v>250</v>
      </c>
      <c r="BD254" s="2" t="s">
        <v>23</v>
      </c>
      <c r="BE254" s="3" t="s">
        <v>1292</v>
      </c>
      <c r="BF254" s="119">
        <v>2.36</v>
      </c>
      <c r="BG254" s="49" t="s">
        <v>1</v>
      </c>
      <c r="BH254" s="49" t="s">
        <v>1</v>
      </c>
      <c r="BI254" s="1"/>
      <c r="BJ254" s="70" t="s">
        <v>1288</v>
      </c>
      <c r="BK254" s="57" t="s">
        <v>1288</v>
      </c>
      <c r="BL254" s="57" t="s">
        <v>1288</v>
      </c>
      <c r="BM254" s="57" t="s">
        <v>1288</v>
      </c>
      <c r="BN254" s="57" t="s">
        <v>1288</v>
      </c>
      <c r="BO254" s="57" t="s">
        <v>1288</v>
      </c>
      <c r="BP254" s="57" t="s">
        <v>1288</v>
      </c>
      <c r="BQ254" s="57" t="s">
        <v>1288</v>
      </c>
      <c r="BR254" s="57" t="s">
        <v>1288</v>
      </c>
      <c r="BS254" s="57" t="s">
        <v>1288</v>
      </c>
      <c r="BT254" s="57" t="s">
        <v>1288</v>
      </c>
      <c r="BU254" s="57" t="s">
        <v>1288</v>
      </c>
      <c r="BV254" s="70">
        <f t="shared" si="1485"/>
        <v>33</v>
      </c>
      <c r="BW254" s="71">
        <f t="shared" si="1486"/>
        <v>66</v>
      </c>
      <c r="BX254" s="72">
        <f t="shared" si="1487"/>
        <v>73</v>
      </c>
      <c r="BY254" s="71">
        <f t="shared" si="1488"/>
        <v>102</v>
      </c>
      <c r="BZ254" s="72">
        <f t="shared" si="1489"/>
        <v>107</v>
      </c>
      <c r="CA254" s="71" t="str">
        <f t="shared" si="1490"/>
        <v>-</v>
      </c>
      <c r="CB254" s="72">
        <f t="shared" si="1491"/>
        <v>149</v>
      </c>
      <c r="CC254" s="71">
        <f t="shared" si="1492"/>
        <v>187</v>
      </c>
      <c r="CD254" s="72">
        <f t="shared" si="1493"/>
        <v>199</v>
      </c>
      <c r="CE254" s="71">
        <f t="shared" si="1494"/>
        <v>240</v>
      </c>
      <c r="CF254" s="72">
        <f t="shared" si="1495"/>
        <v>284</v>
      </c>
      <c r="CG254" s="71">
        <f t="shared" si="1496"/>
        <v>310</v>
      </c>
      <c r="CH254" s="70">
        <f t="shared" si="1497"/>
        <v>64</v>
      </c>
      <c r="CI254" s="71">
        <f t="shared" si="1498"/>
        <v>69</v>
      </c>
      <c r="CJ254" s="72">
        <f t="shared" si="1499"/>
        <v>101</v>
      </c>
      <c r="CK254" s="72">
        <f t="shared" si="1500"/>
        <v>106</v>
      </c>
      <c r="CL254" s="72">
        <f t="shared" si="1501"/>
        <v>141</v>
      </c>
      <c r="CM254" s="72" t="str">
        <f t="shared" si="1502"/>
        <v>-</v>
      </c>
      <c r="CN254" s="72">
        <f t="shared" si="1503"/>
        <v>173</v>
      </c>
      <c r="CO254" s="72">
        <f t="shared" si="1504"/>
        <v>189</v>
      </c>
      <c r="CP254" s="72">
        <f t="shared" si="1505"/>
        <v>236</v>
      </c>
      <c r="CQ254" s="72">
        <f t="shared" si="1506"/>
        <v>278</v>
      </c>
      <c r="CR254" s="72">
        <f t="shared" si="1507"/>
        <v>309</v>
      </c>
      <c r="CS254" s="72">
        <f t="shared" si="1508"/>
        <v>322</v>
      </c>
      <c r="CT254" s="23">
        <f t="shared" si="1509"/>
        <v>4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1482"/>
        <v>opsd_bovin_6FK7</v>
      </c>
      <c r="B255" s="3" t="s">
        <v>920</v>
      </c>
      <c r="C255" s="3" t="s">
        <v>1483</v>
      </c>
      <c r="D255" s="3" t="str">
        <f>IFERROR(MID(VLOOKUP($B255,Seqs!$A:$B,2,0),E255,1),"")</f>
        <v>E</v>
      </c>
      <c r="E255" s="3">
        <v>33</v>
      </c>
      <c r="F255" s="3" t="str">
        <f>IFERROR(MID(VLOOKUP($B255,Seqs!$A:$B,2,0),G255,1),"")</f>
        <v>Q</v>
      </c>
      <c r="G255" s="3">
        <v>64</v>
      </c>
      <c r="H255" s="3" t="str">
        <f>IFERROR(MID(VLOOKUP($B255,Seqs!$A:$B,2,0),I255,1),"")</f>
        <v>K</v>
      </c>
      <c r="I255" s="23">
        <v>66</v>
      </c>
      <c r="J255" s="3" t="str">
        <f>IFERROR(MID(VLOOKUP($B255,Seqs!$A:$B,2,0),K255,1),"")</f>
        <v>R</v>
      </c>
      <c r="K255" s="23">
        <v>69</v>
      </c>
      <c r="L255" s="3" t="str">
        <f>IFERROR(MID(VLOOKUP($B255,Seqs!$A:$B,2,0),M255,1),"")</f>
        <v>N</v>
      </c>
      <c r="M255" s="3">
        <v>73</v>
      </c>
      <c r="N255" s="3" t="str">
        <f>IFERROR(MID(VLOOKUP($B255,Seqs!$A:$B,2,0),O255,1),"")</f>
        <v>G</v>
      </c>
      <c r="O255" s="3">
        <v>101</v>
      </c>
      <c r="P255" s="3" t="str">
        <f>IFERROR(MID(VLOOKUP($B255,Seqs!$A:$B,2,0),Q255,1),"")</f>
        <v>Y</v>
      </c>
      <c r="Q255" s="3">
        <v>102</v>
      </c>
      <c r="R255" s="3" t="str">
        <f>IFERROR(MID(VLOOKUP($B255,Seqs!$A:$B,2,0),S255,1),"")</f>
        <v>G</v>
      </c>
      <c r="S255" s="3">
        <v>106</v>
      </c>
      <c r="T255" s="3" t="str">
        <f>IFERROR(MID(VLOOKUP($B255,Seqs!$A:$B,2,0),U255,1),"")</f>
        <v>P</v>
      </c>
      <c r="U255" s="3">
        <v>107</v>
      </c>
      <c r="V255" s="3" t="str">
        <f>IFERROR(MID(VLOOKUP($B255,Seqs!$A:$B,2,0),W255,1),"")</f>
        <v>K</v>
      </c>
      <c r="W255" s="3">
        <v>141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G</v>
      </c>
      <c r="AC255" s="3">
        <v>149</v>
      </c>
      <c r="AD255" s="3" t="str">
        <f>IFERROR(MID(VLOOKUP($B255,Seqs!$A:$B,2,0),AE255,1),"")</f>
        <v>V</v>
      </c>
      <c r="AE255" s="3">
        <v>173</v>
      </c>
      <c r="AF255" s="3" t="str">
        <f>IFERROR(MID(VLOOKUP($B255,Seqs!$A:$B,2,0),AG255,1),"")</f>
        <v>C</v>
      </c>
      <c r="AG255" s="3">
        <v>187</v>
      </c>
      <c r="AH255" s="3" t="str">
        <f>IFERROR(MID(VLOOKUP($B255,Seqs!$A:$B,2,0),AI255,1),"")</f>
        <v>I</v>
      </c>
      <c r="AI255" s="3">
        <v>189</v>
      </c>
      <c r="AJ255" s="3" t="str">
        <f>IFERROR(MID(VLOOKUP($B255,Seqs!$A:$B,2,0),AK255,1),"")</f>
        <v>N</v>
      </c>
      <c r="AK255" s="3">
        <v>199</v>
      </c>
      <c r="AL255" s="3" t="str">
        <f>IFERROR(MID(VLOOKUP($B255,Seqs!$A:$B,2,0),AM255,1),"")</f>
        <v>Q</v>
      </c>
      <c r="AM255" s="3">
        <v>236</v>
      </c>
      <c r="AN255" s="3" t="str">
        <f>IFERROR(MID(VLOOKUP($B255,Seqs!$A:$B,2,0),AO255,1),"")</f>
        <v>S</v>
      </c>
      <c r="AO255" s="3">
        <v>240</v>
      </c>
      <c r="AP255" s="3" t="str">
        <f>IFERROR(MID(VLOOKUP($B255,Seqs!$A:$B,2,0),AQ255,1),"")</f>
        <v>H</v>
      </c>
      <c r="AQ255" s="3">
        <v>278</v>
      </c>
      <c r="AR255" s="3" t="str">
        <f>IFERROR(MID(VLOOKUP($B255,Seqs!$A:$B,2,0),AS255,1),"")</f>
        <v>G</v>
      </c>
      <c r="AS255" s="3">
        <v>284</v>
      </c>
      <c r="AT255" s="3" t="str">
        <f>IFERROR(MID(VLOOKUP($B255,Seqs!$A:$B,2,0),AU255,1),"")</f>
        <v>M</v>
      </c>
      <c r="AU255" s="3">
        <v>309</v>
      </c>
      <c r="AV255" s="3" t="str">
        <f>IFERROR(MID(VLOOKUP($B255,Seqs!$A:$B,2,0),AW255,1),"")</f>
        <v>N</v>
      </c>
      <c r="AW255" s="3">
        <v>310</v>
      </c>
      <c r="AX255" s="3" t="str">
        <f>IFERROR(MID(VLOOKUP($B255,Seqs!$A:$B,2,0),AY255,1),"")</f>
        <v>C</v>
      </c>
      <c r="AY255" s="3">
        <v>322</v>
      </c>
      <c r="AZ255" s="77" t="str">
        <f>VLOOKUP(B255,Classification!A:D,2,0)</f>
        <v>A</v>
      </c>
      <c r="BA255" s="94" t="str">
        <f>VLOOKUP(B255,Classification!A:D,4,0)</f>
        <v>Opsins</v>
      </c>
      <c r="BB255" s="27" t="b">
        <f t="shared" si="1483"/>
        <v>1</v>
      </c>
      <c r="BC255" s="23">
        <f t="shared" si="1484"/>
        <v>250</v>
      </c>
      <c r="BD255" s="2" t="s">
        <v>23</v>
      </c>
      <c r="BE255" s="3" t="s">
        <v>1292</v>
      </c>
      <c r="BF255" s="119">
        <v>2.62</v>
      </c>
      <c r="BG255" s="49" t="s">
        <v>1</v>
      </c>
      <c r="BH255" s="49" t="s">
        <v>1</v>
      </c>
      <c r="BI255" s="1"/>
      <c r="BJ255" s="70" t="s">
        <v>1288</v>
      </c>
      <c r="BK255" s="57" t="s">
        <v>1288</v>
      </c>
      <c r="BL255" s="57" t="s">
        <v>1288</v>
      </c>
      <c r="BM255" s="57" t="s">
        <v>1288</v>
      </c>
      <c r="BN255" s="57" t="s">
        <v>1288</v>
      </c>
      <c r="BO255" s="57" t="s">
        <v>1288</v>
      </c>
      <c r="BP255" s="57" t="s">
        <v>1288</v>
      </c>
      <c r="BQ255" s="57" t="s">
        <v>1288</v>
      </c>
      <c r="BR255" s="57" t="s">
        <v>1288</v>
      </c>
      <c r="BS255" s="57" t="s">
        <v>1288</v>
      </c>
      <c r="BT255" s="57" t="s">
        <v>1288</v>
      </c>
      <c r="BU255" s="57" t="s">
        <v>1288</v>
      </c>
      <c r="BV255" s="70">
        <f t="shared" si="1485"/>
        <v>33</v>
      </c>
      <c r="BW255" s="71">
        <f t="shared" si="1486"/>
        <v>66</v>
      </c>
      <c r="BX255" s="72">
        <f t="shared" si="1487"/>
        <v>73</v>
      </c>
      <c r="BY255" s="71">
        <f t="shared" si="1488"/>
        <v>102</v>
      </c>
      <c r="BZ255" s="72">
        <f t="shared" si="1489"/>
        <v>107</v>
      </c>
      <c r="CA255" s="71" t="str">
        <f t="shared" si="1490"/>
        <v>-</v>
      </c>
      <c r="CB255" s="72">
        <f t="shared" si="1491"/>
        <v>149</v>
      </c>
      <c r="CC255" s="71">
        <f t="shared" si="1492"/>
        <v>187</v>
      </c>
      <c r="CD255" s="72">
        <f t="shared" si="1493"/>
        <v>199</v>
      </c>
      <c r="CE255" s="71">
        <f t="shared" si="1494"/>
        <v>240</v>
      </c>
      <c r="CF255" s="72">
        <f t="shared" si="1495"/>
        <v>284</v>
      </c>
      <c r="CG255" s="71">
        <f t="shared" si="1496"/>
        <v>310</v>
      </c>
      <c r="CH255" s="70">
        <f t="shared" si="1497"/>
        <v>64</v>
      </c>
      <c r="CI255" s="71">
        <f t="shared" si="1498"/>
        <v>69</v>
      </c>
      <c r="CJ255" s="72">
        <f t="shared" si="1499"/>
        <v>101</v>
      </c>
      <c r="CK255" s="72">
        <f t="shared" si="1500"/>
        <v>106</v>
      </c>
      <c r="CL255" s="72">
        <f t="shared" si="1501"/>
        <v>141</v>
      </c>
      <c r="CM255" s="72" t="str">
        <f t="shared" si="1502"/>
        <v>-</v>
      </c>
      <c r="CN255" s="72">
        <f t="shared" si="1503"/>
        <v>173</v>
      </c>
      <c r="CO255" s="72">
        <f t="shared" si="1504"/>
        <v>189</v>
      </c>
      <c r="CP255" s="72">
        <f t="shared" si="1505"/>
        <v>236</v>
      </c>
      <c r="CQ255" s="72">
        <f t="shared" si="1506"/>
        <v>278</v>
      </c>
      <c r="CR255" s="72">
        <f t="shared" si="1507"/>
        <v>309</v>
      </c>
      <c r="CS255" s="72">
        <f t="shared" si="1508"/>
        <v>322</v>
      </c>
      <c r="CT255" s="23">
        <f t="shared" si="1509"/>
        <v>4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1482"/>
        <v>opsd_bovin_6FK8</v>
      </c>
      <c r="B256" s="3" t="s">
        <v>920</v>
      </c>
      <c r="C256" s="3" t="s">
        <v>1484</v>
      </c>
      <c r="D256" s="3" t="str">
        <f>IFERROR(MID(VLOOKUP($B256,Seqs!$A:$B,2,0),E256,1),"")</f>
        <v>E</v>
      </c>
      <c r="E256" s="3">
        <v>33</v>
      </c>
      <c r="F256" s="3" t="str">
        <f>IFERROR(MID(VLOOKUP($B256,Seqs!$A:$B,2,0),G256,1),"")</f>
        <v>Q</v>
      </c>
      <c r="G256" s="3">
        <v>64</v>
      </c>
      <c r="H256" s="3" t="str">
        <f>IFERROR(MID(VLOOKUP($B256,Seqs!$A:$B,2,0),I256,1),"")</f>
        <v>K</v>
      </c>
      <c r="I256" s="23">
        <v>66</v>
      </c>
      <c r="J256" s="3" t="str">
        <f>IFERROR(MID(VLOOKUP($B256,Seqs!$A:$B,2,0),K256,1),"")</f>
        <v>R</v>
      </c>
      <c r="K256" s="23">
        <v>69</v>
      </c>
      <c r="L256" s="3" t="str">
        <f>IFERROR(MID(VLOOKUP($B256,Seqs!$A:$B,2,0),M256,1),"")</f>
        <v>N</v>
      </c>
      <c r="M256" s="3">
        <v>73</v>
      </c>
      <c r="N256" s="3" t="str">
        <f>IFERROR(MID(VLOOKUP($B256,Seqs!$A:$B,2,0),O256,1),"")</f>
        <v>G</v>
      </c>
      <c r="O256" s="3">
        <v>101</v>
      </c>
      <c r="P256" s="3" t="str">
        <f>IFERROR(MID(VLOOKUP($B256,Seqs!$A:$B,2,0),Q256,1),"")</f>
        <v>Y</v>
      </c>
      <c r="Q256" s="3">
        <v>102</v>
      </c>
      <c r="R256" s="3" t="str">
        <f>IFERROR(MID(VLOOKUP($B256,Seqs!$A:$B,2,0),S256,1),"")</f>
        <v>G</v>
      </c>
      <c r="S256" s="3">
        <v>106</v>
      </c>
      <c r="T256" s="3" t="str">
        <f>IFERROR(MID(VLOOKUP($B256,Seqs!$A:$B,2,0),U256,1),"")</f>
        <v>P</v>
      </c>
      <c r="U256" s="3">
        <v>107</v>
      </c>
      <c r="V256" s="3" t="str">
        <f>IFERROR(MID(VLOOKUP($B256,Seqs!$A:$B,2,0),W256,1),"")</f>
        <v>K</v>
      </c>
      <c r="W256" s="3">
        <v>141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G</v>
      </c>
      <c r="AC256" s="3">
        <v>149</v>
      </c>
      <c r="AD256" s="3" t="str">
        <f>IFERROR(MID(VLOOKUP($B256,Seqs!$A:$B,2,0),AE256,1),"")</f>
        <v>V</v>
      </c>
      <c r="AE256" s="3">
        <v>173</v>
      </c>
      <c r="AF256" s="3" t="str">
        <f>IFERROR(MID(VLOOKUP($B256,Seqs!$A:$B,2,0),AG256,1),"")</f>
        <v>C</v>
      </c>
      <c r="AG256" s="3">
        <v>187</v>
      </c>
      <c r="AH256" s="3" t="str">
        <f>IFERROR(MID(VLOOKUP($B256,Seqs!$A:$B,2,0),AI256,1),"")</f>
        <v>I</v>
      </c>
      <c r="AI256" s="3">
        <v>189</v>
      </c>
      <c r="AJ256" s="3" t="str">
        <f>IFERROR(MID(VLOOKUP($B256,Seqs!$A:$B,2,0),AK256,1),"")</f>
        <v>N</v>
      </c>
      <c r="AK256" s="3">
        <v>199</v>
      </c>
      <c r="AL256" s="3" t="str">
        <f>IFERROR(MID(VLOOKUP($B256,Seqs!$A:$B,2,0),AM256,1),"")</f>
        <v>Q</v>
      </c>
      <c r="AM256" s="3">
        <v>236</v>
      </c>
      <c r="AN256" s="3" t="str">
        <f>IFERROR(MID(VLOOKUP($B256,Seqs!$A:$B,2,0),AO256,1),"")</f>
        <v>S</v>
      </c>
      <c r="AO256" s="3">
        <v>240</v>
      </c>
      <c r="AP256" s="3" t="str">
        <f>IFERROR(MID(VLOOKUP($B256,Seqs!$A:$B,2,0),AQ256,1),"")</f>
        <v>H</v>
      </c>
      <c r="AQ256" s="3">
        <v>278</v>
      </c>
      <c r="AR256" s="3" t="str">
        <f>IFERROR(MID(VLOOKUP($B256,Seqs!$A:$B,2,0),AS256,1),"")</f>
        <v>G</v>
      </c>
      <c r="AS256" s="3">
        <v>284</v>
      </c>
      <c r="AT256" s="3" t="str">
        <f>IFERROR(MID(VLOOKUP($B256,Seqs!$A:$B,2,0),AU256,1),"")</f>
        <v>M</v>
      </c>
      <c r="AU256" s="3">
        <v>309</v>
      </c>
      <c r="AV256" s="3" t="str">
        <f>IFERROR(MID(VLOOKUP($B256,Seqs!$A:$B,2,0),AW256,1),"")</f>
        <v>N</v>
      </c>
      <c r="AW256" s="3">
        <v>310</v>
      </c>
      <c r="AX256" s="3" t="str">
        <f>IFERROR(MID(VLOOKUP($B256,Seqs!$A:$B,2,0),AY256,1),"")</f>
        <v>C</v>
      </c>
      <c r="AY256" s="3">
        <v>322</v>
      </c>
      <c r="AZ256" s="77" t="str">
        <f>VLOOKUP(B256,Classification!A:D,2,0)</f>
        <v>A</v>
      </c>
      <c r="BA256" s="94" t="str">
        <f>VLOOKUP(B256,Classification!A:D,4,0)</f>
        <v>Opsins</v>
      </c>
      <c r="BB256" s="27" t="b">
        <f t="shared" si="1483"/>
        <v>1</v>
      </c>
      <c r="BC256" s="23">
        <f t="shared" si="1484"/>
        <v>250</v>
      </c>
      <c r="BD256" s="2" t="s">
        <v>23</v>
      </c>
      <c r="BE256" s="3" t="s">
        <v>1292</v>
      </c>
      <c r="BF256" s="119">
        <v>2.87</v>
      </c>
      <c r="BG256" s="49" t="s">
        <v>1</v>
      </c>
      <c r="BH256" s="49" t="s">
        <v>1</v>
      </c>
      <c r="BI256" s="1"/>
      <c r="BJ256" s="70" t="s">
        <v>1288</v>
      </c>
      <c r="BK256" s="57" t="s">
        <v>1288</v>
      </c>
      <c r="BL256" s="57" t="s">
        <v>1288</v>
      </c>
      <c r="BM256" s="57" t="s">
        <v>1288</v>
      </c>
      <c r="BN256" s="57" t="s">
        <v>1288</v>
      </c>
      <c r="BO256" s="57" t="s">
        <v>1288</v>
      </c>
      <c r="BP256" s="57" t="s">
        <v>1288</v>
      </c>
      <c r="BQ256" s="57" t="s">
        <v>1288</v>
      </c>
      <c r="BR256" s="57" t="s">
        <v>1288</v>
      </c>
      <c r="BS256" s="57" t="s">
        <v>1288</v>
      </c>
      <c r="BT256" s="57" t="s">
        <v>1288</v>
      </c>
      <c r="BU256" s="57" t="s">
        <v>1288</v>
      </c>
      <c r="BV256" s="70">
        <f t="shared" si="1485"/>
        <v>33</v>
      </c>
      <c r="BW256" s="71">
        <f t="shared" si="1486"/>
        <v>66</v>
      </c>
      <c r="BX256" s="72">
        <f t="shared" si="1487"/>
        <v>73</v>
      </c>
      <c r="BY256" s="71">
        <f t="shared" si="1488"/>
        <v>102</v>
      </c>
      <c r="BZ256" s="72">
        <f t="shared" si="1489"/>
        <v>107</v>
      </c>
      <c r="CA256" s="71" t="str">
        <f t="shared" si="1490"/>
        <v>-</v>
      </c>
      <c r="CB256" s="72">
        <f t="shared" si="1491"/>
        <v>149</v>
      </c>
      <c r="CC256" s="71">
        <f t="shared" si="1492"/>
        <v>187</v>
      </c>
      <c r="CD256" s="72">
        <f t="shared" si="1493"/>
        <v>199</v>
      </c>
      <c r="CE256" s="71">
        <f t="shared" si="1494"/>
        <v>240</v>
      </c>
      <c r="CF256" s="72">
        <f t="shared" si="1495"/>
        <v>284</v>
      </c>
      <c r="CG256" s="71">
        <f t="shared" si="1496"/>
        <v>310</v>
      </c>
      <c r="CH256" s="70">
        <f t="shared" si="1497"/>
        <v>64</v>
      </c>
      <c r="CI256" s="71">
        <f t="shared" si="1498"/>
        <v>69</v>
      </c>
      <c r="CJ256" s="72">
        <f t="shared" si="1499"/>
        <v>101</v>
      </c>
      <c r="CK256" s="72">
        <f t="shared" si="1500"/>
        <v>106</v>
      </c>
      <c r="CL256" s="72">
        <f t="shared" si="1501"/>
        <v>141</v>
      </c>
      <c r="CM256" s="72" t="str">
        <f t="shared" si="1502"/>
        <v>-</v>
      </c>
      <c r="CN256" s="72">
        <f t="shared" si="1503"/>
        <v>173</v>
      </c>
      <c r="CO256" s="72">
        <f t="shared" si="1504"/>
        <v>189</v>
      </c>
      <c r="CP256" s="72">
        <f t="shared" si="1505"/>
        <v>236</v>
      </c>
      <c r="CQ256" s="72">
        <f t="shared" si="1506"/>
        <v>278</v>
      </c>
      <c r="CR256" s="72">
        <f t="shared" si="1507"/>
        <v>309</v>
      </c>
      <c r="CS256" s="72">
        <f t="shared" si="1508"/>
        <v>322</v>
      </c>
      <c r="CT256" s="23">
        <f t="shared" si="1509"/>
        <v>4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1482"/>
        <v>opsd_bovin_6FK9</v>
      </c>
      <c r="B257" s="3" t="s">
        <v>920</v>
      </c>
      <c r="C257" s="3" t="s">
        <v>1485</v>
      </c>
      <c r="D257" s="3" t="str">
        <f>IFERROR(MID(VLOOKUP($B257,Seqs!$A:$B,2,0),E257,1),"")</f>
        <v>E</v>
      </c>
      <c r="E257" s="3">
        <v>33</v>
      </c>
      <c r="F257" s="3" t="str">
        <f>IFERROR(MID(VLOOKUP($B257,Seqs!$A:$B,2,0),G257,1),"")</f>
        <v>Q</v>
      </c>
      <c r="G257" s="3">
        <v>64</v>
      </c>
      <c r="H257" s="3" t="str">
        <f>IFERROR(MID(VLOOKUP($B257,Seqs!$A:$B,2,0),I257,1),"")</f>
        <v>K</v>
      </c>
      <c r="I257" s="23">
        <v>66</v>
      </c>
      <c r="J257" s="3" t="str">
        <f>IFERROR(MID(VLOOKUP($B257,Seqs!$A:$B,2,0),K257,1),"")</f>
        <v>R</v>
      </c>
      <c r="K257" s="23">
        <v>69</v>
      </c>
      <c r="L257" s="3" t="str">
        <f>IFERROR(MID(VLOOKUP($B257,Seqs!$A:$B,2,0),M257,1),"")</f>
        <v>N</v>
      </c>
      <c r="M257" s="3">
        <v>73</v>
      </c>
      <c r="N257" s="3" t="str">
        <f>IFERROR(MID(VLOOKUP($B257,Seqs!$A:$B,2,0),O257,1),"")</f>
        <v>G</v>
      </c>
      <c r="O257" s="3">
        <v>101</v>
      </c>
      <c r="P257" s="3" t="str">
        <f>IFERROR(MID(VLOOKUP($B257,Seqs!$A:$B,2,0),Q257,1),"")</f>
        <v>Y</v>
      </c>
      <c r="Q257" s="3">
        <v>102</v>
      </c>
      <c r="R257" s="3" t="str">
        <f>IFERROR(MID(VLOOKUP($B257,Seqs!$A:$B,2,0),S257,1),"")</f>
        <v>G</v>
      </c>
      <c r="S257" s="3">
        <v>106</v>
      </c>
      <c r="T257" s="3" t="str">
        <f>IFERROR(MID(VLOOKUP($B257,Seqs!$A:$B,2,0),U257,1),"")</f>
        <v>P</v>
      </c>
      <c r="U257" s="3">
        <v>107</v>
      </c>
      <c r="V257" s="3" t="str">
        <f>IFERROR(MID(VLOOKUP($B257,Seqs!$A:$B,2,0),W257,1),"")</f>
        <v>K</v>
      </c>
      <c r="W257" s="3">
        <v>141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3">
        <v>149</v>
      </c>
      <c r="AD257" s="3" t="str">
        <f>IFERROR(MID(VLOOKUP($B257,Seqs!$A:$B,2,0),AE257,1),"")</f>
        <v>V</v>
      </c>
      <c r="AE257" s="3">
        <v>173</v>
      </c>
      <c r="AF257" s="3" t="str">
        <f>IFERROR(MID(VLOOKUP($B257,Seqs!$A:$B,2,0),AG257,1),"")</f>
        <v>C</v>
      </c>
      <c r="AG257" s="3">
        <v>187</v>
      </c>
      <c r="AH257" s="3" t="str">
        <f>IFERROR(MID(VLOOKUP($B257,Seqs!$A:$B,2,0),AI257,1),"")</f>
        <v>I</v>
      </c>
      <c r="AI257" s="3">
        <v>189</v>
      </c>
      <c r="AJ257" s="3" t="str">
        <f>IFERROR(MID(VLOOKUP($B257,Seqs!$A:$B,2,0),AK257,1),"")</f>
        <v>N</v>
      </c>
      <c r="AK257" s="3">
        <v>199</v>
      </c>
      <c r="AL257" s="3" t="str">
        <f>IFERROR(MID(VLOOKUP($B257,Seqs!$A:$B,2,0),AM257,1),"")</f>
        <v>Q</v>
      </c>
      <c r="AM257" s="3">
        <v>236</v>
      </c>
      <c r="AN257" s="3" t="str">
        <f>IFERROR(MID(VLOOKUP($B257,Seqs!$A:$B,2,0),AO257,1),"")</f>
        <v>S</v>
      </c>
      <c r="AO257" s="3">
        <v>240</v>
      </c>
      <c r="AP257" s="3" t="str">
        <f>IFERROR(MID(VLOOKUP($B257,Seqs!$A:$B,2,0),AQ257,1),"")</f>
        <v>H</v>
      </c>
      <c r="AQ257" s="3">
        <v>278</v>
      </c>
      <c r="AR257" s="3" t="str">
        <f>IFERROR(MID(VLOOKUP($B257,Seqs!$A:$B,2,0),AS257,1),"")</f>
        <v>G</v>
      </c>
      <c r="AS257" s="3">
        <v>284</v>
      </c>
      <c r="AT257" s="3" t="str">
        <f>IFERROR(MID(VLOOKUP($B257,Seqs!$A:$B,2,0),AU257,1),"")</f>
        <v>M</v>
      </c>
      <c r="AU257" s="3">
        <v>309</v>
      </c>
      <c r="AV257" s="3" t="str">
        <f>IFERROR(MID(VLOOKUP($B257,Seqs!$A:$B,2,0),AW257,1),"")</f>
        <v>N</v>
      </c>
      <c r="AW257" s="3">
        <v>310</v>
      </c>
      <c r="AX257" s="3" t="str">
        <f>IFERROR(MID(VLOOKUP($B257,Seqs!$A:$B,2,0),AY257,1),"")</f>
        <v>C</v>
      </c>
      <c r="AY257" s="3">
        <v>322</v>
      </c>
      <c r="AZ257" s="77" t="str">
        <f>VLOOKUP(B257,Classification!A:D,2,0)</f>
        <v>A</v>
      </c>
      <c r="BA257" s="94" t="str">
        <f>VLOOKUP(B257,Classification!A:D,4,0)</f>
        <v>Opsins</v>
      </c>
      <c r="BB257" s="27" t="b">
        <f t="shared" si="1483"/>
        <v>1</v>
      </c>
      <c r="BC257" s="23">
        <f t="shared" si="1484"/>
        <v>250</v>
      </c>
      <c r="BD257" s="2" t="s">
        <v>23</v>
      </c>
      <c r="BE257" s="3" t="s">
        <v>1292</v>
      </c>
      <c r="BF257" s="119">
        <v>2.63</v>
      </c>
      <c r="BG257" s="49" t="s">
        <v>1</v>
      </c>
      <c r="BH257" s="49" t="s">
        <v>1</v>
      </c>
      <c r="BI257" s="1"/>
      <c r="BJ257" s="70" t="s">
        <v>1288</v>
      </c>
      <c r="BK257" s="57" t="s">
        <v>1288</v>
      </c>
      <c r="BL257" s="57" t="s">
        <v>1288</v>
      </c>
      <c r="BM257" s="57" t="s">
        <v>1288</v>
      </c>
      <c r="BN257" s="57" t="s">
        <v>1288</v>
      </c>
      <c r="BO257" s="57" t="s">
        <v>1288</v>
      </c>
      <c r="BP257" s="57" t="s">
        <v>1288</v>
      </c>
      <c r="BQ257" s="57" t="s">
        <v>1288</v>
      </c>
      <c r="BR257" s="57" t="s">
        <v>1288</v>
      </c>
      <c r="BS257" s="57" t="s">
        <v>1288</v>
      </c>
      <c r="BT257" s="57" t="s">
        <v>1288</v>
      </c>
      <c r="BU257" s="57" t="s">
        <v>1288</v>
      </c>
      <c r="BV257" s="70">
        <f t="shared" si="1485"/>
        <v>33</v>
      </c>
      <c r="BW257" s="71">
        <f t="shared" si="1486"/>
        <v>66</v>
      </c>
      <c r="BX257" s="72">
        <f t="shared" si="1487"/>
        <v>73</v>
      </c>
      <c r="BY257" s="71">
        <f t="shared" si="1488"/>
        <v>102</v>
      </c>
      <c r="BZ257" s="72">
        <f t="shared" si="1489"/>
        <v>107</v>
      </c>
      <c r="CA257" s="71" t="str">
        <f t="shared" si="1490"/>
        <v>-</v>
      </c>
      <c r="CB257" s="72">
        <f t="shared" si="1491"/>
        <v>149</v>
      </c>
      <c r="CC257" s="71">
        <f t="shared" si="1492"/>
        <v>187</v>
      </c>
      <c r="CD257" s="72">
        <f t="shared" si="1493"/>
        <v>199</v>
      </c>
      <c r="CE257" s="71">
        <f t="shared" si="1494"/>
        <v>240</v>
      </c>
      <c r="CF257" s="72">
        <f t="shared" si="1495"/>
        <v>284</v>
      </c>
      <c r="CG257" s="71">
        <f t="shared" si="1496"/>
        <v>310</v>
      </c>
      <c r="CH257" s="70">
        <f t="shared" si="1497"/>
        <v>64</v>
      </c>
      <c r="CI257" s="71">
        <f t="shared" si="1498"/>
        <v>69</v>
      </c>
      <c r="CJ257" s="72">
        <f t="shared" si="1499"/>
        <v>101</v>
      </c>
      <c r="CK257" s="72">
        <f t="shared" si="1500"/>
        <v>106</v>
      </c>
      <c r="CL257" s="72">
        <f t="shared" si="1501"/>
        <v>141</v>
      </c>
      <c r="CM257" s="72" t="str">
        <f t="shared" si="1502"/>
        <v>-</v>
      </c>
      <c r="CN257" s="72">
        <f t="shared" si="1503"/>
        <v>173</v>
      </c>
      <c r="CO257" s="72">
        <f t="shared" si="1504"/>
        <v>189</v>
      </c>
      <c r="CP257" s="72">
        <f t="shared" si="1505"/>
        <v>236</v>
      </c>
      <c r="CQ257" s="72">
        <f t="shared" si="1506"/>
        <v>278</v>
      </c>
      <c r="CR257" s="72">
        <f t="shared" si="1507"/>
        <v>309</v>
      </c>
      <c r="CS257" s="72">
        <f t="shared" si="1508"/>
        <v>322</v>
      </c>
      <c r="CT257" s="23">
        <f t="shared" si="1509"/>
        <v>4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1482"/>
        <v>opsd_bovin_6FKA</v>
      </c>
      <c r="B258" s="3" t="s">
        <v>920</v>
      </c>
      <c r="C258" s="3" t="s">
        <v>1486</v>
      </c>
      <c r="D258" s="3" t="str">
        <f>IFERROR(MID(VLOOKUP($B258,Seqs!$A:$B,2,0),E258,1),"")</f>
        <v>E</v>
      </c>
      <c r="E258" s="3">
        <v>33</v>
      </c>
      <c r="F258" s="3" t="str">
        <f>IFERROR(MID(VLOOKUP($B258,Seqs!$A:$B,2,0),G258,1),"")</f>
        <v>Q</v>
      </c>
      <c r="G258" s="3">
        <v>64</v>
      </c>
      <c r="H258" s="3" t="str">
        <f>IFERROR(MID(VLOOKUP($B258,Seqs!$A:$B,2,0),I258,1),"")</f>
        <v>K</v>
      </c>
      <c r="I258" s="23">
        <v>66</v>
      </c>
      <c r="J258" s="3" t="str">
        <f>IFERROR(MID(VLOOKUP($B258,Seqs!$A:$B,2,0),K258,1),"")</f>
        <v>R</v>
      </c>
      <c r="K258" s="23">
        <v>69</v>
      </c>
      <c r="L258" s="3" t="str">
        <f>IFERROR(MID(VLOOKUP($B258,Seqs!$A:$B,2,0),M258,1),"")</f>
        <v>N</v>
      </c>
      <c r="M258" s="3">
        <v>73</v>
      </c>
      <c r="N258" s="3" t="str">
        <f>IFERROR(MID(VLOOKUP($B258,Seqs!$A:$B,2,0),O258,1),"")</f>
        <v>G</v>
      </c>
      <c r="O258" s="3">
        <v>101</v>
      </c>
      <c r="P258" s="3" t="str">
        <f>IFERROR(MID(VLOOKUP($B258,Seqs!$A:$B,2,0),Q258,1),"")</f>
        <v>Y</v>
      </c>
      <c r="Q258" s="3">
        <v>102</v>
      </c>
      <c r="R258" s="3" t="str">
        <f>IFERROR(MID(VLOOKUP($B258,Seqs!$A:$B,2,0),S258,1),"")</f>
        <v>G</v>
      </c>
      <c r="S258" s="3">
        <v>106</v>
      </c>
      <c r="T258" s="3" t="str">
        <f>IFERROR(MID(VLOOKUP($B258,Seqs!$A:$B,2,0),U258,1),"")</f>
        <v>P</v>
      </c>
      <c r="U258" s="3">
        <v>107</v>
      </c>
      <c r="V258" s="3" t="str">
        <f>IFERROR(MID(VLOOKUP($B258,Seqs!$A:$B,2,0),W258,1),"")</f>
        <v>K</v>
      </c>
      <c r="W258" s="3">
        <v>141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G</v>
      </c>
      <c r="AC258" s="3">
        <v>149</v>
      </c>
      <c r="AD258" s="3" t="str">
        <f>IFERROR(MID(VLOOKUP($B258,Seqs!$A:$B,2,0),AE258,1),"")</f>
        <v>V</v>
      </c>
      <c r="AE258" s="3">
        <v>173</v>
      </c>
      <c r="AF258" s="3" t="str">
        <f>IFERROR(MID(VLOOKUP($B258,Seqs!$A:$B,2,0),AG258,1),"")</f>
        <v>C</v>
      </c>
      <c r="AG258" s="3">
        <v>187</v>
      </c>
      <c r="AH258" s="3" t="str">
        <f>IFERROR(MID(VLOOKUP($B258,Seqs!$A:$B,2,0),AI258,1),"")</f>
        <v>I</v>
      </c>
      <c r="AI258" s="3">
        <v>189</v>
      </c>
      <c r="AJ258" s="3" t="str">
        <f>IFERROR(MID(VLOOKUP($B258,Seqs!$A:$B,2,0),AK258,1),"")</f>
        <v>N</v>
      </c>
      <c r="AK258" s="3">
        <v>199</v>
      </c>
      <c r="AL258" s="3" t="str">
        <f>IFERROR(MID(VLOOKUP($B258,Seqs!$A:$B,2,0),AM258,1),"")</f>
        <v>Q</v>
      </c>
      <c r="AM258" s="3">
        <v>236</v>
      </c>
      <c r="AN258" s="3" t="str">
        <f>IFERROR(MID(VLOOKUP($B258,Seqs!$A:$B,2,0),AO258,1),"")</f>
        <v>S</v>
      </c>
      <c r="AO258" s="3">
        <v>240</v>
      </c>
      <c r="AP258" s="3" t="str">
        <f>IFERROR(MID(VLOOKUP($B258,Seqs!$A:$B,2,0),AQ258,1),"")</f>
        <v>H</v>
      </c>
      <c r="AQ258" s="3">
        <v>278</v>
      </c>
      <c r="AR258" s="3" t="str">
        <f>IFERROR(MID(VLOOKUP($B258,Seqs!$A:$B,2,0),AS258,1),"")</f>
        <v>G</v>
      </c>
      <c r="AS258" s="3">
        <v>284</v>
      </c>
      <c r="AT258" s="3" t="str">
        <f>IFERROR(MID(VLOOKUP($B258,Seqs!$A:$B,2,0),AU258,1),"")</f>
        <v>M</v>
      </c>
      <c r="AU258" s="3">
        <v>309</v>
      </c>
      <c r="AV258" s="3" t="str">
        <f>IFERROR(MID(VLOOKUP($B258,Seqs!$A:$B,2,0),AW258,1),"")</f>
        <v>N</v>
      </c>
      <c r="AW258" s="3">
        <v>310</v>
      </c>
      <c r="AX258" s="3" t="str">
        <f>IFERROR(MID(VLOOKUP($B258,Seqs!$A:$B,2,0),AY258,1),"")</f>
        <v>C</v>
      </c>
      <c r="AY258" s="3">
        <v>322</v>
      </c>
      <c r="AZ258" s="77" t="str">
        <f>VLOOKUP(B258,Classification!A:D,2,0)</f>
        <v>A</v>
      </c>
      <c r="BA258" s="94" t="str">
        <f>VLOOKUP(B258,Classification!A:D,4,0)</f>
        <v>Opsins</v>
      </c>
      <c r="BB258" s="27" t="b">
        <f t="shared" si="1483"/>
        <v>1</v>
      </c>
      <c r="BC258" s="23">
        <f t="shared" si="1484"/>
        <v>250</v>
      </c>
      <c r="BD258" s="2" t="s">
        <v>23</v>
      </c>
      <c r="BE258" s="3" t="s">
        <v>1292</v>
      </c>
      <c r="BF258" s="119">
        <v>2.7</v>
      </c>
      <c r="BG258" s="49" t="s">
        <v>1</v>
      </c>
      <c r="BH258" s="49" t="s">
        <v>1</v>
      </c>
      <c r="BI258" s="1"/>
      <c r="BJ258" s="70" t="s">
        <v>1288</v>
      </c>
      <c r="BK258" s="57" t="s">
        <v>1288</v>
      </c>
      <c r="BL258" s="57" t="s">
        <v>1288</v>
      </c>
      <c r="BM258" s="57" t="s">
        <v>1288</v>
      </c>
      <c r="BN258" s="57" t="s">
        <v>1288</v>
      </c>
      <c r="BO258" s="57" t="s">
        <v>1288</v>
      </c>
      <c r="BP258" s="57" t="s">
        <v>1288</v>
      </c>
      <c r="BQ258" s="57" t="s">
        <v>1288</v>
      </c>
      <c r="BR258" s="57" t="s">
        <v>1288</v>
      </c>
      <c r="BS258" s="57" t="s">
        <v>1288</v>
      </c>
      <c r="BT258" s="57" t="s">
        <v>1288</v>
      </c>
      <c r="BU258" s="57" t="s">
        <v>1288</v>
      </c>
      <c r="BV258" s="70">
        <f t="shared" si="1485"/>
        <v>33</v>
      </c>
      <c r="BW258" s="71">
        <f t="shared" si="1486"/>
        <v>66</v>
      </c>
      <c r="BX258" s="72">
        <f t="shared" si="1487"/>
        <v>73</v>
      </c>
      <c r="BY258" s="71">
        <f t="shared" si="1488"/>
        <v>102</v>
      </c>
      <c r="BZ258" s="72">
        <f t="shared" si="1489"/>
        <v>107</v>
      </c>
      <c r="CA258" s="71" t="str">
        <f t="shared" si="1490"/>
        <v>-</v>
      </c>
      <c r="CB258" s="72">
        <f t="shared" si="1491"/>
        <v>149</v>
      </c>
      <c r="CC258" s="71">
        <f t="shared" si="1492"/>
        <v>187</v>
      </c>
      <c r="CD258" s="72">
        <f t="shared" si="1493"/>
        <v>199</v>
      </c>
      <c r="CE258" s="71">
        <f t="shared" si="1494"/>
        <v>240</v>
      </c>
      <c r="CF258" s="72">
        <f t="shared" si="1495"/>
        <v>284</v>
      </c>
      <c r="CG258" s="71">
        <f t="shared" si="1496"/>
        <v>310</v>
      </c>
      <c r="CH258" s="70">
        <f t="shared" si="1497"/>
        <v>64</v>
      </c>
      <c r="CI258" s="71">
        <f t="shared" si="1498"/>
        <v>69</v>
      </c>
      <c r="CJ258" s="72">
        <f t="shared" si="1499"/>
        <v>101</v>
      </c>
      <c r="CK258" s="72">
        <f t="shared" si="1500"/>
        <v>106</v>
      </c>
      <c r="CL258" s="72">
        <f t="shared" si="1501"/>
        <v>141</v>
      </c>
      <c r="CM258" s="72" t="str">
        <f t="shared" si="1502"/>
        <v>-</v>
      </c>
      <c r="CN258" s="72">
        <f t="shared" si="1503"/>
        <v>173</v>
      </c>
      <c r="CO258" s="72">
        <f t="shared" si="1504"/>
        <v>189</v>
      </c>
      <c r="CP258" s="72">
        <f t="shared" si="1505"/>
        <v>236</v>
      </c>
      <c r="CQ258" s="72">
        <f t="shared" si="1506"/>
        <v>278</v>
      </c>
      <c r="CR258" s="72">
        <f t="shared" si="1507"/>
        <v>309</v>
      </c>
      <c r="CS258" s="72">
        <f t="shared" si="1508"/>
        <v>322</v>
      </c>
      <c r="CT258" s="23">
        <f t="shared" si="1509"/>
        <v>4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x14ac:dyDescent="0.2">
      <c r="A259" s="3" t="str">
        <f t="shared" si="1482"/>
        <v>opsd_bovin_6FKB</v>
      </c>
      <c r="B259" s="3" t="s">
        <v>920</v>
      </c>
      <c r="C259" s="3" t="s">
        <v>1487</v>
      </c>
      <c r="D259" s="3" t="str">
        <f>IFERROR(MID(VLOOKUP($B259,Seqs!$A:$B,2,0),E259,1),"")</f>
        <v>E</v>
      </c>
      <c r="E259" s="3">
        <v>33</v>
      </c>
      <c r="F259" s="3" t="str">
        <f>IFERROR(MID(VLOOKUP($B259,Seqs!$A:$B,2,0),G259,1),"")</f>
        <v>Q</v>
      </c>
      <c r="G259" s="3">
        <v>64</v>
      </c>
      <c r="H259" s="3" t="str">
        <f>IFERROR(MID(VLOOKUP($B259,Seqs!$A:$B,2,0),I259,1),"")</f>
        <v>K</v>
      </c>
      <c r="I259" s="23">
        <v>66</v>
      </c>
      <c r="J259" s="3" t="str">
        <f>IFERROR(MID(VLOOKUP($B259,Seqs!$A:$B,2,0),K259,1),"")</f>
        <v>R</v>
      </c>
      <c r="K259" s="23">
        <v>69</v>
      </c>
      <c r="L259" s="3" t="str">
        <f>IFERROR(MID(VLOOKUP($B259,Seqs!$A:$B,2,0),M259,1),"")</f>
        <v>N</v>
      </c>
      <c r="M259" s="3">
        <v>73</v>
      </c>
      <c r="N259" s="3" t="str">
        <f>IFERROR(MID(VLOOKUP($B259,Seqs!$A:$B,2,0),O259,1),"")</f>
        <v>G</v>
      </c>
      <c r="O259" s="3">
        <v>101</v>
      </c>
      <c r="P259" s="3" t="str">
        <f>IFERROR(MID(VLOOKUP($B259,Seqs!$A:$B,2,0),Q259,1),"")</f>
        <v>Y</v>
      </c>
      <c r="Q259" s="3">
        <v>102</v>
      </c>
      <c r="R259" s="3" t="str">
        <f>IFERROR(MID(VLOOKUP($B259,Seqs!$A:$B,2,0),S259,1),"")</f>
        <v>G</v>
      </c>
      <c r="S259" s="3">
        <v>106</v>
      </c>
      <c r="T259" s="3" t="str">
        <f>IFERROR(MID(VLOOKUP($B259,Seqs!$A:$B,2,0),U259,1),"")</f>
        <v>P</v>
      </c>
      <c r="U259" s="3">
        <v>107</v>
      </c>
      <c r="V259" s="3" t="str">
        <f>IFERROR(MID(VLOOKUP($B259,Seqs!$A:$B,2,0),W259,1),"")</f>
        <v>K</v>
      </c>
      <c r="W259" s="3">
        <v>141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3">
        <v>149</v>
      </c>
      <c r="AD259" s="3" t="str">
        <f>IFERROR(MID(VLOOKUP($B259,Seqs!$A:$B,2,0),AE259,1),"")</f>
        <v>V</v>
      </c>
      <c r="AE259" s="3">
        <v>173</v>
      </c>
      <c r="AF259" s="3" t="str">
        <f>IFERROR(MID(VLOOKUP($B259,Seqs!$A:$B,2,0),AG259,1),"")</f>
        <v>C</v>
      </c>
      <c r="AG259" s="3">
        <v>187</v>
      </c>
      <c r="AH259" s="3" t="str">
        <f>IFERROR(MID(VLOOKUP($B259,Seqs!$A:$B,2,0),AI259,1),"")</f>
        <v>I</v>
      </c>
      <c r="AI259" s="3">
        <v>189</v>
      </c>
      <c r="AJ259" s="3" t="str">
        <f>IFERROR(MID(VLOOKUP($B259,Seqs!$A:$B,2,0),AK259,1),"")</f>
        <v>N</v>
      </c>
      <c r="AK259" s="3">
        <v>199</v>
      </c>
      <c r="AL259" s="3" t="str">
        <f>IFERROR(MID(VLOOKUP($B259,Seqs!$A:$B,2,0),AM259,1),"")</f>
        <v>Q</v>
      </c>
      <c r="AM259" s="3">
        <v>236</v>
      </c>
      <c r="AN259" s="3" t="str">
        <f>IFERROR(MID(VLOOKUP($B259,Seqs!$A:$B,2,0),AO259,1),"")</f>
        <v>S</v>
      </c>
      <c r="AO259" s="3">
        <v>240</v>
      </c>
      <c r="AP259" s="3" t="str">
        <f>IFERROR(MID(VLOOKUP($B259,Seqs!$A:$B,2,0),AQ259,1),"")</f>
        <v>H</v>
      </c>
      <c r="AQ259" s="3">
        <v>278</v>
      </c>
      <c r="AR259" s="3" t="str">
        <f>IFERROR(MID(VLOOKUP($B259,Seqs!$A:$B,2,0),AS259,1),"")</f>
        <v>G</v>
      </c>
      <c r="AS259" s="3">
        <v>284</v>
      </c>
      <c r="AT259" s="3" t="str">
        <f>IFERROR(MID(VLOOKUP($B259,Seqs!$A:$B,2,0),AU259,1),"")</f>
        <v>M</v>
      </c>
      <c r="AU259" s="3">
        <v>309</v>
      </c>
      <c r="AV259" s="3" t="str">
        <f>IFERROR(MID(VLOOKUP($B259,Seqs!$A:$B,2,0),AW259,1),"")</f>
        <v>N</v>
      </c>
      <c r="AW259" s="3">
        <v>310</v>
      </c>
      <c r="AX259" s="3" t="str">
        <f>IFERROR(MID(VLOOKUP($B259,Seqs!$A:$B,2,0),AY259,1),"")</f>
        <v>C</v>
      </c>
      <c r="AY259" s="3">
        <v>322</v>
      </c>
      <c r="AZ259" s="77" t="str">
        <f>VLOOKUP(B259,Classification!A:D,2,0)</f>
        <v>A</v>
      </c>
      <c r="BA259" s="94" t="str">
        <f>VLOOKUP(B259,Classification!A:D,4,0)</f>
        <v>Opsins</v>
      </c>
      <c r="BB259" s="27" t="b">
        <f t="shared" si="1483"/>
        <v>1</v>
      </c>
      <c r="BC259" s="23">
        <f t="shared" si="1484"/>
        <v>250</v>
      </c>
      <c r="BD259" s="2" t="s">
        <v>23</v>
      </c>
      <c r="BE259" s="3" t="s">
        <v>1292</v>
      </c>
      <c r="BF259" s="119">
        <v>3.03</v>
      </c>
      <c r="BG259" s="49" t="s">
        <v>1</v>
      </c>
      <c r="BH259" s="49" t="s">
        <v>1</v>
      </c>
      <c r="BI259" s="1"/>
      <c r="BJ259" s="70" t="s">
        <v>1288</v>
      </c>
      <c r="BK259" s="57" t="s">
        <v>1288</v>
      </c>
      <c r="BL259" s="57" t="s">
        <v>1288</v>
      </c>
      <c r="BM259" s="57" t="s">
        <v>1288</v>
      </c>
      <c r="BN259" s="57" t="s">
        <v>1288</v>
      </c>
      <c r="BO259" s="57" t="s">
        <v>1288</v>
      </c>
      <c r="BP259" s="57" t="s">
        <v>1288</v>
      </c>
      <c r="BQ259" s="57" t="s">
        <v>1288</v>
      </c>
      <c r="BR259" s="57" t="s">
        <v>1288</v>
      </c>
      <c r="BS259" s="57" t="s">
        <v>1288</v>
      </c>
      <c r="BT259" s="57" t="s">
        <v>1288</v>
      </c>
      <c r="BU259" s="57" t="s">
        <v>1288</v>
      </c>
      <c r="BV259" s="70">
        <f t="shared" si="1485"/>
        <v>33</v>
      </c>
      <c r="BW259" s="71">
        <f t="shared" si="1486"/>
        <v>66</v>
      </c>
      <c r="BX259" s="72">
        <f t="shared" si="1487"/>
        <v>73</v>
      </c>
      <c r="BY259" s="71">
        <f t="shared" si="1488"/>
        <v>102</v>
      </c>
      <c r="BZ259" s="72">
        <f t="shared" si="1489"/>
        <v>107</v>
      </c>
      <c r="CA259" s="71" t="str">
        <f t="shared" si="1490"/>
        <v>-</v>
      </c>
      <c r="CB259" s="72">
        <f t="shared" si="1491"/>
        <v>149</v>
      </c>
      <c r="CC259" s="71">
        <f t="shared" si="1492"/>
        <v>187</v>
      </c>
      <c r="CD259" s="72">
        <f t="shared" si="1493"/>
        <v>199</v>
      </c>
      <c r="CE259" s="71">
        <f t="shared" si="1494"/>
        <v>240</v>
      </c>
      <c r="CF259" s="72">
        <f t="shared" si="1495"/>
        <v>284</v>
      </c>
      <c r="CG259" s="71">
        <f t="shared" si="1496"/>
        <v>310</v>
      </c>
      <c r="CH259" s="70">
        <f t="shared" si="1497"/>
        <v>64</v>
      </c>
      <c r="CI259" s="71">
        <f t="shared" si="1498"/>
        <v>69</v>
      </c>
      <c r="CJ259" s="72">
        <f t="shared" si="1499"/>
        <v>101</v>
      </c>
      <c r="CK259" s="72">
        <f t="shared" si="1500"/>
        <v>106</v>
      </c>
      <c r="CL259" s="72">
        <f t="shared" si="1501"/>
        <v>141</v>
      </c>
      <c r="CM259" s="72" t="str">
        <f t="shared" si="1502"/>
        <v>-</v>
      </c>
      <c r="CN259" s="72">
        <f t="shared" si="1503"/>
        <v>173</v>
      </c>
      <c r="CO259" s="72">
        <f t="shared" si="1504"/>
        <v>189</v>
      </c>
      <c r="CP259" s="72">
        <f t="shared" si="1505"/>
        <v>236</v>
      </c>
      <c r="CQ259" s="72">
        <f t="shared" si="1506"/>
        <v>278</v>
      </c>
      <c r="CR259" s="72">
        <f t="shared" si="1507"/>
        <v>309</v>
      </c>
      <c r="CS259" s="72">
        <f t="shared" si="1508"/>
        <v>322</v>
      </c>
      <c r="CT259" s="23">
        <f t="shared" si="1509"/>
        <v>4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30" x14ac:dyDescent="0.2">
      <c r="A260" s="3" t="str">
        <f t="shared" si="1482"/>
        <v>opsd_bovin_6FKC</v>
      </c>
      <c r="B260" s="3" t="s">
        <v>920</v>
      </c>
      <c r="C260" s="3" t="s">
        <v>1488</v>
      </c>
      <c r="D260" s="3" t="str">
        <f>IFERROR(MID(VLOOKUP($B260,Seqs!$A:$B,2,0),E260,1),"")</f>
        <v>E</v>
      </c>
      <c r="E260" s="3">
        <v>33</v>
      </c>
      <c r="F260" s="3" t="str">
        <f>IFERROR(MID(VLOOKUP($B260,Seqs!$A:$B,2,0),G260,1),"")</f>
        <v>Q</v>
      </c>
      <c r="G260" s="3">
        <v>64</v>
      </c>
      <c r="H260" s="3" t="str">
        <f>IFERROR(MID(VLOOKUP($B260,Seqs!$A:$B,2,0),I260,1),"")</f>
        <v>K</v>
      </c>
      <c r="I260" s="23">
        <v>66</v>
      </c>
      <c r="J260" s="3" t="str">
        <f>IFERROR(MID(VLOOKUP($B260,Seqs!$A:$B,2,0),K260,1),"")</f>
        <v>R</v>
      </c>
      <c r="K260" s="23">
        <v>69</v>
      </c>
      <c r="L260" s="3" t="str">
        <f>IFERROR(MID(VLOOKUP($B260,Seqs!$A:$B,2,0),M260,1),"")</f>
        <v>N</v>
      </c>
      <c r="M260" s="3">
        <v>73</v>
      </c>
      <c r="N260" s="3" t="str">
        <f>IFERROR(MID(VLOOKUP($B260,Seqs!$A:$B,2,0),O260,1),"")</f>
        <v>G</v>
      </c>
      <c r="O260" s="3">
        <v>101</v>
      </c>
      <c r="P260" s="3" t="str">
        <f>IFERROR(MID(VLOOKUP($B260,Seqs!$A:$B,2,0),Q260,1),"")</f>
        <v>Y</v>
      </c>
      <c r="Q260" s="3">
        <v>102</v>
      </c>
      <c r="R260" s="3" t="str">
        <f>IFERROR(MID(VLOOKUP($B260,Seqs!$A:$B,2,0),S260,1),"")</f>
        <v>G</v>
      </c>
      <c r="S260" s="3">
        <v>106</v>
      </c>
      <c r="T260" s="3" t="str">
        <f>IFERROR(MID(VLOOKUP($B260,Seqs!$A:$B,2,0),U260,1),"")</f>
        <v>P</v>
      </c>
      <c r="U260" s="3">
        <v>107</v>
      </c>
      <c r="V260" s="3" t="str">
        <f>IFERROR(MID(VLOOKUP($B260,Seqs!$A:$B,2,0),W260,1),"")</f>
        <v>K</v>
      </c>
      <c r="W260" s="3">
        <v>141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G</v>
      </c>
      <c r="AC260" s="3">
        <v>149</v>
      </c>
      <c r="AD260" s="3" t="str">
        <f>IFERROR(MID(VLOOKUP($B260,Seqs!$A:$B,2,0),AE260,1),"")</f>
        <v>V</v>
      </c>
      <c r="AE260" s="3">
        <v>173</v>
      </c>
      <c r="AF260" s="3" t="str">
        <f>IFERROR(MID(VLOOKUP($B260,Seqs!$A:$B,2,0),AG260,1),"")</f>
        <v>C</v>
      </c>
      <c r="AG260" s="3">
        <v>187</v>
      </c>
      <c r="AH260" s="3" t="str">
        <f>IFERROR(MID(VLOOKUP($B260,Seqs!$A:$B,2,0),AI260,1),"")</f>
        <v>I</v>
      </c>
      <c r="AI260" s="3">
        <v>189</v>
      </c>
      <c r="AJ260" s="3" t="str">
        <f>IFERROR(MID(VLOOKUP($B260,Seqs!$A:$B,2,0),AK260,1),"")</f>
        <v>N</v>
      </c>
      <c r="AK260" s="3">
        <v>199</v>
      </c>
      <c r="AL260" s="3" t="str">
        <f>IFERROR(MID(VLOOKUP($B260,Seqs!$A:$B,2,0),AM260,1),"")</f>
        <v>Q</v>
      </c>
      <c r="AM260" s="3">
        <v>236</v>
      </c>
      <c r="AN260" s="3" t="str">
        <f>IFERROR(MID(VLOOKUP($B260,Seqs!$A:$B,2,0),AO260,1),"")</f>
        <v>S</v>
      </c>
      <c r="AO260" s="3">
        <v>240</v>
      </c>
      <c r="AP260" s="3" t="str">
        <f>IFERROR(MID(VLOOKUP($B260,Seqs!$A:$B,2,0),AQ260,1),"")</f>
        <v>H</v>
      </c>
      <c r="AQ260" s="3">
        <v>278</v>
      </c>
      <c r="AR260" s="3" t="str">
        <f>IFERROR(MID(VLOOKUP($B260,Seqs!$A:$B,2,0),AS260,1),"")</f>
        <v>G</v>
      </c>
      <c r="AS260" s="3">
        <v>284</v>
      </c>
      <c r="AT260" s="3" t="str">
        <f>IFERROR(MID(VLOOKUP($B260,Seqs!$A:$B,2,0),AU260,1),"")</f>
        <v>M</v>
      </c>
      <c r="AU260" s="3">
        <v>309</v>
      </c>
      <c r="AV260" s="3" t="str">
        <f>IFERROR(MID(VLOOKUP($B260,Seqs!$A:$B,2,0),AW260,1),"")</f>
        <v>N</v>
      </c>
      <c r="AW260" s="3">
        <v>310</v>
      </c>
      <c r="AX260" s="3" t="str">
        <f>IFERROR(MID(VLOOKUP($B260,Seqs!$A:$B,2,0),AY260,1),"")</f>
        <v>C</v>
      </c>
      <c r="AY260" s="3">
        <v>322</v>
      </c>
      <c r="AZ260" s="77" t="str">
        <f>VLOOKUP(B260,Classification!A:D,2,0)</f>
        <v>A</v>
      </c>
      <c r="BA260" s="94" t="str">
        <f>VLOOKUP(B260,Classification!A:D,4,0)</f>
        <v>Opsins</v>
      </c>
      <c r="BB260" s="27" t="b">
        <f t="shared" si="1483"/>
        <v>1</v>
      </c>
      <c r="BC260" s="23">
        <f t="shared" si="1484"/>
        <v>250</v>
      </c>
      <c r="BD260" s="2" t="s">
        <v>23</v>
      </c>
      <c r="BE260" s="3" t="s">
        <v>1292</v>
      </c>
      <c r="BF260" s="119">
        <v>2.46</v>
      </c>
      <c r="BG260" s="49" t="s">
        <v>1</v>
      </c>
      <c r="BH260" s="49" t="s">
        <v>1</v>
      </c>
      <c r="BI260" s="1"/>
      <c r="BJ260" s="70" t="s">
        <v>1288</v>
      </c>
      <c r="BK260" s="57" t="s">
        <v>1288</v>
      </c>
      <c r="BL260" s="57" t="s">
        <v>1288</v>
      </c>
      <c r="BM260" s="57" t="s">
        <v>1288</v>
      </c>
      <c r="BN260" s="57" t="s">
        <v>1288</v>
      </c>
      <c r="BO260" s="57" t="s">
        <v>1288</v>
      </c>
      <c r="BP260" s="57" t="s">
        <v>1288</v>
      </c>
      <c r="BQ260" s="57" t="s">
        <v>1288</v>
      </c>
      <c r="BR260" s="57" t="s">
        <v>1288</v>
      </c>
      <c r="BS260" s="57" t="s">
        <v>1288</v>
      </c>
      <c r="BT260" s="57" t="s">
        <v>1288</v>
      </c>
      <c r="BU260" s="57" t="s">
        <v>1288</v>
      </c>
      <c r="BV260" s="70">
        <f t="shared" si="1485"/>
        <v>33</v>
      </c>
      <c r="BW260" s="71">
        <f t="shared" si="1486"/>
        <v>66</v>
      </c>
      <c r="BX260" s="72">
        <f t="shared" si="1487"/>
        <v>73</v>
      </c>
      <c r="BY260" s="71">
        <f t="shared" si="1488"/>
        <v>102</v>
      </c>
      <c r="BZ260" s="72">
        <f t="shared" si="1489"/>
        <v>107</v>
      </c>
      <c r="CA260" s="71" t="str">
        <f t="shared" si="1490"/>
        <v>-</v>
      </c>
      <c r="CB260" s="72">
        <f t="shared" si="1491"/>
        <v>149</v>
      </c>
      <c r="CC260" s="71">
        <f t="shared" si="1492"/>
        <v>187</v>
      </c>
      <c r="CD260" s="72">
        <f t="shared" si="1493"/>
        <v>199</v>
      </c>
      <c r="CE260" s="71">
        <f t="shared" si="1494"/>
        <v>240</v>
      </c>
      <c r="CF260" s="72">
        <f t="shared" si="1495"/>
        <v>284</v>
      </c>
      <c r="CG260" s="71">
        <f t="shared" si="1496"/>
        <v>310</v>
      </c>
      <c r="CH260" s="70">
        <f t="shared" si="1497"/>
        <v>64</v>
      </c>
      <c r="CI260" s="71">
        <f t="shared" si="1498"/>
        <v>69</v>
      </c>
      <c r="CJ260" s="72">
        <f t="shared" si="1499"/>
        <v>101</v>
      </c>
      <c r="CK260" s="72">
        <f t="shared" si="1500"/>
        <v>106</v>
      </c>
      <c r="CL260" s="72">
        <f t="shared" si="1501"/>
        <v>141</v>
      </c>
      <c r="CM260" s="72" t="str">
        <f t="shared" si="1502"/>
        <v>-</v>
      </c>
      <c r="CN260" s="72">
        <f t="shared" si="1503"/>
        <v>173</v>
      </c>
      <c r="CO260" s="72">
        <f t="shared" si="1504"/>
        <v>189</v>
      </c>
      <c r="CP260" s="72">
        <f t="shared" si="1505"/>
        <v>236</v>
      </c>
      <c r="CQ260" s="72">
        <f t="shared" si="1506"/>
        <v>278</v>
      </c>
      <c r="CR260" s="72">
        <f t="shared" si="1507"/>
        <v>309</v>
      </c>
      <c r="CS260" s="72">
        <f t="shared" si="1508"/>
        <v>322</v>
      </c>
      <c r="CT260" s="23">
        <f t="shared" si="1509"/>
        <v>4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30" x14ac:dyDescent="0.2">
      <c r="A261" s="3" t="str">
        <f t="shared" si="1482"/>
        <v>opsd_bovin_6FKD</v>
      </c>
      <c r="B261" s="3" t="s">
        <v>920</v>
      </c>
      <c r="C261" s="3" t="s">
        <v>1489</v>
      </c>
      <c r="D261" s="3" t="str">
        <f>IFERROR(MID(VLOOKUP($B261,Seqs!$A:$B,2,0),E261,1),"")</f>
        <v>E</v>
      </c>
      <c r="E261" s="3">
        <v>33</v>
      </c>
      <c r="F261" s="3" t="str">
        <f>IFERROR(MID(VLOOKUP($B261,Seqs!$A:$B,2,0),G261,1),"")</f>
        <v>Q</v>
      </c>
      <c r="G261" s="3">
        <v>64</v>
      </c>
      <c r="H261" s="3" t="str">
        <f>IFERROR(MID(VLOOKUP($B261,Seqs!$A:$B,2,0),I261,1),"")</f>
        <v>K</v>
      </c>
      <c r="I261" s="23">
        <v>66</v>
      </c>
      <c r="J261" s="3" t="str">
        <f>IFERROR(MID(VLOOKUP($B261,Seqs!$A:$B,2,0),K261,1),"")</f>
        <v>R</v>
      </c>
      <c r="K261" s="23">
        <v>69</v>
      </c>
      <c r="L261" s="3" t="str">
        <f>IFERROR(MID(VLOOKUP($B261,Seqs!$A:$B,2,0),M261,1),"")</f>
        <v>N</v>
      </c>
      <c r="M261" s="3">
        <v>73</v>
      </c>
      <c r="N261" s="3" t="str">
        <f>IFERROR(MID(VLOOKUP($B261,Seqs!$A:$B,2,0),O261,1),"")</f>
        <v>G</v>
      </c>
      <c r="O261" s="3">
        <v>101</v>
      </c>
      <c r="P261" s="3" t="str">
        <f>IFERROR(MID(VLOOKUP($B261,Seqs!$A:$B,2,0),Q261,1),"")</f>
        <v>Y</v>
      </c>
      <c r="Q261" s="3">
        <v>102</v>
      </c>
      <c r="R261" s="3" t="str">
        <f>IFERROR(MID(VLOOKUP($B261,Seqs!$A:$B,2,0),S261,1),"")</f>
        <v>G</v>
      </c>
      <c r="S261" s="3">
        <v>106</v>
      </c>
      <c r="T261" s="3" t="str">
        <f>IFERROR(MID(VLOOKUP($B261,Seqs!$A:$B,2,0),U261,1),"")</f>
        <v>P</v>
      </c>
      <c r="U261" s="3">
        <v>107</v>
      </c>
      <c r="V261" s="3" t="str">
        <f>IFERROR(MID(VLOOKUP($B261,Seqs!$A:$B,2,0),W261,1),"")</f>
        <v>K</v>
      </c>
      <c r="W261" s="3">
        <v>141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3">
        <v>149</v>
      </c>
      <c r="AD261" s="3" t="str">
        <f>IFERROR(MID(VLOOKUP($B261,Seqs!$A:$B,2,0),AE261,1),"")</f>
        <v>V</v>
      </c>
      <c r="AE261" s="3">
        <v>173</v>
      </c>
      <c r="AF261" s="3" t="str">
        <f>IFERROR(MID(VLOOKUP($B261,Seqs!$A:$B,2,0),AG261,1),"")</f>
        <v>C</v>
      </c>
      <c r="AG261" s="3">
        <v>187</v>
      </c>
      <c r="AH261" s="3" t="str">
        <f>IFERROR(MID(VLOOKUP($B261,Seqs!$A:$B,2,0),AI261,1),"")</f>
        <v>I</v>
      </c>
      <c r="AI261" s="3">
        <v>189</v>
      </c>
      <c r="AJ261" s="3" t="str">
        <f>IFERROR(MID(VLOOKUP($B261,Seqs!$A:$B,2,0),AK261,1),"")</f>
        <v>N</v>
      </c>
      <c r="AK261" s="3">
        <v>199</v>
      </c>
      <c r="AL261" s="3" t="str">
        <f>IFERROR(MID(VLOOKUP($B261,Seqs!$A:$B,2,0),AM261,1),"")</f>
        <v>Q</v>
      </c>
      <c r="AM261" s="3">
        <v>236</v>
      </c>
      <c r="AN261" s="3" t="str">
        <f>IFERROR(MID(VLOOKUP($B261,Seqs!$A:$B,2,0),AO261,1),"")</f>
        <v>S</v>
      </c>
      <c r="AO261" s="3">
        <v>240</v>
      </c>
      <c r="AP261" s="3" t="str">
        <f>IFERROR(MID(VLOOKUP($B261,Seqs!$A:$B,2,0),AQ261,1),"")</f>
        <v>H</v>
      </c>
      <c r="AQ261" s="3">
        <v>278</v>
      </c>
      <c r="AR261" s="3" t="str">
        <f>IFERROR(MID(VLOOKUP($B261,Seqs!$A:$B,2,0),AS261,1),"")</f>
        <v>G</v>
      </c>
      <c r="AS261" s="3">
        <v>284</v>
      </c>
      <c r="AT261" s="3" t="str">
        <f>IFERROR(MID(VLOOKUP($B261,Seqs!$A:$B,2,0),AU261,1),"")</f>
        <v>M</v>
      </c>
      <c r="AU261" s="3">
        <v>309</v>
      </c>
      <c r="AV261" s="3" t="str">
        <f>IFERROR(MID(VLOOKUP($B261,Seqs!$A:$B,2,0),AW261,1),"")</f>
        <v>N</v>
      </c>
      <c r="AW261" s="3">
        <v>310</v>
      </c>
      <c r="AX261" s="3" t="str">
        <f>IFERROR(MID(VLOOKUP($B261,Seqs!$A:$B,2,0),AY261,1),"")</f>
        <v>C</v>
      </c>
      <c r="AY261" s="3">
        <v>322</v>
      </c>
      <c r="AZ261" s="77" t="str">
        <f>VLOOKUP(B261,Classification!A:D,2,0)</f>
        <v>A</v>
      </c>
      <c r="BA261" s="94" t="str">
        <f>VLOOKUP(B261,Classification!A:D,4,0)</f>
        <v>Opsins</v>
      </c>
      <c r="BB261" s="27" t="b">
        <f t="shared" si="1483"/>
        <v>1</v>
      </c>
      <c r="BC261" s="23">
        <f t="shared" si="1484"/>
        <v>250</v>
      </c>
      <c r="BD261" s="2" t="s">
        <v>23</v>
      </c>
      <c r="BE261" s="3" t="s">
        <v>1292</v>
      </c>
      <c r="BF261" s="119">
        <v>2.4900000000000002</v>
      </c>
      <c r="BG261" s="49" t="s">
        <v>1</v>
      </c>
      <c r="BH261" s="49" t="s">
        <v>1</v>
      </c>
      <c r="BI261" s="1"/>
      <c r="BJ261" s="70" t="s">
        <v>1288</v>
      </c>
      <c r="BK261" s="57" t="s">
        <v>1288</v>
      </c>
      <c r="BL261" s="57" t="s">
        <v>1288</v>
      </c>
      <c r="BM261" s="57" t="s">
        <v>1288</v>
      </c>
      <c r="BN261" s="57" t="s">
        <v>1288</v>
      </c>
      <c r="BO261" s="57" t="s">
        <v>1288</v>
      </c>
      <c r="BP261" s="57" t="s">
        <v>1288</v>
      </c>
      <c r="BQ261" s="57" t="s">
        <v>1288</v>
      </c>
      <c r="BR261" s="57" t="s">
        <v>1288</v>
      </c>
      <c r="BS261" s="57" t="s">
        <v>1288</v>
      </c>
      <c r="BT261" s="57" t="s">
        <v>1288</v>
      </c>
      <c r="BU261" s="57" t="s">
        <v>1288</v>
      </c>
      <c r="BV261" s="70">
        <f t="shared" si="1485"/>
        <v>33</v>
      </c>
      <c r="BW261" s="71">
        <f t="shared" si="1486"/>
        <v>66</v>
      </c>
      <c r="BX261" s="72">
        <f t="shared" si="1487"/>
        <v>73</v>
      </c>
      <c r="BY261" s="71">
        <f t="shared" si="1488"/>
        <v>102</v>
      </c>
      <c r="BZ261" s="72">
        <f t="shared" si="1489"/>
        <v>107</v>
      </c>
      <c r="CA261" s="71" t="str">
        <f t="shared" si="1490"/>
        <v>-</v>
      </c>
      <c r="CB261" s="72">
        <f t="shared" si="1491"/>
        <v>149</v>
      </c>
      <c r="CC261" s="71">
        <f t="shared" si="1492"/>
        <v>187</v>
      </c>
      <c r="CD261" s="72">
        <f t="shared" si="1493"/>
        <v>199</v>
      </c>
      <c r="CE261" s="71">
        <f t="shared" si="1494"/>
        <v>240</v>
      </c>
      <c r="CF261" s="72">
        <f t="shared" si="1495"/>
        <v>284</v>
      </c>
      <c r="CG261" s="71">
        <f t="shared" si="1496"/>
        <v>310</v>
      </c>
      <c r="CH261" s="70">
        <f t="shared" si="1497"/>
        <v>64</v>
      </c>
      <c r="CI261" s="71">
        <f t="shared" si="1498"/>
        <v>69</v>
      </c>
      <c r="CJ261" s="72">
        <f t="shared" si="1499"/>
        <v>101</v>
      </c>
      <c r="CK261" s="72">
        <f t="shared" si="1500"/>
        <v>106</v>
      </c>
      <c r="CL261" s="72">
        <f t="shared" si="1501"/>
        <v>141</v>
      </c>
      <c r="CM261" s="72" t="str">
        <f t="shared" si="1502"/>
        <v>-</v>
      </c>
      <c r="CN261" s="72">
        <f t="shared" si="1503"/>
        <v>173</v>
      </c>
      <c r="CO261" s="72">
        <f t="shared" si="1504"/>
        <v>189</v>
      </c>
      <c r="CP261" s="72">
        <f t="shared" si="1505"/>
        <v>236</v>
      </c>
      <c r="CQ261" s="72">
        <f t="shared" si="1506"/>
        <v>278</v>
      </c>
      <c r="CR261" s="72">
        <f t="shared" si="1507"/>
        <v>309</v>
      </c>
      <c r="CS261" s="72">
        <f t="shared" si="1508"/>
        <v>322</v>
      </c>
      <c r="CT261" s="23">
        <f t="shared" si="1509"/>
        <v>4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 t="shared" ref="A262" si="1510">CONCATENATE(B262,"_",C262)</f>
        <v>opsd_bovin_6FUF</v>
      </c>
      <c r="B262" s="3" t="s">
        <v>920</v>
      </c>
      <c r="C262" s="3" t="s">
        <v>1519</v>
      </c>
      <c r="D262" s="3" t="str">
        <f>IFERROR(MID(VLOOKUP($B262,Seqs!$A:$B,2,0),E262,1),"")</f>
        <v>E</v>
      </c>
      <c r="E262" s="3">
        <v>33</v>
      </c>
      <c r="F262" s="3" t="str">
        <f>IFERROR(MID(VLOOKUP($B262,Seqs!$A:$B,2,0),G262,1),"")</f>
        <v>H</v>
      </c>
      <c r="G262" s="3">
        <v>65</v>
      </c>
      <c r="H262" s="3" t="str">
        <f>IFERROR(MID(VLOOKUP($B262,Seqs!$A:$B,2,0),I262,1),"")</f>
        <v>K</v>
      </c>
      <c r="I262" s="23">
        <v>66</v>
      </c>
      <c r="J262" s="3" t="str">
        <f>IFERROR(MID(VLOOKUP($B262,Seqs!$A:$B,2,0),K262,1),"")</f>
        <v>R</v>
      </c>
      <c r="K262" s="23">
        <v>69</v>
      </c>
      <c r="L262" s="3" t="str">
        <f>IFERROR(MID(VLOOKUP($B262,Seqs!$A:$B,2,0),M262,1),"")</f>
        <v>N</v>
      </c>
      <c r="M262" s="3">
        <v>73</v>
      </c>
      <c r="N262" s="3" t="str">
        <f>IFERROR(MID(VLOOKUP($B262,Seqs!$A:$B,2,0),O262,1),"")</f>
        <v>G</v>
      </c>
      <c r="O262" s="3">
        <v>101</v>
      </c>
      <c r="P262" s="3" t="str">
        <f>IFERROR(MID(VLOOKUP($B262,Seqs!$A:$B,2,0),Q262,1),"")</f>
        <v>Y</v>
      </c>
      <c r="Q262" s="3">
        <v>102</v>
      </c>
      <c r="R262" s="3" t="str">
        <f>IFERROR(MID(VLOOKUP($B262,Seqs!$A:$B,2,0),S262,1),"")</f>
        <v>G</v>
      </c>
      <c r="S262" s="3">
        <v>106</v>
      </c>
      <c r="T262" s="3" t="str">
        <f>IFERROR(MID(VLOOKUP($B262,Seqs!$A:$B,2,0),U262,1),"")</f>
        <v>P</v>
      </c>
      <c r="U262" s="3">
        <v>107</v>
      </c>
      <c r="V262" s="3" t="str">
        <f>IFERROR(MID(VLOOKUP($B262,Seqs!$A:$B,2,0),W262,1),"")</f>
        <v>K</v>
      </c>
      <c r="W262" s="3">
        <v>141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G</v>
      </c>
      <c r="AC262" s="3">
        <v>149</v>
      </c>
      <c r="AD262" s="3" t="str">
        <f>IFERROR(MID(VLOOKUP($B262,Seqs!$A:$B,2,0),AE262,1),"")</f>
        <v>V</v>
      </c>
      <c r="AE262" s="3">
        <v>173</v>
      </c>
      <c r="AF262" s="3" t="str">
        <f>IFERROR(MID(VLOOKUP($B262,Seqs!$A:$B,2,0),AG262,1),"")</f>
        <v>C</v>
      </c>
      <c r="AG262" s="3">
        <v>187</v>
      </c>
      <c r="AH262" s="3" t="str">
        <f>IFERROR(MID(VLOOKUP($B262,Seqs!$A:$B,2,0),AI262,1),"")</f>
        <v>I</v>
      </c>
      <c r="AI262" s="3">
        <v>189</v>
      </c>
      <c r="AJ262" s="3" t="str">
        <f>IFERROR(MID(VLOOKUP($B262,Seqs!$A:$B,2,0),AK262,1),"")</f>
        <v>N</v>
      </c>
      <c r="AK262" s="3">
        <v>199</v>
      </c>
      <c r="AL262" s="3" t="str">
        <f>IFERROR(MID(VLOOKUP($B262,Seqs!$A:$B,2,0),AM262,1),"")</f>
        <v>Q</v>
      </c>
      <c r="AM262" s="3">
        <v>237</v>
      </c>
      <c r="AN262" s="3" t="str">
        <f>IFERROR(MID(VLOOKUP($B262,Seqs!$A:$B,2,0),AO262,1),"")</f>
        <v>S</v>
      </c>
      <c r="AO262" s="3">
        <v>240</v>
      </c>
      <c r="AP262" s="3" t="str">
        <f>IFERROR(MID(VLOOKUP($B262,Seqs!$A:$B,2,0),AQ262,1),"")</f>
        <v>H</v>
      </c>
      <c r="AQ262" s="3">
        <v>278</v>
      </c>
      <c r="AR262" s="3" t="str">
        <f>IFERROR(MID(VLOOKUP($B262,Seqs!$A:$B,2,0),AS262,1),"")</f>
        <v>T</v>
      </c>
      <c r="AS262" s="3">
        <v>289</v>
      </c>
      <c r="AT262" s="3" t="str">
        <f>IFERROR(MID(VLOOKUP($B262,Seqs!$A:$B,2,0),AU262,1),"")</f>
        <v>M</v>
      </c>
      <c r="AU262" s="3">
        <v>309</v>
      </c>
      <c r="AV262" s="3" t="str">
        <f>IFERROR(MID(VLOOKUP($B262,Seqs!$A:$B,2,0),AW262,1),"")</f>
        <v>N</v>
      </c>
      <c r="AW262" s="3">
        <v>310</v>
      </c>
      <c r="AX262" s="3" t="str">
        <f>IFERROR(MID(VLOOKUP($B262,Seqs!$A:$B,2,0),AY262,1),"")</f>
        <v>R</v>
      </c>
      <c r="AY262" s="3">
        <v>314</v>
      </c>
      <c r="AZ262" s="77" t="str">
        <f>VLOOKUP(B262,Classification!A:D,2,0)</f>
        <v>A</v>
      </c>
      <c r="BA262" s="94" t="str">
        <f>VLOOKUP(B262,Classification!A:D,4,0)</f>
        <v>Opsins</v>
      </c>
      <c r="BB262" s="27" t="b">
        <f t="shared" ref="BB262" si="1511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1512">_xlfn.AGGREGATE(9,6,CH262:CS262)-_xlfn.AGGREGATE(9,6,BV262:CG262)+12</f>
        <v>239</v>
      </c>
      <c r="BD262" s="2" t="s">
        <v>23</v>
      </c>
      <c r="BE262" s="3" t="s">
        <v>1292</v>
      </c>
      <c r="BF262" s="119">
        <v>3.12</v>
      </c>
      <c r="BG262" s="49" t="s">
        <v>1</v>
      </c>
      <c r="BH262" s="49" t="s">
        <v>1</v>
      </c>
      <c r="BI262" s="1"/>
      <c r="BJ262" s="70" t="s">
        <v>1288</v>
      </c>
      <c r="BK262" s="57" t="s">
        <v>1288</v>
      </c>
      <c r="BL262" s="57" t="s">
        <v>1288</v>
      </c>
      <c r="BM262" s="57" t="s">
        <v>1288</v>
      </c>
      <c r="BN262" s="57" t="s">
        <v>1288</v>
      </c>
      <c r="BO262" s="57" t="s">
        <v>1288</v>
      </c>
      <c r="BP262" s="57" t="s">
        <v>1288</v>
      </c>
      <c r="BQ262" s="57" t="s">
        <v>1288</v>
      </c>
      <c r="BR262" s="57" t="s">
        <v>1288</v>
      </c>
      <c r="BS262" s="57" t="s">
        <v>1288</v>
      </c>
      <c r="BT262" s="57" t="s">
        <v>1288</v>
      </c>
      <c r="BU262" s="57" t="s">
        <v>1288</v>
      </c>
      <c r="BV262" s="70">
        <f t="shared" ref="BV262" si="1513">E262</f>
        <v>33</v>
      </c>
      <c r="BW262" s="71">
        <f t="shared" ref="BW262" si="1514">I262</f>
        <v>66</v>
      </c>
      <c r="BX262" s="72">
        <f t="shared" ref="BX262" si="1515">M262</f>
        <v>73</v>
      </c>
      <c r="BY262" s="71">
        <f t="shared" ref="BY262" si="1516">Q262</f>
        <v>102</v>
      </c>
      <c r="BZ262" s="72">
        <f t="shared" ref="BZ262" si="1517">U262</f>
        <v>107</v>
      </c>
      <c r="CA262" s="71" t="str">
        <f t="shared" ref="CA262" si="1518">Y262</f>
        <v>-</v>
      </c>
      <c r="CB262" s="72">
        <f t="shared" ref="CB262" si="1519">AC262</f>
        <v>149</v>
      </c>
      <c r="CC262" s="71">
        <f t="shared" ref="CC262" si="1520">AG262</f>
        <v>187</v>
      </c>
      <c r="CD262" s="72">
        <f t="shared" ref="CD262" si="1521">AK262</f>
        <v>199</v>
      </c>
      <c r="CE262" s="71">
        <f t="shared" ref="CE262" si="1522">AO262</f>
        <v>240</v>
      </c>
      <c r="CF262" s="72">
        <f t="shared" ref="CF262" si="1523">AS262</f>
        <v>289</v>
      </c>
      <c r="CG262" s="71">
        <f t="shared" ref="CG262" si="1524">AW262</f>
        <v>310</v>
      </c>
      <c r="CH262" s="70">
        <f t="shared" ref="CH262" si="1525">G262</f>
        <v>65</v>
      </c>
      <c r="CI262" s="71">
        <f t="shared" ref="CI262" si="1526">K262</f>
        <v>69</v>
      </c>
      <c r="CJ262" s="72">
        <f t="shared" ref="CJ262" si="1527">O262</f>
        <v>101</v>
      </c>
      <c r="CK262" s="72">
        <f t="shared" ref="CK262" si="1528">S262</f>
        <v>106</v>
      </c>
      <c r="CL262" s="72">
        <f t="shared" ref="CL262" si="1529">W262</f>
        <v>141</v>
      </c>
      <c r="CM262" s="72" t="str">
        <f t="shared" ref="CM262" si="1530">AA262</f>
        <v>-</v>
      </c>
      <c r="CN262" s="72">
        <f t="shared" ref="CN262" si="1531">AE262</f>
        <v>173</v>
      </c>
      <c r="CO262" s="72">
        <f t="shared" ref="CO262" si="1532">AI262</f>
        <v>189</v>
      </c>
      <c r="CP262" s="72">
        <f t="shared" ref="CP262" si="1533">AM262</f>
        <v>237</v>
      </c>
      <c r="CQ262" s="72">
        <f t="shared" ref="CQ262" si="1534">AQ262</f>
        <v>278</v>
      </c>
      <c r="CR262" s="72">
        <f t="shared" ref="CR262" si="1535">AU262</f>
        <v>309</v>
      </c>
      <c r="CS262" s="72">
        <f t="shared" ref="CS262" si="1536">AY262</f>
        <v>314</v>
      </c>
      <c r="CT262" s="23">
        <f t="shared" ref="CT262" si="1537">M262-K262</f>
        <v>4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1480"/>
        <v>opsd_human__wt</v>
      </c>
      <c r="B263" s="3" t="s">
        <v>339</v>
      </c>
      <c r="C263" s="3" t="s">
        <v>100</v>
      </c>
      <c r="D263" s="3" t="str">
        <f>IFERROR(MID(VLOOKUP($B263,Seqs!$A:$B,2,0),E263,1),"")</f>
        <v>P</v>
      </c>
      <c r="E263" s="3">
        <v>34</v>
      </c>
      <c r="F263" s="3" t="str">
        <f>IFERROR(MID(VLOOKUP($B263,Seqs!$A:$B,2,0),G263,1),"")</f>
        <v>H</v>
      </c>
      <c r="G263" s="3">
        <v>65</v>
      </c>
      <c r="H263" s="3" t="str">
        <f>IFERROR(MID(VLOOKUP($B263,Seqs!$A:$B,2,0),I263,1),"")</f>
        <v>K</v>
      </c>
      <c r="I263" s="23">
        <v>66</v>
      </c>
      <c r="J263" s="3" t="str">
        <f>IFERROR(MID(VLOOKUP($B263,Seqs!$A:$B,2,0),K263,1),"")</f>
        <v>R</v>
      </c>
      <c r="K263" s="23">
        <v>69</v>
      </c>
      <c r="L263" s="3" t="str">
        <f>IFERROR(MID(VLOOKUP($B263,Seqs!$A:$B,2,0),M263,1),"")</f>
        <v>T</v>
      </c>
      <c r="M263" s="3">
        <v>70</v>
      </c>
      <c r="N263" s="3" t="str">
        <f>IFERROR(MID(VLOOKUP($B263,Seqs!$A:$B,2,0),O263,1),"")</f>
        <v>H</v>
      </c>
      <c r="O263" s="3">
        <v>100</v>
      </c>
      <c r="P263" s="3" t="str">
        <f>IFERROR(MID(VLOOKUP($B263,Seqs!$A:$B,2,0),Q263,1),"")</f>
        <v>Y</v>
      </c>
      <c r="Q263" s="3">
        <v>102</v>
      </c>
      <c r="R263" s="3" t="str">
        <f>IFERROR(MID(VLOOKUP($B263,Seqs!$A:$B,2,0),S263,1),"")</f>
        <v>F</v>
      </c>
      <c r="S263" s="3">
        <v>105</v>
      </c>
      <c r="T263" s="3" t="str">
        <f>IFERROR(MID(VLOOKUP($B263,Seqs!$A:$B,2,0),U263,1),"")</f>
        <v>G</v>
      </c>
      <c r="U263" s="3">
        <v>106</v>
      </c>
      <c r="V263" s="3" t="str">
        <f>IFERROR(MID(VLOOKUP($B263,Seqs!$A:$B,2,0),W263,1),"")</f>
        <v>K</v>
      </c>
      <c r="W263" s="3">
        <v>141</v>
      </c>
      <c r="X263" s="3" t="str">
        <f>IFERROR(MID(VLOOKUP($B263,Seqs!$A:$B,2,0),Y263,1),"")</f>
        <v>P</v>
      </c>
      <c r="Y263" s="3">
        <v>142</v>
      </c>
      <c r="Z263" s="3" t="str">
        <f>IFERROR(MID(VLOOKUP($B263,Seqs!$A:$B,2,0),AA263,1),"")</f>
        <v>F</v>
      </c>
      <c r="AA263" s="3">
        <v>148</v>
      </c>
      <c r="AB263" s="3" t="str">
        <f>IFERROR(MID(VLOOKUP($B263,Seqs!$A:$B,2,0),AC263,1),"")</f>
        <v>G</v>
      </c>
      <c r="AC263" s="9">
        <v>149</v>
      </c>
      <c r="AD263" s="3" t="str">
        <f>IFERROR(MID(VLOOKUP($B263,Seqs!$A:$B,2,0),AE263,1),"")</f>
        <v>A</v>
      </c>
      <c r="AE263" s="3">
        <v>173</v>
      </c>
      <c r="AF263" s="3" t="str">
        <f>IFERROR(MID(VLOOKUP($B263,Seqs!$A:$B,2,0),AG263,1),"")</f>
        <v>C</v>
      </c>
      <c r="AG263" s="3">
        <v>187</v>
      </c>
      <c r="AH263" s="3" t="str">
        <f>IFERROR(MID(VLOOKUP($B263,Seqs!$A:$B,2,0),AI263,1),"")</f>
        <v>I</v>
      </c>
      <c r="AI263" s="3">
        <v>189</v>
      </c>
      <c r="AJ263" s="3" t="str">
        <f>IFERROR(MID(VLOOKUP($B263,Seqs!$A:$B,2,0),AK263,1),"")</f>
        <v>N</v>
      </c>
      <c r="AK263" s="3">
        <v>199</v>
      </c>
      <c r="AL263" s="3" t="str">
        <f>IFERROR(MID(VLOOKUP($B263,Seqs!$A:$B,2,0),AM263,1),"")</f>
        <v>Q</v>
      </c>
      <c r="AM263" s="3">
        <v>237</v>
      </c>
      <c r="AN263" s="3" t="str">
        <f>IFERROR(MID(VLOOKUP($B263,Seqs!$A:$B,2,0),AO263,1),"")</f>
        <v>A</v>
      </c>
      <c r="AO263" s="3">
        <v>241</v>
      </c>
      <c r="AP263" s="3" t="str">
        <f>IFERROR(MID(VLOOKUP($B263,Seqs!$A:$B,2,0),AQ263,1),"")</f>
        <v>H</v>
      </c>
      <c r="AQ263" s="3">
        <v>278</v>
      </c>
      <c r="AR263" s="3" t="str">
        <f>IFERROR(MID(VLOOKUP($B263,Seqs!$A:$B,2,0),AS263,1),"")</f>
        <v>G</v>
      </c>
      <c r="AS263" s="3">
        <v>284</v>
      </c>
      <c r="AT263" s="3" t="str">
        <f>IFERROR(MID(VLOOKUP($B263,Seqs!$A:$B,2,0),AU263,1),"")</f>
        <v>M</v>
      </c>
      <c r="AU263" s="3">
        <v>309</v>
      </c>
      <c r="AV263" s="3" t="str">
        <f>IFERROR(MID(VLOOKUP($B263,Seqs!$A:$B,2,0),AW263,1),"")</f>
        <v>N</v>
      </c>
      <c r="AW263" s="3">
        <v>310</v>
      </c>
      <c r="AX263" s="3" t="str">
        <f>IFERROR(MID(VLOOKUP($B263,Seqs!$A:$B,2,0),AY263,1),"")</f>
        <v>C</v>
      </c>
      <c r="AY263" s="3">
        <v>322</v>
      </c>
      <c r="AZ263" s="77" t="str">
        <f>VLOOKUP(B263,Classification!A:D,2,0)</f>
        <v>A</v>
      </c>
      <c r="BA263" s="94" t="str">
        <f>VLOOKUP(B263,Classification!A:D,4,0)</f>
        <v>Opsins</v>
      </c>
      <c r="BB263" s="27" t="b">
        <f t="shared" si="1481"/>
        <v>1</v>
      </c>
      <c r="BC263" s="23">
        <f t="shared" si="1454"/>
        <v>258</v>
      </c>
      <c r="BD263" s="56" t="s">
        <v>23</v>
      </c>
      <c r="BE263" s="3" t="s">
        <v>23</v>
      </c>
      <c r="BF263" s="119" t="s">
        <v>23</v>
      </c>
      <c r="BG263" s="49" t="s">
        <v>1373</v>
      </c>
      <c r="BH263" s="49" t="s">
        <v>1378</v>
      </c>
      <c r="BI263" s="1"/>
      <c r="BJ263" s="70" t="s">
        <v>1288</v>
      </c>
      <c r="BK263" s="57" t="s">
        <v>1288</v>
      </c>
      <c r="BL263" s="57" t="s">
        <v>1288</v>
      </c>
      <c r="BM263" s="57" t="s">
        <v>1288</v>
      </c>
      <c r="BN263" s="57" t="s">
        <v>1288</v>
      </c>
      <c r="BO263" s="57" t="s">
        <v>1288</v>
      </c>
      <c r="BP263" s="57" t="s">
        <v>1288</v>
      </c>
      <c r="BQ263" s="57" t="s">
        <v>1288</v>
      </c>
      <c r="BR263" s="57" t="s">
        <v>1288</v>
      </c>
      <c r="BS263" s="57" t="s">
        <v>1288</v>
      </c>
      <c r="BT263" s="57" t="s">
        <v>1288</v>
      </c>
      <c r="BU263" s="57" t="s">
        <v>1288</v>
      </c>
      <c r="BV263" s="70">
        <f t="shared" si="1455"/>
        <v>34</v>
      </c>
      <c r="BW263" s="71">
        <f t="shared" si="1456"/>
        <v>66</v>
      </c>
      <c r="BX263" s="72">
        <f t="shared" si="1457"/>
        <v>70</v>
      </c>
      <c r="BY263" s="71">
        <f t="shared" si="1458"/>
        <v>102</v>
      </c>
      <c r="BZ263" s="72">
        <f t="shared" si="1459"/>
        <v>106</v>
      </c>
      <c r="CA263" s="71">
        <f t="shared" si="1460"/>
        <v>142</v>
      </c>
      <c r="CB263" s="72">
        <f t="shared" si="1461"/>
        <v>149</v>
      </c>
      <c r="CC263" s="71">
        <f t="shared" si="1462"/>
        <v>187</v>
      </c>
      <c r="CD263" s="72">
        <f t="shared" si="1463"/>
        <v>199</v>
      </c>
      <c r="CE263" s="71">
        <f t="shared" si="1464"/>
        <v>241</v>
      </c>
      <c r="CF263" s="72">
        <f t="shared" si="1465"/>
        <v>284</v>
      </c>
      <c r="CG263" s="71">
        <f t="shared" si="1466"/>
        <v>310</v>
      </c>
      <c r="CH263" s="70">
        <f t="shared" si="1467"/>
        <v>65</v>
      </c>
      <c r="CI263" s="71">
        <f t="shared" si="1468"/>
        <v>69</v>
      </c>
      <c r="CJ263" s="72">
        <f t="shared" si="1469"/>
        <v>100</v>
      </c>
      <c r="CK263" s="72">
        <f t="shared" si="1470"/>
        <v>105</v>
      </c>
      <c r="CL263" s="72">
        <f t="shared" si="1471"/>
        <v>141</v>
      </c>
      <c r="CM263" s="72">
        <f t="shared" si="1472"/>
        <v>148</v>
      </c>
      <c r="CN263" s="72">
        <f t="shared" si="1473"/>
        <v>173</v>
      </c>
      <c r="CO263" s="72">
        <f t="shared" si="1474"/>
        <v>189</v>
      </c>
      <c r="CP263" s="72">
        <f t="shared" si="1475"/>
        <v>237</v>
      </c>
      <c r="CQ263" s="72">
        <f t="shared" si="1476"/>
        <v>278</v>
      </c>
      <c r="CR263" s="72">
        <f t="shared" si="1477"/>
        <v>309</v>
      </c>
      <c r="CS263" s="72">
        <f t="shared" si="1478"/>
        <v>322</v>
      </c>
      <c r="CT263" s="23">
        <f t="shared" si="1479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 t="shared" si="1480"/>
        <v>opsd_human_4ZWJ</v>
      </c>
      <c r="B264" s="3" t="s">
        <v>339</v>
      </c>
      <c r="C264" s="3" t="s">
        <v>55</v>
      </c>
      <c r="D264" s="3" t="str">
        <f>IFERROR(MID(VLOOKUP($B264,Seqs!$A:$B,2,0),E264,1),"")</f>
        <v>P</v>
      </c>
      <c r="E264" s="3">
        <v>34</v>
      </c>
      <c r="F264" s="3" t="str">
        <f>IFERROR(MID(VLOOKUP($B264,Seqs!$A:$B,2,0),G264,1),"")</f>
        <v>H</v>
      </c>
      <c r="G264" s="3">
        <v>65</v>
      </c>
      <c r="H264" s="3" t="str">
        <f>IFERROR(MID(VLOOKUP($B264,Seqs!$A:$B,2,0),I264,1),"")</f>
        <v>K</v>
      </c>
      <c r="I264" s="23">
        <v>66</v>
      </c>
      <c r="J264" s="3" t="str">
        <f>IFERROR(MID(VLOOKUP($B264,Seqs!$A:$B,2,0),K264,1),"")</f>
        <v>R</v>
      </c>
      <c r="K264" s="23">
        <v>69</v>
      </c>
      <c r="L264" s="3" t="str">
        <f>IFERROR(MID(VLOOKUP($B264,Seqs!$A:$B,2,0),M264,1),"")</f>
        <v>T</v>
      </c>
      <c r="M264" s="3">
        <v>70</v>
      </c>
      <c r="N264" s="3" t="str">
        <f>IFERROR(MID(VLOOKUP($B264,Seqs!$A:$B,2,0),O264,1),"")</f>
        <v>H</v>
      </c>
      <c r="O264" s="3">
        <v>100</v>
      </c>
      <c r="P264" s="3" t="str">
        <f>IFERROR(MID(VLOOKUP($B264,Seqs!$A:$B,2,0),Q264,1),"")</f>
        <v>Y</v>
      </c>
      <c r="Q264" s="3">
        <v>102</v>
      </c>
      <c r="R264" s="3" t="str">
        <f>IFERROR(MID(VLOOKUP($B264,Seqs!$A:$B,2,0),S264,1),"")</f>
        <v>F</v>
      </c>
      <c r="S264" s="3">
        <v>105</v>
      </c>
      <c r="T264" s="3" t="str">
        <f>IFERROR(MID(VLOOKUP($B264,Seqs!$A:$B,2,0),U264,1),"")</f>
        <v>G</v>
      </c>
      <c r="U264" s="3">
        <v>106</v>
      </c>
      <c r="V264" s="3" t="str">
        <f>IFERROR(MID(VLOOKUP($B264,Seqs!$A:$B,2,0),W264,1),"")</f>
        <v>K</v>
      </c>
      <c r="W264" s="3">
        <v>141</v>
      </c>
      <c r="X264" s="3" t="str">
        <f>IFERROR(MID(VLOOKUP($B264,Seqs!$A:$B,2,0),Y264,1),"")</f>
        <v>P</v>
      </c>
      <c r="Y264" s="3">
        <v>142</v>
      </c>
      <c r="Z264" s="3" t="str">
        <f>IFERROR(MID(VLOOKUP($B264,Seqs!$A:$B,2,0),AA264,1),"")</f>
        <v>F</v>
      </c>
      <c r="AA264" s="3">
        <v>148</v>
      </c>
      <c r="AB264" s="3" t="str">
        <f>IFERROR(MID(VLOOKUP($B264,Seqs!$A:$B,2,0),AC264,1),"")</f>
        <v>G</v>
      </c>
      <c r="AC264" s="9">
        <v>149</v>
      </c>
      <c r="AD264" s="3" t="str">
        <f>IFERROR(MID(VLOOKUP($B264,Seqs!$A:$B,2,0),AE264,1),"")</f>
        <v>A</v>
      </c>
      <c r="AE264" s="3">
        <v>173</v>
      </c>
      <c r="AF264" s="3" t="str">
        <f>IFERROR(MID(VLOOKUP($B264,Seqs!$A:$B,2,0),AG264,1),"")</f>
        <v>C</v>
      </c>
      <c r="AG264" s="3">
        <v>187</v>
      </c>
      <c r="AH264" s="3" t="str">
        <f>IFERROR(MID(VLOOKUP($B264,Seqs!$A:$B,2,0),AI264,1),"")</f>
        <v>I</v>
      </c>
      <c r="AI264" s="3">
        <v>189</v>
      </c>
      <c r="AJ264" s="3" t="str">
        <f>IFERROR(MID(VLOOKUP($B264,Seqs!$A:$B,2,0),AK264,1),"")</f>
        <v>N</v>
      </c>
      <c r="AK264" s="3">
        <v>199</v>
      </c>
      <c r="AL264" s="3" t="str">
        <f>IFERROR(MID(VLOOKUP($B264,Seqs!$A:$B,2,0),AM264,1),"")</f>
        <v>Q</v>
      </c>
      <c r="AM264" s="3">
        <v>237</v>
      </c>
      <c r="AN264" s="3" t="str">
        <f>IFERROR(MID(VLOOKUP($B264,Seqs!$A:$B,2,0),AO264,1),"")</f>
        <v>A</v>
      </c>
      <c r="AO264" s="3">
        <v>241</v>
      </c>
      <c r="AP264" s="3" t="str">
        <f>IFERROR(MID(VLOOKUP($B264,Seqs!$A:$B,2,0),AQ264,1),"")</f>
        <v>H</v>
      </c>
      <c r="AQ264" s="3">
        <v>278</v>
      </c>
      <c r="AR264" s="3" t="str">
        <f>IFERROR(MID(VLOOKUP($B264,Seqs!$A:$B,2,0),AS264,1),"")</f>
        <v>G</v>
      </c>
      <c r="AS264" s="3">
        <v>284</v>
      </c>
      <c r="AT264" s="3" t="str">
        <f>IFERROR(MID(VLOOKUP($B264,Seqs!$A:$B,2,0),AU264,1),"")</f>
        <v>M</v>
      </c>
      <c r="AU264" s="3">
        <v>309</v>
      </c>
      <c r="AV264" s="3" t="str">
        <f>IFERROR(MID(VLOOKUP($B264,Seqs!$A:$B,2,0),AW264,1),"")</f>
        <v>N</v>
      </c>
      <c r="AW264" s="3">
        <v>310</v>
      </c>
      <c r="AX264" s="3" t="str">
        <f>IFERROR(MID(VLOOKUP($B264,Seqs!$A:$B,2,0),AY264,1),"")</f>
        <v>C</v>
      </c>
      <c r="AY264" s="3">
        <v>322</v>
      </c>
      <c r="AZ264" s="77" t="str">
        <f>VLOOKUP(B264,Classification!A:D,2,0)</f>
        <v>A</v>
      </c>
      <c r="BA264" s="94" t="str">
        <f>VLOOKUP(B264,Classification!A:D,4,0)</f>
        <v>Opsins</v>
      </c>
      <c r="BB264" s="27" t="b">
        <f t="shared" si="1481"/>
        <v>1</v>
      </c>
      <c r="BC264" s="23">
        <f t="shared" si="1454"/>
        <v>258</v>
      </c>
      <c r="BD264" s="2" t="s">
        <v>1376</v>
      </c>
      <c r="BE264" s="3" t="s">
        <v>1292</v>
      </c>
      <c r="BF264" s="119">
        <v>3.3</v>
      </c>
      <c r="BG264" s="49" t="s">
        <v>1378</v>
      </c>
      <c r="BH264" s="49" t="s">
        <v>1378</v>
      </c>
      <c r="BI264" s="1"/>
      <c r="BJ264" s="70" t="s">
        <v>1288</v>
      </c>
      <c r="BK264" s="57" t="s">
        <v>1288</v>
      </c>
      <c r="BL264" s="57" t="s">
        <v>1288</v>
      </c>
      <c r="BM264" s="57" t="s">
        <v>1288</v>
      </c>
      <c r="BN264" s="57" t="s">
        <v>1288</v>
      </c>
      <c r="BO264" s="57" t="s">
        <v>1288</v>
      </c>
      <c r="BP264" s="57" t="s">
        <v>1288</v>
      </c>
      <c r="BQ264" s="57" t="s">
        <v>1288</v>
      </c>
      <c r="BR264" s="57" t="s">
        <v>1288</v>
      </c>
      <c r="BS264" s="57" t="s">
        <v>1288</v>
      </c>
      <c r="BT264" s="57" t="s">
        <v>1288</v>
      </c>
      <c r="BU264" s="57" t="s">
        <v>1288</v>
      </c>
      <c r="BV264" s="70">
        <f t="shared" si="1455"/>
        <v>34</v>
      </c>
      <c r="BW264" s="71">
        <f t="shared" si="1456"/>
        <v>66</v>
      </c>
      <c r="BX264" s="72">
        <f t="shared" si="1457"/>
        <v>70</v>
      </c>
      <c r="BY264" s="71">
        <f t="shared" si="1458"/>
        <v>102</v>
      </c>
      <c r="BZ264" s="72">
        <f t="shared" si="1459"/>
        <v>106</v>
      </c>
      <c r="CA264" s="71">
        <f t="shared" si="1460"/>
        <v>142</v>
      </c>
      <c r="CB264" s="72">
        <f t="shared" si="1461"/>
        <v>149</v>
      </c>
      <c r="CC264" s="71">
        <f t="shared" si="1462"/>
        <v>187</v>
      </c>
      <c r="CD264" s="72">
        <f t="shared" si="1463"/>
        <v>199</v>
      </c>
      <c r="CE264" s="71">
        <f t="shared" si="1464"/>
        <v>241</v>
      </c>
      <c r="CF264" s="72">
        <f t="shared" si="1465"/>
        <v>284</v>
      </c>
      <c r="CG264" s="71">
        <f t="shared" si="1466"/>
        <v>310</v>
      </c>
      <c r="CH264" s="70">
        <f t="shared" si="1467"/>
        <v>65</v>
      </c>
      <c r="CI264" s="71">
        <f t="shared" si="1468"/>
        <v>69</v>
      </c>
      <c r="CJ264" s="72">
        <f t="shared" si="1469"/>
        <v>100</v>
      </c>
      <c r="CK264" s="72">
        <f t="shared" si="1470"/>
        <v>105</v>
      </c>
      <c r="CL264" s="72">
        <f t="shared" si="1471"/>
        <v>141</v>
      </c>
      <c r="CM264" s="72">
        <f t="shared" si="1472"/>
        <v>148</v>
      </c>
      <c r="CN264" s="72">
        <f t="shared" si="1473"/>
        <v>173</v>
      </c>
      <c r="CO264" s="72">
        <f t="shared" si="1474"/>
        <v>189</v>
      </c>
      <c r="CP264" s="72">
        <f t="shared" si="1475"/>
        <v>237</v>
      </c>
      <c r="CQ264" s="72">
        <f t="shared" si="1476"/>
        <v>278</v>
      </c>
      <c r="CR264" s="72">
        <f t="shared" si="1477"/>
        <v>309</v>
      </c>
      <c r="CS264" s="72">
        <f t="shared" si="1478"/>
        <v>322</v>
      </c>
      <c r="CT264" s="23">
        <f t="shared" si="1479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1480"/>
        <v>opsd_human_5DGY</v>
      </c>
      <c r="B265" s="3" t="s">
        <v>339</v>
      </c>
      <c r="C265" s="3" t="s">
        <v>1435</v>
      </c>
      <c r="D265" s="3" t="str">
        <f>IFERROR(MID(VLOOKUP($B265,Seqs!$A:$B,2,0),E265,1),"")</f>
        <v>P</v>
      </c>
      <c r="E265" s="3">
        <v>34</v>
      </c>
      <c r="F265" s="3" t="str">
        <f>IFERROR(MID(VLOOKUP($B265,Seqs!$A:$B,2,0),G265,1),"")</f>
        <v>H</v>
      </c>
      <c r="G265" s="3">
        <v>65</v>
      </c>
      <c r="H265" s="3" t="str">
        <f>IFERROR(MID(VLOOKUP($B265,Seqs!$A:$B,2,0),I265,1),"")</f>
        <v>K</v>
      </c>
      <c r="I265" s="23">
        <v>66</v>
      </c>
      <c r="J265" s="3" t="str">
        <f>IFERROR(MID(VLOOKUP($B265,Seqs!$A:$B,2,0),K265,1),"")</f>
        <v>R</v>
      </c>
      <c r="K265" s="23">
        <v>69</v>
      </c>
      <c r="L265" s="3" t="str">
        <f>IFERROR(MID(VLOOKUP($B265,Seqs!$A:$B,2,0),M265,1),"")</f>
        <v>T</v>
      </c>
      <c r="M265" s="3">
        <v>70</v>
      </c>
      <c r="N265" s="3" t="str">
        <f>IFERROR(MID(VLOOKUP($B265,Seqs!$A:$B,2,0),O265,1),"")</f>
        <v>H</v>
      </c>
      <c r="O265" s="3">
        <v>100</v>
      </c>
      <c r="P265" s="3" t="str">
        <f>IFERROR(MID(VLOOKUP($B265,Seqs!$A:$B,2,0),Q265,1),"")</f>
        <v>Y</v>
      </c>
      <c r="Q265" s="3">
        <v>102</v>
      </c>
      <c r="R265" s="3" t="str">
        <f>IFERROR(MID(VLOOKUP($B265,Seqs!$A:$B,2,0),S265,1),"")</f>
        <v>F</v>
      </c>
      <c r="S265" s="3">
        <v>105</v>
      </c>
      <c r="T265" s="3" t="str">
        <f>IFERROR(MID(VLOOKUP($B265,Seqs!$A:$B,2,0),U265,1),"")</f>
        <v>G</v>
      </c>
      <c r="U265" s="3">
        <v>106</v>
      </c>
      <c r="V265" s="3" t="str">
        <f>IFERROR(MID(VLOOKUP($B265,Seqs!$A:$B,2,0),W265,1),"")</f>
        <v>K</v>
      </c>
      <c r="W265" s="3">
        <v>141</v>
      </c>
      <c r="X265" s="3" t="str">
        <f>IFERROR(MID(VLOOKUP($B265,Seqs!$A:$B,2,0),Y265,1),"")</f>
        <v>P</v>
      </c>
      <c r="Y265" s="3">
        <v>142</v>
      </c>
      <c r="Z265" s="3" t="str">
        <f>IFERROR(MID(VLOOKUP($B265,Seqs!$A:$B,2,0),AA265,1),"")</f>
        <v>F</v>
      </c>
      <c r="AA265" s="3">
        <v>148</v>
      </c>
      <c r="AB265" s="3" t="str">
        <f>IFERROR(MID(VLOOKUP($B265,Seqs!$A:$B,2,0),AC265,1),"")</f>
        <v>G</v>
      </c>
      <c r="AC265" s="3">
        <v>149</v>
      </c>
      <c r="AD265" s="3" t="str">
        <f>IFERROR(MID(VLOOKUP($B265,Seqs!$A:$B,2,0),AE265,1),"")</f>
        <v>A</v>
      </c>
      <c r="AE265" s="3">
        <v>173</v>
      </c>
      <c r="AF265" s="3" t="str">
        <f>IFERROR(MID(VLOOKUP($B265,Seqs!$A:$B,2,0),AG265,1),"")</f>
        <v>C</v>
      </c>
      <c r="AG265" s="3">
        <v>187</v>
      </c>
      <c r="AH265" s="3" t="str">
        <f>IFERROR(MID(VLOOKUP($B265,Seqs!$A:$B,2,0),AI265,1),"")</f>
        <v>I</v>
      </c>
      <c r="AI265" s="3">
        <v>189</v>
      </c>
      <c r="AJ265" s="3" t="str">
        <f>IFERROR(MID(VLOOKUP($B265,Seqs!$A:$B,2,0),AK265,1),"")</f>
        <v>N</v>
      </c>
      <c r="AK265" s="3">
        <v>199</v>
      </c>
      <c r="AL265" s="3" t="str">
        <f>IFERROR(MID(VLOOKUP($B265,Seqs!$A:$B,2,0),AM265,1),"")</f>
        <v>Q</v>
      </c>
      <c r="AM265" s="3">
        <v>237</v>
      </c>
      <c r="AN265" s="3" t="str">
        <f>IFERROR(MID(VLOOKUP($B265,Seqs!$A:$B,2,0),AO265,1),"")</f>
        <v>A</v>
      </c>
      <c r="AO265" s="3">
        <v>241</v>
      </c>
      <c r="AP265" s="3" t="str">
        <f>IFERROR(MID(VLOOKUP($B265,Seqs!$A:$B,2,0),AQ265,1),"")</f>
        <v>H</v>
      </c>
      <c r="AQ265" s="3">
        <v>278</v>
      </c>
      <c r="AR265" s="3" t="str">
        <f>IFERROR(MID(VLOOKUP($B265,Seqs!$A:$B,2,0),AS265,1),"")</f>
        <v>G</v>
      </c>
      <c r="AS265" s="3">
        <v>284</v>
      </c>
      <c r="AT265" s="3" t="str">
        <f>IFERROR(MID(VLOOKUP($B265,Seqs!$A:$B,2,0),AU265,1),"")</f>
        <v>M</v>
      </c>
      <c r="AU265" s="3">
        <v>309</v>
      </c>
      <c r="AV265" s="3" t="str">
        <f>IFERROR(MID(VLOOKUP($B265,Seqs!$A:$B,2,0),AW265,1),"")</f>
        <v>N</v>
      </c>
      <c r="AW265" s="3">
        <v>310</v>
      </c>
      <c r="AX265" s="3" t="str">
        <f>IFERROR(MID(VLOOKUP($B265,Seqs!$A:$B,2,0),AY265,1),"")</f>
        <v>C</v>
      </c>
      <c r="AY265" s="3">
        <v>322</v>
      </c>
      <c r="AZ265" s="77" t="str">
        <f>VLOOKUP(B265,Classification!A:D,2,0)</f>
        <v>A</v>
      </c>
      <c r="BA265" s="94" t="str">
        <f>VLOOKUP(B265,Classification!A:D,4,0)</f>
        <v>Opsins</v>
      </c>
      <c r="BB265" s="27" t="b">
        <f t="shared" si="1481"/>
        <v>1</v>
      </c>
      <c r="BC265" s="23">
        <f t="shared" si="1454"/>
        <v>258</v>
      </c>
      <c r="BD265" s="2" t="s">
        <v>23</v>
      </c>
      <c r="BE265" s="3" t="s">
        <v>1292</v>
      </c>
      <c r="BF265" s="119">
        <v>7.7</v>
      </c>
      <c r="BG265" s="49" t="s">
        <v>1434</v>
      </c>
      <c r="BH265" s="49" t="s">
        <v>1434</v>
      </c>
      <c r="BI265" s="1"/>
      <c r="BJ265" s="70" t="s">
        <v>1288</v>
      </c>
      <c r="BK265" s="57" t="s">
        <v>1288</v>
      </c>
      <c r="BL265" s="57" t="s">
        <v>1288</v>
      </c>
      <c r="BM265" s="57" t="s">
        <v>1288</v>
      </c>
      <c r="BN265" s="57" t="s">
        <v>1288</v>
      </c>
      <c r="BO265" s="57" t="s">
        <v>1288</v>
      </c>
      <c r="BP265" s="57" t="s">
        <v>1288</v>
      </c>
      <c r="BQ265" s="57" t="s">
        <v>1288</v>
      </c>
      <c r="BR265" s="57" t="s">
        <v>1288</v>
      </c>
      <c r="BS265" s="57" t="s">
        <v>1288</v>
      </c>
      <c r="BT265" s="57" t="s">
        <v>1288</v>
      </c>
      <c r="BU265" s="57" t="s">
        <v>1288</v>
      </c>
      <c r="BV265" s="70">
        <f t="shared" si="1455"/>
        <v>34</v>
      </c>
      <c r="BW265" s="71">
        <f t="shared" si="1456"/>
        <v>66</v>
      </c>
      <c r="BX265" s="72">
        <f t="shared" si="1457"/>
        <v>70</v>
      </c>
      <c r="BY265" s="71">
        <f t="shared" si="1458"/>
        <v>102</v>
      </c>
      <c r="BZ265" s="72">
        <f t="shared" si="1459"/>
        <v>106</v>
      </c>
      <c r="CA265" s="71">
        <f t="shared" si="1460"/>
        <v>142</v>
      </c>
      <c r="CB265" s="72">
        <f t="shared" si="1461"/>
        <v>149</v>
      </c>
      <c r="CC265" s="71">
        <f t="shared" si="1462"/>
        <v>187</v>
      </c>
      <c r="CD265" s="72">
        <f t="shared" si="1463"/>
        <v>199</v>
      </c>
      <c r="CE265" s="71">
        <f t="shared" si="1464"/>
        <v>241</v>
      </c>
      <c r="CF265" s="72">
        <f t="shared" si="1465"/>
        <v>284</v>
      </c>
      <c r="CG265" s="71">
        <f t="shared" si="1466"/>
        <v>310</v>
      </c>
      <c r="CH265" s="70">
        <f t="shared" si="1467"/>
        <v>65</v>
      </c>
      <c r="CI265" s="71">
        <f t="shared" si="1468"/>
        <v>69</v>
      </c>
      <c r="CJ265" s="72">
        <f t="shared" si="1469"/>
        <v>100</v>
      </c>
      <c r="CK265" s="72">
        <f t="shared" si="1470"/>
        <v>105</v>
      </c>
      <c r="CL265" s="72">
        <f t="shared" si="1471"/>
        <v>141</v>
      </c>
      <c r="CM265" s="72">
        <f t="shared" si="1472"/>
        <v>148</v>
      </c>
      <c r="CN265" s="72">
        <f t="shared" si="1473"/>
        <v>173</v>
      </c>
      <c r="CO265" s="72">
        <f t="shared" si="1474"/>
        <v>189</v>
      </c>
      <c r="CP265" s="72">
        <f t="shared" si="1475"/>
        <v>237</v>
      </c>
      <c r="CQ265" s="72">
        <f t="shared" si="1476"/>
        <v>278</v>
      </c>
      <c r="CR265" s="72">
        <f t="shared" si="1477"/>
        <v>309</v>
      </c>
      <c r="CS265" s="72">
        <f t="shared" si="1478"/>
        <v>322</v>
      </c>
      <c r="CT265" s="23">
        <f t="shared" si="1479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>CONCATENATE(B266,"_",C266)</f>
        <v>opsd_human_5W0P</v>
      </c>
      <c r="B266" s="3" t="s">
        <v>339</v>
      </c>
      <c r="C266" s="3" t="s">
        <v>1433</v>
      </c>
      <c r="D266" s="3" t="str">
        <f>IFERROR(MID(VLOOKUP($B266,Seqs!$A:$B,2,0),E266,1),"")</f>
        <v>P</v>
      </c>
      <c r="E266" s="3">
        <v>34</v>
      </c>
      <c r="F266" s="3" t="str">
        <f>IFERROR(MID(VLOOKUP($B266,Seqs!$A:$B,2,0),G266,1),"")</f>
        <v>H</v>
      </c>
      <c r="G266" s="3">
        <v>65</v>
      </c>
      <c r="H266" s="3" t="str">
        <f>IFERROR(MID(VLOOKUP($B266,Seqs!$A:$B,2,0),I266,1),"")</f>
        <v>K</v>
      </c>
      <c r="I266" s="23">
        <v>66</v>
      </c>
      <c r="J266" s="3" t="str">
        <f>IFERROR(MID(VLOOKUP($B266,Seqs!$A:$B,2,0),K266,1),"")</f>
        <v>R</v>
      </c>
      <c r="K266" s="23">
        <v>69</v>
      </c>
      <c r="L266" s="3" t="str">
        <f>IFERROR(MID(VLOOKUP($B266,Seqs!$A:$B,2,0),M266,1),"")</f>
        <v>T</v>
      </c>
      <c r="M266" s="3">
        <v>70</v>
      </c>
      <c r="N266" s="3" t="str">
        <f>IFERROR(MID(VLOOKUP($B266,Seqs!$A:$B,2,0),O266,1),"")</f>
        <v>H</v>
      </c>
      <c r="O266" s="3">
        <v>100</v>
      </c>
      <c r="P266" s="3" t="str">
        <f>IFERROR(MID(VLOOKUP($B266,Seqs!$A:$B,2,0),Q266,1),"")</f>
        <v>Y</v>
      </c>
      <c r="Q266" s="3">
        <v>102</v>
      </c>
      <c r="R266" s="3" t="str">
        <f>IFERROR(MID(VLOOKUP($B266,Seqs!$A:$B,2,0),S266,1),"")</f>
        <v>F</v>
      </c>
      <c r="S266" s="3">
        <v>105</v>
      </c>
      <c r="T266" s="3" t="str">
        <f>IFERROR(MID(VLOOKUP($B266,Seqs!$A:$B,2,0),U266,1),"")</f>
        <v>G</v>
      </c>
      <c r="U266" s="3">
        <v>106</v>
      </c>
      <c r="V266" s="3" t="str">
        <f>IFERROR(MID(VLOOKUP($B266,Seqs!$A:$B,2,0),W266,1),"")</f>
        <v>K</v>
      </c>
      <c r="W266" s="3">
        <v>141</v>
      </c>
      <c r="X266" s="3" t="str">
        <f>IFERROR(MID(VLOOKUP($B266,Seqs!$A:$B,2,0),Y266,1),"")</f>
        <v>P</v>
      </c>
      <c r="Y266" s="3">
        <v>142</v>
      </c>
      <c r="Z266" s="3" t="str">
        <f>IFERROR(MID(VLOOKUP($B266,Seqs!$A:$B,2,0),AA266,1),"")</f>
        <v>F</v>
      </c>
      <c r="AA266" s="3">
        <v>148</v>
      </c>
      <c r="AB266" s="3" t="str">
        <f>IFERROR(MID(VLOOKUP($B266,Seqs!$A:$B,2,0),AC266,1),"")</f>
        <v>G</v>
      </c>
      <c r="AC266" s="3">
        <v>149</v>
      </c>
      <c r="AD266" s="3" t="str">
        <f>IFERROR(MID(VLOOKUP($B266,Seqs!$A:$B,2,0),AE266,1),"")</f>
        <v>A</v>
      </c>
      <c r="AE266" s="3">
        <v>173</v>
      </c>
      <c r="AF266" s="3" t="str">
        <f>IFERROR(MID(VLOOKUP($B266,Seqs!$A:$B,2,0),AG266,1),"")</f>
        <v>C</v>
      </c>
      <c r="AG266" s="3">
        <v>187</v>
      </c>
      <c r="AH266" s="3" t="str">
        <f>IFERROR(MID(VLOOKUP($B266,Seqs!$A:$B,2,0),AI266,1),"")</f>
        <v>I</v>
      </c>
      <c r="AI266" s="3">
        <v>189</v>
      </c>
      <c r="AJ266" s="3" t="str">
        <f>IFERROR(MID(VLOOKUP($B266,Seqs!$A:$B,2,0),AK266,1),"")</f>
        <v>N</v>
      </c>
      <c r="AK266" s="3">
        <v>199</v>
      </c>
      <c r="AL266" s="3" t="str">
        <f>IFERROR(MID(VLOOKUP($B266,Seqs!$A:$B,2,0),AM266,1),"")</f>
        <v>Q</v>
      </c>
      <c r="AM266" s="3">
        <v>237</v>
      </c>
      <c r="AN266" s="3" t="str">
        <f>IFERROR(MID(VLOOKUP($B266,Seqs!$A:$B,2,0),AO266,1),"")</f>
        <v>A</v>
      </c>
      <c r="AO266" s="3">
        <v>241</v>
      </c>
      <c r="AP266" s="3" t="str">
        <f>IFERROR(MID(VLOOKUP($B266,Seqs!$A:$B,2,0),AQ266,1),"")</f>
        <v>H</v>
      </c>
      <c r="AQ266" s="3">
        <v>278</v>
      </c>
      <c r="AR266" s="3" t="str">
        <f>IFERROR(MID(VLOOKUP($B266,Seqs!$A:$B,2,0),AS266,1),"")</f>
        <v>G</v>
      </c>
      <c r="AS266" s="3">
        <v>284</v>
      </c>
      <c r="AT266" s="3" t="str">
        <f>IFERROR(MID(VLOOKUP($B266,Seqs!$A:$B,2,0),AU266,1),"")</f>
        <v>M</v>
      </c>
      <c r="AU266" s="3">
        <v>309</v>
      </c>
      <c r="AV266" s="3" t="str">
        <f>IFERROR(MID(VLOOKUP($B266,Seqs!$A:$B,2,0),AW266,1),"")</f>
        <v>N</v>
      </c>
      <c r="AW266" s="3">
        <v>310</v>
      </c>
      <c r="AX266" s="3" t="str">
        <f>IFERROR(MID(VLOOKUP($B266,Seqs!$A:$B,2,0),AY266,1),"")</f>
        <v>C</v>
      </c>
      <c r="AY266" s="3">
        <v>322</v>
      </c>
      <c r="AZ266" s="77" t="str">
        <f>VLOOKUP(B266,Classification!A:D,2,0)</f>
        <v>A</v>
      </c>
      <c r="BA266" s="94" t="str">
        <f>VLOOKUP(B266,Classification!A:D,4,0)</f>
        <v>Opsins</v>
      </c>
      <c r="BB266" s="27" t="b">
        <f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>_xlfn.AGGREGATE(9,6,CH266:CS266)-_xlfn.AGGREGATE(9,6,BV266:CG266)+12</f>
        <v>258</v>
      </c>
      <c r="BD266" s="2" t="s">
        <v>23</v>
      </c>
      <c r="BE266" s="3" t="s">
        <v>1292</v>
      </c>
      <c r="BF266" s="119">
        <v>3.01</v>
      </c>
      <c r="BG266" s="49" t="s">
        <v>1434</v>
      </c>
      <c r="BH266" s="49" t="s">
        <v>1434</v>
      </c>
      <c r="BI266" s="1"/>
      <c r="BJ266" s="70" t="s">
        <v>1288</v>
      </c>
      <c r="BK266" s="57" t="s">
        <v>1288</v>
      </c>
      <c r="BL266" s="57" t="s">
        <v>1288</v>
      </c>
      <c r="BM266" s="57" t="s">
        <v>1288</v>
      </c>
      <c r="BN266" s="57" t="s">
        <v>1288</v>
      </c>
      <c r="BO266" s="57" t="s">
        <v>1288</v>
      </c>
      <c r="BP266" s="57" t="s">
        <v>1288</v>
      </c>
      <c r="BQ266" s="57" t="s">
        <v>1288</v>
      </c>
      <c r="BR266" s="57" t="s">
        <v>1288</v>
      </c>
      <c r="BS266" s="57" t="s">
        <v>1288</v>
      </c>
      <c r="BT266" s="57" t="s">
        <v>1288</v>
      </c>
      <c r="BU266" s="57" t="s">
        <v>1288</v>
      </c>
      <c r="BV266" s="70">
        <f>E266</f>
        <v>34</v>
      </c>
      <c r="BW266" s="71">
        <f>I266</f>
        <v>66</v>
      </c>
      <c r="BX266" s="72">
        <f>M266</f>
        <v>70</v>
      </c>
      <c r="BY266" s="71">
        <f>Q266</f>
        <v>102</v>
      </c>
      <c r="BZ266" s="72">
        <f>U266</f>
        <v>106</v>
      </c>
      <c r="CA266" s="71">
        <f>Y266</f>
        <v>142</v>
      </c>
      <c r="CB266" s="72">
        <f>AC266</f>
        <v>149</v>
      </c>
      <c r="CC266" s="71">
        <f>AG266</f>
        <v>187</v>
      </c>
      <c r="CD266" s="72">
        <f>AK266</f>
        <v>199</v>
      </c>
      <c r="CE266" s="71">
        <f>AO266</f>
        <v>241</v>
      </c>
      <c r="CF266" s="72">
        <f>AS266</f>
        <v>284</v>
      </c>
      <c r="CG266" s="71">
        <f>AW266</f>
        <v>310</v>
      </c>
      <c r="CH266" s="70">
        <f>G266</f>
        <v>65</v>
      </c>
      <c r="CI266" s="71">
        <f>K266</f>
        <v>69</v>
      </c>
      <c r="CJ266" s="72">
        <f>O266</f>
        <v>100</v>
      </c>
      <c r="CK266" s="72">
        <f>S266</f>
        <v>105</v>
      </c>
      <c r="CL266" s="72">
        <f>W266</f>
        <v>141</v>
      </c>
      <c r="CM266" s="72">
        <f>AA266</f>
        <v>148</v>
      </c>
      <c r="CN266" s="72">
        <f>AE266</f>
        <v>173</v>
      </c>
      <c r="CO266" s="72">
        <f>AI266</f>
        <v>189</v>
      </c>
      <c r="CP266" s="72">
        <f>AM266</f>
        <v>237</v>
      </c>
      <c r="CQ266" s="72">
        <f>AQ266</f>
        <v>278</v>
      </c>
      <c r="CR266" s="72">
        <f>AU266</f>
        <v>309</v>
      </c>
      <c r="CS266" s="72">
        <f>AY266</f>
        <v>322</v>
      </c>
      <c r="CT266" s="23">
        <f>M266-K266</f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>CONCATENATE(B267,"_",C267)</f>
        <v>opsd_human_6CMO</v>
      </c>
      <c r="B267" s="3" t="s">
        <v>339</v>
      </c>
      <c r="C267" s="3" t="s">
        <v>1503</v>
      </c>
      <c r="D267" s="3" t="str">
        <f>IFERROR(MID(VLOOKUP($B267,Seqs!$A:$B,2,0),E267,1),"")</f>
        <v>E</v>
      </c>
      <c r="E267" s="3">
        <v>33</v>
      </c>
      <c r="F267" s="3" t="str">
        <f>IFERROR(MID(VLOOKUP($B267,Seqs!$A:$B,2,0),G267,1),"")</f>
        <v>H</v>
      </c>
      <c r="G267" s="3">
        <v>65</v>
      </c>
      <c r="H267" s="3" t="str">
        <f>IFERROR(MID(VLOOKUP($B267,Seqs!$A:$B,2,0),I267,1),"")</f>
        <v>K</v>
      </c>
      <c r="I267" s="23">
        <v>66</v>
      </c>
      <c r="J267" s="3" t="str">
        <f>IFERROR(MID(VLOOKUP($B267,Seqs!$A:$B,2,0),K267,1),"")</f>
        <v>R</v>
      </c>
      <c r="K267" s="23">
        <v>69</v>
      </c>
      <c r="L267" s="3" t="str">
        <f>IFERROR(MID(VLOOKUP($B267,Seqs!$A:$B,2,0),M267,1),"")</f>
        <v>T</v>
      </c>
      <c r="M267" s="3">
        <v>70</v>
      </c>
      <c r="N267" s="3" t="str">
        <f>IFERROR(MID(VLOOKUP($B267,Seqs!$A:$B,2,0),O267,1),"")</f>
        <v>G</v>
      </c>
      <c r="O267" s="3">
        <v>101</v>
      </c>
      <c r="P267" s="3" t="str">
        <f>IFERROR(MID(VLOOKUP($B267,Seqs!$A:$B,2,0),Q267,1),"")</f>
        <v>Y</v>
      </c>
      <c r="Q267" s="3">
        <v>102</v>
      </c>
      <c r="R267" s="3" t="str">
        <f>IFERROR(MID(VLOOKUP($B267,Seqs!$A:$B,2,0),S267,1),"")</f>
        <v>F</v>
      </c>
      <c r="S267" s="3">
        <v>105</v>
      </c>
      <c r="T267" s="3" t="str">
        <f>IFERROR(MID(VLOOKUP($B267,Seqs!$A:$B,2,0),U267,1),"")</f>
        <v>G</v>
      </c>
      <c r="U267" s="3">
        <v>106</v>
      </c>
      <c r="V267" s="3" t="str">
        <f>IFERROR(MID(VLOOKUP($B267,Seqs!$A:$B,2,0),W267,1),"")</f>
        <v>K</v>
      </c>
      <c r="W267" s="3">
        <v>141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E</v>
      </c>
      <c r="AC267" s="3">
        <v>150</v>
      </c>
      <c r="AD267" s="3" t="str">
        <f>IFERROR(MID(VLOOKUP($B267,Seqs!$A:$B,2,0),AE267,1),"")</f>
        <v>A</v>
      </c>
      <c r="AE267" s="3">
        <v>173</v>
      </c>
      <c r="AF267" s="3" t="str">
        <f>IFERROR(MID(VLOOKUP($B267,Seqs!$A:$B,2,0),AG267,1),"")</f>
        <v>C</v>
      </c>
      <c r="AG267" s="3">
        <v>187</v>
      </c>
      <c r="AH267" s="3" t="str">
        <f>IFERROR(MID(VLOOKUP($B267,Seqs!$A:$B,2,0),AI267,1),"")</f>
        <v>I</v>
      </c>
      <c r="AI267" s="3">
        <v>189</v>
      </c>
      <c r="AJ267" s="3" t="str">
        <f>IFERROR(MID(VLOOKUP($B267,Seqs!$A:$B,2,0),AK267,1),"")</f>
        <v>N</v>
      </c>
      <c r="AK267" s="3">
        <v>200</v>
      </c>
      <c r="AL267" s="3" t="str">
        <f>IFERROR(MID(VLOOKUP($B267,Seqs!$A:$B,2,0),AM267,1),"")</f>
        <v>Q</v>
      </c>
      <c r="AM267" s="3">
        <v>238</v>
      </c>
      <c r="AN267" s="3" t="str">
        <f>IFERROR(MID(VLOOKUP($B267,Seqs!$A:$B,2,0),AO267,1),"")</f>
        <v>S</v>
      </c>
      <c r="AO267" s="3">
        <v>240</v>
      </c>
      <c r="AP267" s="3" t="str">
        <f>IFERROR(MID(VLOOKUP($B267,Seqs!$A:$B,2,0),AQ267,1),"")</f>
        <v>H</v>
      </c>
      <c r="AQ267" s="3">
        <v>278</v>
      </c>
      <c r="AR267" s="3" t="str">
        <f>IFERROR(MID(VLOOKUP($B267,Seqs!$A:$B,2,0),AS267,1),"")</f>
        <v>I</v>
      </c>
      <c r="AS267" s="3">
        <v>286</v>
      </c>
      <c r="AT267" s="3" t="str">
        <f>IFERROR(MID(VLOOKUP($B267,Seqs!$A:$B,2,0),AU267,1),"")</f>
        <v>M</v>
      </c>
      <c r="AU267" s="3">
        <v>309</v>
      </c>
      <c r="AV267" s="3" t="str">
        <f>IFERROR(MID(VLOOKUP($B267,Seqs!$A:$B,2,0),AW267,1),"")</f>
        <v>N</v>
      </c>
      <c r="AW267" s="3">
        <v>310</v>
      </c>
      <c r="AX267" s="3" t="str">
        <f>IFERROR(MID(VLOOKUP($B267,Seqs!$A:$B,2,0),AY267,1),"")</f>
        <v>C</v>
      </c>
      <c r="AY267" s="3">
        <v>323</v>
      </c>
      <c r="AZ267" s="77" t="str">
        <f>VLOOKUP(B267,Classification!A:D,2,0)</f>
        <v>A</v>
      </c>
      <c r="BA267" s="94" t="str">
        <f>VLOOKUP(B267,Classification!A:D,4,0)</f>
        <v>Opsins</v>
      </c>
      <c r="BB267" s="27" t="b">
        <f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>_xlfn.AGGREGATE(9,6,CH267:CS267)-_xlfn.AGGREGATE(9,6,BV267:CG267)+12</f>
        <v>253</v>
      </c>
      <c r="BD267" s="2" t="s">
        <v>23</v>
      </c>
      <c r="BE267" s="3" t="s">
        <v>1292</v>
      </c>
      <c r="BF267" s="119">
        <v>4.5</v>
      </c>
      <c r="BG267" s="49" t="s">
        <v>1434</v>
      </c>
      <c r="BH267" s="49" t="s">
        <v>1434</v>
      </c>
      <c r="BI267" s="1"/>
      <c r="BJ267" s="70" t="s">
        <v>1288</v>
      </c>
      <c r="BK267" s="57" t="s">
        <v>1288</v>
      </c>
      <c r="BL267" s="57" t="s">
        <v>1288</v>
      </c>
      <c r="BM267" s="57" t="s">
        <v>1288</v>
      </c>
      <c r="BN267" s="57" t="s">
        <v>1288</v>
      </c>
      <c r="BO267" s="57" t="s">
        <v>1288</v>
      </c>
      <c r="BP267" s="57" t="s">
        <v>1288</v>
      </c>
      <c r="BQ267" s="57" t="s">
        <v>1288</v>
      </c>
      <c r="BR267" s="57" t="s">
        <v>1288</v>
      </c>
      <c r="BS267" s="57" t="s">
        <v>1288</v>
      </c>
      <c r="BT267" s="57" t="s">
        <v>1288</v>
      </c>
      <c r="BU267" s="57" t="s">
        <v>1288</v>
      </c>
      <c r="BV267" s="70">
        <f>E267</f>
        <v>33</v>
      </c>
      <c r="BW267" s="71">
        <f>I267</f>
        <v>66</v>
      </c>
      <c r="BX267" s="72">
        <f>M267</f>
        <v>70</v>
      </c>
      <c r="BY267" s="71">
        <f>Q267</f>
        <v>102</v>
      </c>
      <c r="BZ267" s="72">
        <f>U267</f>
        <v>106</v>
      </c>
      <c r="CA267" s="71" t="str">
        <f>Y267</f>
        <v>-</v>
      </c>
      <c r="CB267" s="72">
        <f>AC267</f>
        <v>150</v>
      </c>
      <c r="CC267" s="71">
        <f>AG267</f>
        <v>187</v>
      </c>
      <c r="CD267" s="72">
        <f>AK267</f>
        <v>200</v>
      </c>
      <c r="CE267" s="71">
        <f>AO267</f>
        <v>240</v>
      </c>
      <c r="CF267" s="72">
        <f>AS267</f>
        <v>286</v>
      </c>
      <c r="CG267" s="71">
        <f>AW267</f>
        <v>310</v>
      </c>
      <c r="CH267" s="70">
        <f>G267</f>
        <v>65</v>
      </c>
      <c r="CI267" s="71">
        <f>K267</f>
        <v>69</v>
      </c>
      <c r="CJ267" s="72">
        <f>O267</f>
        <v>101</v>
      </c>
      <c r="CK267" s="72">
        <f>S267</f>
        <v>105</v>
      </c>
      <c r="CL267" s="72">
        <f>W267</f>
        <v>141</v>
      </c>
      <c r="CM267" s="72" t="str">
        <f>AA267</f>
        <v>-</v>
      </c>
      <c r="CN267" s="72">
        <f>AE267</f>
        <v>173</v>
      </c>
      <c r="CO267" s="72">
        <f>AI267</f>
        <v>189</v>
      </c>
      <c r="CP267" s="72">
        <f>AM267</f>
        <v>238</v>
      </c>
      <c r="CQ267" s="72">
        <f>AQ267</f>
        <v>278</v>
      </c>
      <c r="CR267" s="72">
        <f>AU267</f>
        <v>309</v>
      </c>
      <c r="CS267" s="72">
        <f>AY267</f>
        <v>323</v>
      </c>
      <c r="CT267" s="23">
        <f>M267-K267</f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30" x14ac:dyDescent="0.2">
      <c r="A268" s="3" t="str">
        <f t="shared" si="1480"/>
        <v>opsd_todpa__wt</v>
      </c>
      <c r="B268" s="3" t="s">
        <v>922</v>
      </c>
      <c r="C268" s="3" t="s">
        <v>100</v>
      </c>
      <c r="D268" s="3" t="str">
        <f>IFERROR(MID(VLOOKUP($B268,Seqs!$A:$B,2,0),E268,1),"")</f>
        <v>D</v>
      </c>
      <c r="E268" s="3">
        <v>31</v>
      </c>
      <c r="F268" s="3" t="str">
        <f>IFERROR(MID(VLOOKUP($B268,Seqs!$A:$B,2,0),G268,1),"")</f>
        <v>T</v>
      </c>
      <c r="G268" s="3">
        <v>62</v>
      </c>
      <c r="H268" s="3" t="str">
        <f>IFERROR(MID(VLOOKUP($B268,Seqs!$A:$B,2,0),I268,1),"")</f>
        <v>K</v>
      </c>
      <c r="I268" s="23">
        <v>63</v>
      </c>
      <c r="J268" s="3" t="str">
        <f>IFERROR(MID(VLOOKUP($B268,Seqs!$A:$B,2,0),K268,1),"")</f>
        <v>Q</v>
      </c>
      <c r="K268" s="23">
        <v>66</v>
      </c>
      <c r="L268" s="3" t="str">
        <f>IFERROR(MID(VLOOKUP($B268,Seqs!$A:$B,2,0),M268,1),"")</f>
        <v>T</v>
      </c>
      <c r="M268" s="3">
        <v>67</v>
      </c>
      <c r="N268" s="3" t="str">
        <f>IFERROR(MID(VLOOKUP($B268,Seqs!$A:$B,2,0),O268,1),"")</f>
        <v>K</v>
      </c>
      <c r="O268" s="3">
        <v>99</v>
      </c>
      <c r="P268" s="3" t="str">
        <f>IFERROR(MID(VLOOKUP($B268,Seqs!$A:$B,2,0),Q268,1),"")</f>
        <v>K</v>
      </c>
      <c r="Q268" s="3">
        <v>100</v>
      </c>
      <c r="R268" s="3" t="str">
        <f>IFERROR(MID(VLOOKUP($B268,Seqs!$A:$B,2,0),S268,1),"")</f>
        <v>F</v>
      </c>
      <c r="S268" s="3">
        <v>103</v>
      </c>
      <c r="T268" s="3" t="str">
        <f>IFERROR(MID(VLOOKUP($B268,Seqs!$A:$B,2,0),U268,1),"")</f>
        <v>G</v>
      </c>
      <c r="U268" s="3">
        <v>104</v>
      </c>
      <c r="V268" s="3" t="str">
        <f>IFERROR(MID(VLOOKUP($B268,Seqs!$A:$B,2,0),W268,1),"")</f>
        <v>R</v>
      </c>
      <c r="W268" s="3">
        <v>139</v>
      </c>
      <c r="X268" s="3" t="str">
        <f>IFERROR(MID(VLOOKUP($B268,Seqs!$A:$B,2,0),Y268,1),"")</f>
        <v>P</v>
      </c>
      <c r="Y268" s="3">
        <v>140</v>
      </c>
      <c r="Z268" s="3" t="str">
        <f>IFERROR(MID(VLOOKUP($B268,Seqs!$A:$B,2,0),AA268,1),"")</f>
        <v>M</v>
      </c>
      <c r="AA268" s="3">
        <v>147</v>
      </c>
      <c r="AB268" s="3" t="str">
        <f>IFERROR(MID(VLOOKUP($B268,Seqs!$A:$B,2,0),AC268,1),"")</f>
        <v>S</v>
      </c>
      <c r="AC268" s="9">
        <v>148</v>
      </c>
      <c r="AD268" s="3" t="str">
        <f>IFERROR(MID(VLOOKUP($B268,Seqs!$A:$B,2,0),AE268,1),"")</f>
        <v>F</v>
      </c>
      <c r="AE268" s="3">
        <v>172</v>
      </c>
      <c r="AF268" s="3" t="str">
        <f>IFERROR(MID(VLOOKUP($B268,Seqs!$A:$B,2,0),AG268,1),"")</f>
        <v>C</v>
      </c>
      <c r="AG268" s="3">
        <v>186</v>
      </c>
      <c r="AH268" s="3" t="str">
        <f>IFERROR(MID(VLOOKUP($B268,Seqs!$A:$B,2,0),AI268,1),"")</f>
        <v>F</v>
      </c>
      <c r="AI268" s="3">
        <v>188</v>
      </c>
      <c r="AJ268" s="3" t="str">
        <f>IFERROR(MID(VLOOKUP($B268,Seqs!$A:$B,2,0),AK268,1),"")</f>
        <v>D</v>
      </c>
      <c r="AK268" s="3">
        <v>194</v>
      </c>
      <c r="AL268" s="3" t="str">
        <f>IFERROR(MID(VLOOKUP($B268,Seqs!$A:$B,2,0),AM268,1),"")</f>
        <v>K</v>
      </c>
      <c r="AM268" s="3">
        <v>239</v>
      </c>
      <c r="AN268" s="3" t="str">
        <f>IFERROR(MID(VLOOKUP($B268,Seqs!$A:$B,2,0),AO268,1),"")</f>
        <v>K</v>
      </c>
      <c r="AO268" s="3">
        <v>244</v>
      </c>
      <c r="AP268" s="3" t="str">
        <f>IFERROR(MID(VLOOKUP($B268,Seqs!$A:$B,2,0),AQ268,1),"")</f>
        <v>G</v>
      </c>
      <c r="AQ268" s="3">
        <v>287</v>
      </c>
      <c r="AR268" s="3" t="str">
        <f>IFERROR(MID(VLOOKUP($B268,Seqs!$A:$B,2,0),AS268,1),"")</f>
        <v>T</v>
      </c>
      <c r="AS268" s="3">
        <v>293</v>
      </c>
      <c r="AT268" s="3" t="str">
        <f>IFERROR(MID(VLOOKUP($B268,Seqs!$A:$B,2,0),AU268,1),"")</f>
        <v>S</v>
      </c>
      <c r="AU268" s="3">
        <v>318</v>
      </c>
      <c r="AV268" s="3" t="str">
        <f>IFERROR(MID(VLOOKUP($B268,Seqs!$A:$B,2,0),AW268,1),"")</f>
        <v>H</v>
      </c>
      <c r="AW268" s="3">
        <v>319</v>
      </c>
      <c r="AX268" s="3" t="str">
        <f>IFERROR(MID(VLOOKUP($B268,Seqs!$A:$B,2,0),AY268,1),"")</f>
        <v>F</v>
      </c>
      <c r="AY268" s="3">
        <v>330</v>
      </c>
      <c r="AZ268" s="77" t="str">
        <f>VLOOKUP(B268,Classification!A:D,2,0)</f>
        <v>A</v>
      </c>
      <c r="BA268" s="94" t="str">
        <f>VLOOKUP(B268,Classification!A:D,4,0)</f>
        <v>Opsins</v>
      </c>
      <c r="BB268" s="27" t="b">
        <f t="shared" si="1481"/>
        <v>1</v>
      </c>
      <c r="BC268" s="23">
        <f t="shared" si="1454"/>
        <v>273</v>
      </c>
      <c r="BD268" s="56" t="s">
        <v>23</v>
      </c>
      <c r="BE268" s="3" t="s">
        <v>23</v>
      </c>
      <c r="BF268" s="119" t="s">
        <v>23</v>
      </c>
      <c r="BG268" s="49" t="s">
        <v>1373</v>
      </c>
      <c r="BH268" s="49" t="s">
        <v>1378</v>
      </c>
      <c r="BI268" s="1"/>
      <c r="BJ268" s="70" t="s">
        <v>1288</v>
      </c>
      <c r="BK268" s="57" t="s">
        <v>1288</v>
      </c>
      <c r="BL268" s="57" t="s">
        <v>1288</v>
      </c>
      <c r="BM268" s="57" t="s">
        <v>1288</v>
      </c>
      <c r="BN268" s="57" t="s">
        <v>1288</v>
      </c>
      <c r="BO268" s="57" t="s">
        <v>1288</v>
      </c>
      <c r="BP268" s="57" t="s">
        <v>1288</v>
      </c>
      <c r="BQ268" s="57" t="s">
        <v>1288</v>
      </c>
      <c r="BR268" s="57" t="s">
        <v>1288</v>
      </c>
      <c r="BS268" s="57" t="s">
        <v>1288</v>
      </c>
      <c r="BT268" s="57" t="s">
        <v>1288</v>
      </c>
      <c r="BU268" s="57" t="s">
        <v>1288</v>
      </c>
      <c r="BV268" s="70">
        <f t="shared" si="1455"/>
        <v>31</v>
      </c>
      <c r="BW268" s="71">
        <f t="shared" si="1456"/>
        <v>63</v>
      </c>
      <c r="BX268" s="72">
        <f t="shared" si="1457"/>
        <v>67</v>
      </c>
      <c r="BY268" s="71">
        <f t="shared" si="1458"/>
        <v>100</v>
      </c>
      <c r="BZ268" s="72">
        <f t="shared" si="1459"/>
        <v>104</v>
      </c>
      <c r="CA268" s="71">
        <f t="shared" si="1460"/>
        <v>140</v>
      </c>
      <c r="CB268" s="72">
        <f t="shared" si="1461"/>
        <v>148</v>
      </c>
      <c r="CC268" s="71">
        <f t="shared" si="1462"/>
        <v>186</v>
      </c>
      <c r="CD268" s="72">
        <f t="shared" si="1463"/>
        <v>194</v>
      </c>
      <c r="CE268" s="71">
        <f t="shared" si="1464"/>
        <v>244</v>
      </c>
      <c r="CF268" s="72">
        <f t="shared" si="1465"/>
        <v>293</v>
      </c>
      <c r="CG268" s="71">
        <f t="shared" si="1466"/>
        <v>319</v>
      </c>
      <c r="CH268" s="70">
        <f t="shared" si="1467"/>
        <v>62</v>
      </c>
      <c r="CI268" s="71">
        <f t="shared" si="1468"/>
        <v>66</v>
      </c>
      <c r="CJ268" s="72">
        <f t="shared" si="1469"/>
        <v>99</v>
      </c>
      <c r="CK268" s="72">
        <f t="shared" si="1470"/>
        <v>103</v>
      </c>
      <c r="CL268" s="72">
        <f t="shared" si="1471"/>
        <v>139</v>
      </c>
      <c r="CM268" s="72">
        <f t="shared" si="1472"/>
        <v>147</v>
      </c>
      <c r="CN268" s="72">
        <f t="shared" si="1473"/>
        <v>172</v>
      </c>
      <c r="CO268" s="72">
        <f t="shared" si="1474"/>
        <v>188</v>
      </c>
      <c r="CP268" s="72">
        <f t="shared" si="1475"/>
        <v>239</v>
      </c>
      <c r="CQ268" s="72">
        <f t="shared" si="1476"/>
        <v>287</v>
      </c>
      <c r="CR268" s="72">
        <f t="shared" si="1477"/>
        <v>318</v>
      </c>
      <c r="CS268" s="72">
        <f t="shared" si="1478"/>
        <v>330</v>
      </c>
      <c r="CT268" s="23">
        <f t="shared" si="1479"/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30" x14ac:dyDescent="0.2">
      <c r="A269" s="3" t="str">
        <f t="shared" si="1480"/>
        <v>opsd_todpa_2Z73</v>
      </c>
      <c r="B269" s="3" t="s">
        <v>922</v>
      </c>
      <c r="C269" s="3" t="s">
        <v>97</v>
      </c>
      <c r="D269" s="3" t="str">
        <f>IFERROR(MID(VLOOKUP($B269,Seqs!$A:$B,2,0),E269,1),"")</f>
        <v>D</v>
      </c>
      <c r="E269" s="3">
        <v>31</v>
      </c>
      <c r="F269" s="3" t="str">
        <f>IFERROR(MID(VLOOKUP($B269,Seqs!$A:$B,2,0),G269,1),"")</f>
        <v>T</v>
      </c>
      <c r="G269" s="3">
        <v>62</v>
      </c>
      <c r="H269" s="3" t="str">
        <f>IFERROR(MID(VLOOKUP($B269,Seqs!$A:$B,2,0),I269,1),"")</f>
        <v>K</v>
      </c>
      <c r="I269" s="23">
        <v>63</v>
      </c>
      <c r="J269" s="3" t="str">
        <f>IFERROR(MID(VLOOKUP($B269,Seqs!$A:$B,2,0),K269,1),"")</f>
        <v>Q</v>
      </c>
      <c r="K269" s="23">
        <v>66</v>
      </c>
      <c r="L269" s="3" t="str">
        <f>IFERROR(MID(VLOOKUP($B269,Seqs!$A:$B,2,0),M269,1),"")</f>
        <v>T</v>
      </c>
      <c r="M269" s="3">
        <v>67</v>
      </c>
      <c r="N269" s="3" t="str">
        <f>IFERROR(MID(VLOOKUP($B269,Seqs!$A:$B,2,0),O269,1),"")</f>
        <v>K</v>
      </c>
      <c r="O269" s="3">
        <v>99</v>
      </c>
      <c r="P269" s="3" t="str">
        <f>IFERROR(MID(VLOOKUP($B269,Seqs!$A:$B,2,0),Q269,1),"")</f>
        <v>K</v>
      </c>
      <c r="Q269" s="3">
        <v>100</v>
      </c>
      <c r="R269" s="3" t="str">
        <f>IFERROR(MID(VLOOKUP($B269,Seqs!$A:$B,2,0),S269,1),"")</f>
        <v>F</v>
      </c>
      <c r="S269" s="3">
        <v>103</v>
      </c>
      <c r="T269" s="3" t="str">
        <f>IFERROR(MID(VLOOKUP($B269,Seqs!$A:$B,2,0),U269,1),"")</f>
        <v>G</v>
      </c>
      <c r="U269" s="3">
        <v>104</v>
      </c>
      <c r="V269" s="3" t="str">
        <f>IFERROR(MID(VLOOKUP($B269,Seqs!$A:$B,2,0),W269,1),"")</f>
        <v>R</v>
      </c>
      <c r="W269" s="3">
        <v>139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S</v>
      </c>
      <c r="AC269" s="9">
        <v>148</v>
      </c>
      <c r="AD269" s="3" t="str">
        <f>IFERROR(MID(VLOOKUP($B269,Seqs!$A:$B,2,0),AE269,1),"")</f>
        <v>F</v>
      </c>
      <c r="AE269" s="3">
        <v>172</v>
      </c>
      <c r="AF269" s="3" t="str">
        <f>IFERROR(MID(VLOOKUP($B269,Seqs!$A:$B,2,0),AG269,1),"")</f>
        <v>C</v>
      </c>
      <c r="AG269" s="3">
        <v>186</v>
      </c>
      <c r="AH269" s="3" t="str">
        <f>IFERROR(MID(VLOOKUP($B269,Seqs!$A:$B,2,0),AI269,1),"")</f>
        <v>F</v>
      </c>
      <c r="AI269" s="3">
        <v>188</v>
      </c>
      <c r="AJ269" s="3" t="str">
        <f>IFERROR(MID(VLOOKUP($B269,Seqs!$A:$B,2,0),AK269,1),"")</f>
        <v>D</v>
      </c>
      <c r="AK269" s="3">
        <v>194</v>
      </c>
      <c r="AL269" s="3" t="str">
        <f>IFERROR(MID(VLOOKUP($B269,Seqs!$A:$B,2,0),AM269,1),"")</f>
        <v>K</v>
      </c>
      <c r="AM269" s="3">
        <v>239</v>
      </c>
      <c r="AN269" s="3" t="str">
        <f>IFERROR(MID(VLOOKUP($B269,Seqs!$A:$B,2,0),AO269,1),"")</f>
        <v>K</v>
      </c>
      <c r="AO269" s="3">
        <v>244</v>
      </c>
      <c r="AP269" s="3" t="str">
        <f>IFERROR(MID(VLOOKUP($B269,Seqs!$A:$B,2,0),AQ269,1),"")</f>
        <v>G</v>
      </c>
      <c r="AQ269" s="3">
        <v>287</v>
      </c>
      <c r="AR269" s="3" t="str">
        <f>IFERROR(MID(VLOOKUP($B269,Seqs!$A:$B,2,0),AS269,1),"")</f>
        <v>T</v>
      </c>
      <c r="AS269" s="3">
        <v>293</v>
      </c>
      <c r="AT269" s="3" t="str">
        <f>IFERROR(MID(VLOOKUP($B269,Seqs!$A:$B,2,0),AU269,1),"")</f>
        <v>S</v>
      </c>
      <c r="AU269" s="3">
        <v>318</v>
      </c>
      <c r="AV269" s="3" t="str">
        <f>IFERROR(MID(VLOOKUP($B269,Seqs!$A:$B,2,0),AW269,1),"")</f>
        <v>H</v>
      </c>
      <c r="AW269" s="3">
        <v>319</v>
      </c>
      <c r="AX269" s="3" t="str">
        <f>IFERROR(MID(VLOOKUP($B269,Seqs!$A:$B,2,0),AY269,1),"")</f>
        <v>F</v>
      </c>
      <c r="AY269" s="3">
        <v>330</v>
      </c>
      <c r="AZ269" s="77" t="str">
        <f>VLOOKUP(B269,Classification!A:D,2,0)</f>
        <v>A</v>
      </c>
      <c r="BA269" s="94" t="str">
        <f>VLOOKUP(B269,Classification!A:D,4,0)</f>
        <v>Opsins</v>
      </c>
      <c r="BB269" s="27" t="b">
        <f t="shared" si="1481"/>
        <v>1</v>
      </c>
      <c r="BC269" s="23">
        <f t="shared" si="1454"/>
        <v>266</v>
      </c>
      <c r="BD269" s="2" t="s">
        <v>1377</v>
      </c>
      <c r="BE269" s="3" t="s">
        <v>1375</v>
      </c>
      <c r="BF269" s="119">
        <v>2.5</v>
      </c>
      <c r="BG269" s="49" t="s">
        <v>1378</v>
      </c>
      <c r="BH269" s="49" t="s">
        <v>1378</v>
      </c>
      <c r="BI269" s="1"/>
      <c r="BJ269" s="70" t="s">
        <v>1288</v>
      </c>
      <c r="BK269" s="57" t="s">
        <v>1288</v>
      </c>
      <c r="BL269" s="57" t="s">
        <v>1288</v>
      </c>
      <c r="BM269" s="57" t="s">
        <v>1288</v>
      </c>
      <c r="BN269" s="57" t="s">
        <v>1288</v>
      </c>
      <c r="BO269" s="57" t="s">
        <v>1288</v>
      </c>
      <c r="BP269" s="57" t="s">
        <v>1288</v>
      </c>
      <c r="BQ269" s="57" t="s">
        <v>1288</v>
      </c>
      <c r="BR269" s="57" t="s">
        <v>1288</v>
      </c>
      <c r="BS269" s="57" t="s">
        <v>1288</v>
      </c>
      <c r="BT269" s="57" t="s">
        <v>1288</v>
      </c>
      <c r="BU269" s="57" t="s">
        <v>1288</v>
      </c>
      <c r="BV269" s="70">
        <f t="shared" si="1455"/>
        <v>31</v>
      </c>
      <c r="BW269" s="71">
        <f t="shared" si="1456"/>
        <v>63</v>
      </c>
      <c r="BX269" s="72">
        <f t="shared" si="1457"/>
        <v>67</v>
      </c>
      <c r="BY269" s="71">
        <f t="shared" si="1458"/>
        <v>100</v>
      </c>
      <c r="BZ269" s="72">
        <f t="shared" si="1459"/>
        <v>104</v>
      </c>
      <c r="CA269" s="71" t="str">
        <f t="shared" si="1460"/>
        <v>-</v>
      </c>
      <c r="CB269" s="72">
        <f t="shared" si="1461"/>
        <v>148</v>
      </c>
      <c r="CC269" s="71">
        <f t="shared" si="1462"/>
        <v>186</v>
      </c>
      <c r="CD269" s="72">
        <f t="shared" si="1463"/>
        <v>194</v>
      </c>
      <c r="CE269" s="71">
        <f t="shared" si="1464"/>
        <v>244</v>
      </c>
      <c r="CF269" s="72">
        <f t="shared" si="1465"/>
        <v>293</v>
      </c>
      <c r="CG269" s="71">
        <f t="shared" si="1466"/>
        <v>319</v>
      </c>
      <c r="CH269" s="70">
        <f t="shared" si="1467"/>
        <v>62</v>
      </c>
      <c r="CI269" s="71">
        <f t="shared" si="1468"/>
        <v>66</v>
      </c>
      <c r="CJ269" s="72">
        <f t="shared" si="1469"/>
        <v>99</v>
      </c>
      <c r="CK269" s="72">
        <f t="shared" si="1470"/>
        <v>103</v>
      </c>
      <c r="CL269" s="72">
        <f t="shared" si="1471"/>
        <v>139</v>
      </c>
      <c r="CM269" s="72" t="str">
        <f t="shared" si="1472"/>
        <v>-</v>
      </c>
      <c r="CN269" s="72">
        <f t="shared" si="1473"/>
        <v>172</v>
      </c>
      <c r="CO269" s="72">
        <f t="shared" si="1474"/>
        <v>188</v>
      </c>
      <c r="CP269" s="72">
        <f t="shared" si="1475"/>
        <v>239</v>
      </c>
      <c r="CQ269" s="72">
        <f t="shared" si="1476"/>
        <v>287</v>
      </c>
      <c r="CR269" s="72">
        <f t="shared" si="1477"/>
        <v>318</v>
      </c>
      <c r="CS269" s="72">
        <f t="shared" si="1478"/>
        <v>330</v>
      </c>
      <c r="CT269" s="23">
        <f t="shared" si="1479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2"/>
    </row>
    <row r="270" spans="1:1030" x14ac:dyDescent="0.2">
      <c r="A270" s="3" t="str">
        <f t="shared" si="1480"/>
        <v>ox1r_human__wt</v>
      </c>
      <c r="B270" s="3" t="s">
        <v>1175</v>
      </c>
      <c r="C270" s="3" t="s">
        <v>100</v>
      </c>
      <c r="D270" s="3" t="str">
        <f>IFERROR(MID(VLOOKUP($B270,Seqs!$A:$B,2,0),E270,1),"")</f>
        <v>E</v>
      </c>
      <c r="E270" s="3">
        <v>46</v>
      </c>
      <c r="F270" s="3" t="str">
        <f>IFERROR(MID(VLOOKUP($B270,Seqs!$A:$B,2,0),G270,1),"")</f>
        <v>N</v>
      </c>
      <c r="G270" s="3">
        <v>74</v>
      </c>
      <c r="H270" s="3" t="str">
        <f>IFERROR(MID(VLOOKUP($B270,Seqs!$A:$B,2,0),I270,1),"")</f>
        <v>H</v>
      </c>
      <c r="I270" s="23">
        <v>75</v>
      </c>
      <c r="J270" s="3" t="str">
        <f>IFERROR(MID(VLOOKUP($B270,Seqs!$A:$B,2,0),K270,1),"")</f>
        <v>R</v>
      </c>
      <c r="K270" s="23">
        <v>78</v>
      </c>
      <c r="L270" s="3" t="str">
        <f>IFERROR(MID(VLOOKUP($B270,Seqs!$A:$B,2,0),M270,1),"")</f>
        <v>T</v>
      </c>
      <c r="M270" s="3">
        <v>79</v>
      </c>
      <c r="N270" s="3" t="str">
        <f>IFERROR(MID(VLOOKUP($B270,Seqs!$A:$B,2,0),O270,1),"")</f>
        <v>T</v>
      </c>
      <c r="O270" s="3">
        <v>109</v>
      </c>
      <c r="P270" s="3" t="str">
        <f>IFERROR(MID(VLOOKUP($B270,Seqs!$A:$B,2,0),Q270,1),"")</f>
        <v>S</v>
      </c>
      <c r="Q270" s="3">
        <v>111</v>
      </c>
      <c r="R270" s="3" t="str">
        <f>IFERROR(MID(VLOOKUP($B270,Seqs!$A:$B,2,0),S270,1),"")</f>
        <v>F</v>
      </c>
      <c r="S270" s="3">
        <v>114</v>
      </c>
      <c r="T270" s="3" t="str">
        <f>IFERROR(MID(VLOOKUP($B270,Seqs!$A:$B,2,0),U270,1),"")</f>
        <v>G</v>
      </c>
      <c r="U270" s="3">
        <v>115</v>
      </c>
      <c r="V270" s="3" t="str">
        <f>IFERROR(MID(VLOOKUP($B270,Seqs!$A:$B,2,0),W270,1),"")</f>
        <v>H</v>
      </c>
      <c r="W270" s="3">
        <v>150</v>
      </c>
      <c r="X270" s="3" t="str">
        <f>IFERROR(MID(VLOOKUP($B270,Seqs!$A:$B,2,0),Y270,1),"")</f>
        <v>P</v>
      </c>
      <c r="Y270" s="3">
        <v>151</v>
      </c>
      <c r="Z270" s="3" t="str">
        <f>IFERROR(MID(VLOOKUP($B270,Seqs!$A:$B,2,0),AA270,1),"")</f>
        <v>F</v>
      </c>
      <c r="AA270" s="73">
        <v>154</v>
      </c>
      <c r="AB270" s="3" t="str">
        <f>IFERROR(MID(VLOOKUP($B270,Seqs!$A:$B,2,0),AC270,1),"")</f>
        <v>T</v>
      </c>
      <c r="AC270" s="9">
        <v>157</v>
      </c>
      <c r="AD270" s="3" t="str">
        <f>IFERROR(MID(VLOOKUP($B270,Seqs!$A:$B,2,0),AE270,1),"")</f>
        <v>M</v>
      </c>
      <c r="AE270" s="3">
        <v>183</v>
      </c>
      <c r="AF270" s="3" t="str">
        <f>IFERROR(MID(VLOOKUP($B270,Seqs!$A:$B,2,0),AG270,1),"")</f>
        <v>C</v>
      </c>
      <c r="AG270" s="3">
        <v>202</v>
      </c>
      <c r="AH270" s="3" t="str">
        <f>IFERROR(MID(VLOOKUP($B270,Seqs!$A:$B,2,0),AI270,1),"")</f>
        <v>E</v>
      </c>
      <c r="AI270" s="3">
        <v>204</v>
      </c>
      <c r="AJ270" s="3" t="str">
        <f>IFERROR(MID(VLOOKUP($B270,Seqs!$A:$B,2,0),AK270,1),"")</f>
        <v>D</v>
      </c>
      <c r="AK270" s="3">
        <v>209</v>
      </c>
      <c r="AL270" s="3" t="str">
        <f>IFERROR(MID(VLOOKUP($B270,Seqs!$A:$B,2,0),AM270,1),"")</f>
        <v>P</v>
      </c>
      <c r="AM270" s="3">
        <v>248</v>
      </c>
      <c r="AN270" s="3" t="str">
        <f>IFERROR(MID(VLOOKUP($B270,Seqs!$A:$B,2,0),AO270,1),"")</f>
        <v>F</v>
      </c>
      <c r="AO270" s="3">
        <v>283</v>
      </c>
      <c r="AP270" s="3" t="str">
        <f>IFERROR(MID(VLOOKUP($B270,Seqs!$A:$B,2,0),AQ270,1),"")</f>
        <v>F</v>
      </c>
      <c r="AQ270" s="3">
        <v>324</v>
      </c>
      <c r="AR270" s="3" t="str">
        <f>IFERROR(MID(VLOOKUP($B270,Seqs!$A:$B,2,0),AS270,1),"")</f>
        <v>R</v>
      </c>
      <c r="AS270" s="3">
        <v>333</v>
      </c>
      <c r="AT270" s="3" t="str">
        <f>IFERROR(MID(VLOOKUP($B270,Seqs!$A:$B,2,0),AU270,1),"")</f>
        <v>L</v>
      </c>
      <c r="AU270" s="3">
        <v>361</v>
      </c>
      <c r="AV270" s="3" t="str">
        <f>IFERROR(MID(VLOOKUP($B270,Seqs!$A:$B,2,0),AW270,1),"")</f>
        <v>S</v>
      </c>
      <c r="AW270" s="3">
        <v>362</v>
      </c>
      <c r="AX270" s="3" t="str">
        <f>IFERROR(MID(VLOOKUP($B270,Seqs!$A:$B,2,0),AY270,1),"")</f>
        <v>F</v>
      </c>
      <c r="AY270" s="3">
        <v>373</v>
      </c>
      <c r="AZ270" s="77" t="str">
        <f>VLOOKUP(B270,Classification!A:D,2,0)</f>
        <v>A</v>
      </c>
      <c r="BA270" s="94" t="str">
        <f>VLOOKUP(B270,Classification!A:D,4,0)</f>
        <v>Orexin</v>
      </c>
      <c r="BB270" s="27" t="b">
        <f t="shared" si="1481"/>
        <v>1</v>
      </c>
      <c r="BC270" s="23">
        <f t="shared" si="1454"/>
        <v>261</v>
      </c>
      <c r="BD270" s="56" t="s">
        <v>23</v>
      </c>
      <c r="BE270" s="3" t="s">
        <v>23</v>
      </c>
      <c r="BF270" s="119" t="s">
        <v>23</v>
      </c>
      <c r="BG270" s="49" t="s">
        <v>1373</v>
      </c>
      <c r="BH270" s="49" t="s">
        <v>1378</v>
      </c>
      <c r="BI270" s="1"/>
      <c r="BJ270" s="70" t="s">
        <v>1288</v>
      </c>
      <c r="BK270" s="57" t="s">
        <v>1288</v>
      </c>
      <c r="BL270" s="57" t="s">
        <v>1288</v>
      </c>
      <c r="BM270" s="57" t="s">
        <v>1288</v>
      </c>
      <c r="BN270" s="57" t="s">
        <v>1288</v>
      </c>
      <c r="BO270" s="57" t="s">
        <v>1288</v>
      </c>
      <c r="BP270" s="57" t="s">
        <v>1288</v>
      </c>
      <c r="BQ270" s="57" t="s">
        <v>1288</v>
      </c>
      <c r="BR270" s="57" t="s">
        <v>1288</v>
      </c>
      <c r="BS270" s="57" t="s">
        <v>1288</v>
      </c>
      <c r="BT270" s="57" t="s">
        <v>1288</v>
      </c>
      <c r="BU270" s="57" t="s">
        <v>1288</v>
      </c>
      <c r="BV270" s="70">
        <f t="shared" si="1455"/>
        <v>46</v>
      </c>
      <c r="BW270" s="71">
        <f t="shared" si="1456"/>
        <v>75</v>
      </c>
      <c r="BX270" s="72">
        <f t="shared" si="1457"/>
        <v>79</v>
      </c>
      <c r="BY270" s="71">
        <f t="shared" si="1458"/>
        <v>111</v>
      </c>
      <c r="BZ270" s="72">
        <f t="shared" si="1459"/>
        <v>115</v>
      </c>
      <c r="CA270" s="71">
        <f t="shared" si="1460"/>
        <v>151</v>
      </c>
      <c r="CB270" s="72">
        <f t="shared" si="1461"/>
        <v>157</v>
      </c>
      <c r="CC270" s="71">
        <f t="shared" si="1462"/>
        <v>202</v>
      </c>
      <c r="CD270" s="72">
        <f t="shared" si="1463"/>
        <v>209</v>
      </c>
      <c r="CE270" s="71">
        <f t="shared" si="1464"/>
        <v>283</v>
      </c>
      <c r="CF270" s="72">
        <f t="shared" si="1465"/>
        <v>333</v>
      </c>
      <c r="CG270" s="71">
        <f t="shared" si="1466"/>
        <v>362</v>
      </c>
      <c r="CH270" s="70">
        <f t="shared" si="1467"/>
        <v>74</v>
      </c>
      <c r="CI270" s="71">
        <f t="shared" si="1468"/>
        <v>78</v>
      </c>
      <c r="CJ270" s="72">
        <f t="shared" si="1469"/>
        <v>109</v>
      </c>
      <c r="CK270" s="72">
        <f t="shared" si="1470"/>
        <v>114</v>
      </c>
      <c r="CL270" s="72">
        <f t="shared" si="1471"/>
        <v>150</v>
      </c>
      <c r="CM270" s="72">
        <f t="shared" si="1472"/>
        <v>154</v>
      </c>
      <c r="CN270" s="72">
        <f t="shared" si="1473"/>
        <v>183</v>
      </c>
      <c r="CO270" s="72">
        <f t="shared" si="1474"/>
        <v>204</v>
      </c>
      <c r="CP270" s="72">
        <f t="shared" si="1475"/>
        <v>248</v>
      </c>
      <c r="CQ270" s="72">
        <f t="shared" si="1476"/>
        <v>324</v>
      </c>
      <c r="CR270" s="72">
        <f t="shared" si="1477"/>
        <v>361</v>
      </c>
      <c r="CS270" s="72">
        <f t="shared" si="1478"/>
        <v>373</v>
      </c>
      <c r="CT270" s="23">
        <f t="shared" si="1479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30" x14ac:dyDescent="0.2">
      <c r="A271" s="3" t="str">
        <f t="shared" si="1480"/>
        <v>ox1r_human_4ZJ8</v>
      </c>
      <c r="B271" s="3" t="s">
        <v>1175</v>
      </c>
      <c r="C271" s="3" t="s">
        <v>90</v>
      </c>
      <c r="D271" s="3" t="str">
        <f>IFERROR(MID(VLOOKUP($B271,Seqs!$A:$B,2,0),E271,1),"")</f>
        <v>E</v>
      </c>
      <c r="E271" s="3">
        <v>46</v>
      </c>
      <c r="F271" s="3" t="str">
        <f>IFERROR(MID(VLOOKUP($B271,Seqs!$A:$B,2,0),G271,1),"")</f>
        <v>N</v>
      </c>
      <c r="G271" s="3">
        <v>74</v>
      </c>
      <c r="H271" s="3" t="str">
        <f>IFERROR(MID(VLOOKUP($B271,Seqs!$A:$B,2,0),I271,1),"")</f>
        <v>H</v>
      </c>
      <c r="I271" s="23">
        <v>75</v>
      </c>
      <c r="J271" s="3" t="str">
        <f>IFERROR(MID(VLOOKUP($B271,Seqs!$A:$B,2,0),K271,1),"")</f>
        <v>R</v>
      </c>
      <c r="K271" s="23">
        <v>78</v>
      </c>
      <c r="L271" s="3" t="str">
        <f>IFERROR(MID(VLOOKUP($B271,Seqs!$A:$B,2,0),M271,1),"")</f>
        <v>T</v>
      </c>
      <c r="M271" s="3">
        <v>79</v>
      </c>
      <c r="N271" s="3" t="str">
        <f>IFERROR(MID(VLOOKUP($B271,Seqs!$A:$B,2,0),O271,1),"")</f>
        <v>T</v>
      </c>
      <c r="O271" s="3">
        <v>109</v>
      </c>
      <c r="P271" s="3" t="str">
        <f>IFERROR(MID(VLOOKUP($B271,Seqs!$A:$B,2,0),Q271,1),"")</f>
        <v>S</v>
      </c>
      <c r="Q271" s="3">
        <v>111</v>
      </c>
      <c r="R271" s="3" t="str">
        <f>IFERROR(MID(VLOOKUP($B271,Seqs!$A:$B,2,0),S271,1),"")</f>
        <v>F</v>
      </c>
      <c r="S271" s="3">
        <v>114</v>
      </c>
      <c r="T271" s="3" t="str">
        <f>IFERROR(MID(VLOOKUP($B271,Seqs!$A:$B,2,0),U271,1),"")</f>
        <v>G</v>
      </c>
      <c r="U271" s="3">
        <v>115</v>
      </c>
      <c r="V271" s="3" t="str">
        <f>IFERROR(MID(VLOOKUP($B271,Seqs!$A:$B,2,0),W271,1),"")</f>
        <v>H</v>
      </c>
      <c r="W271" s="3">
        <v>150</v>
      </c>
      <c r="X271" s="3" t="str">
        <f>IFERROR(MID(VLOOKUP($B271,Seqs!$A:$B,2,0),Y271,1),"")</f>
        <v>P</v>
      </c>
      <c r="Y271" s="3">
        <v>151</v>
      </c>
      <c r="Z271" s="3" t="str">
        <f>IFERROR(MID(VLOOKUP($B271,Seqs!$A:$B,2,0),AA271,1),"")</f>
        <v>F</v>
      </c>
      <c r="AA271" s="3">
        <v>154</v>
      </c>
      <c r="AB271" s="3" t="str">
        <f>IFERROR(MID(VLOOKUP($B271,Seqs!$A:$B,2,0),AC271,1),"")</f>
        <v>T</v>
      </c>
      <c r="AC271" s="9">
        <v>157</v>
      </c>
      <c r="AD271" s="3" t="str">
        <f>IFERROR(MID(VLOOKUP($B271,Seqs!$A:$B,2,0),AE271,1),"")</f>
        <v>M</v>
      </c>
      <c r="AE271" s="3">
        <v>183</v>
      </c>
      <c r="AF271" s="3" t="str">
        <f>IFERROR(MID(VLOOKUP($B271,Seqs!$A:$B,2,0),AG271,1),"")</f>
        <v>C</v>
      </c>
      <c r="AG271" s="3">
        <v>202</v>
      </c>
      <c r="AH271" s="3" t="str">
        <f>IFERROR(MID(VLOOKUP($B271,Seqs!$A:$B,2,0),AI271,1),"")</f>
        <v>E</v>
      </c>
      <c r="AI271" s="3">
        <v>204</v>
      </c>
      <c r="AJ271" s="3" t="str">
        <f>IFERROR(MID(VLOOKUP($B271,Seqs!$A:$B,2,0),AK271,1),"")</f>
        <v>D</v>
      </c>
      <c r="AK271" s="3">
        <v>209</v>
      </c>
      <c r="AL271" s="3" t="str">
        <f>IFERROR(MID(VLOOKUP($B271,Seqs!$A:$B,2,0),AM271,1),"")</f>
        <v>L</v>
      </c>
      <c r="AM271" s="3">
        <v>242</v>
      </c>
      <c r="AN271" s="3" t="str">
        <f>IFERROR(MID(VLOOKUP($B271,Seqs!$A:$B,2,0),AO271,1),"")</f>
        <v>K</v>
      </c>
      <c r="AO271" s="3">
        <v>288</v>
      </c>
      <c r="AP271" s="3" t="str">
        <f>IFERROR(MID(VLOOKUP($B271,Seqs!$A:$B,2,0),AQ271,1),"")</f>
        <v>F</v>
      </c>
      <c r="AQ271" s="3">
        <v>324</v>
      </c>
      <c r="AR271" s="3" t="str">
        <f>IFERROR(MID(VLOOKUP($B271,Seqs!$A:$B,2,0),AS271,1),"")</f>
        <v>R</v>
      </c>
      <c r="AS271" s="3">
        <v>333</v>
      </c>
      <c r="AT271" s="3" t="str">
        <f>IFERROR(MID(VLOOKUP($B271,Seqs!$A:$B,2,0),AU271,1),"")</f>
        <v>L</v>
      </c>
      <c r="AU271" s="3">
        <v>361</v>
      </c>
      <c r="AV271" s="3" t="str">
        <f>IFERROR(MID(VLOOKUP($B271,Seqs!$A:$B,2,0),AW271,1),"")</f>
        <v>S</v>
      </c>
      <c r="AW271" s="3">
        <v>362</v>
      </c>
      <c r="AX271" s="3" t="str">
        <f>IFERROR(MID(VLOOKUP($B271,Seqs!$A:$B,2,0),AY271,1),"")</f>
        <v>F</v>
      </c>
      <c r="AY271" s="3">
        <v>373</v>
      </c>
      <c r="AZ271" s="77" t="str">
        <f>VLOOKUP(B271,Classification!A:D,2,0)</f>
        <v>A</v>
      </c>
      <c r="BA271" s="94" t="str">
        <f>VLOOKUP(B271,Classification!A:D,4,0)</f>
        <v>Orexin</v>
      </c>
      <c r="BB271" s="27" t="b">
        <f t="shared" si="1481"/>
        <v>1</v>
      </c>
      <c r="BC271" s="23">
        <f t="shared" si="1454"/>
        <v>250</v>
      </c>
      <c r="BD271" s="4" t="s">
        <v>1377</v>
      </c>
      <c r="BE271" s="3" t="s">
        <v>1375</v>
      </c>
      <c r="BF271" s="119">
        <v>2.75</v>
      </c>
      <c r="BG271" s="49" t="s">
        <v>1378</v>
      </c>
      <c r="BH271" s="49" t="s">
        <v>1378</v>
      </c>
      <c r="BI271" s="1"/>
      <c r="BJ271" s="70" t="s">
        <v>1288</v>
      </c>
      <c r="BK271" s="57" t="s">
        <v>1288</v>
      </c>
      <c r="BL271" s="57" t="s">
        <v>1288</v>
      </c>
      <c r="BM271" s="57" t="s">
        <v>1288</v>
      </c>
      <c r="BN271" s="57" t="s">
        <v>1288</v>
      </c>
      <c r="BO271" s="57" t="s">
        <v>1288</v>
      </c>
      <c r="BP271" s="57" t="s">
        <v>1288</v>
      </c>
      <c r="BQ271" s="57" t="s">
        <v>1288</v>
      </c>
      <c r="BR271" s="57" t="s">
        <v>1288</v>
      </c>
      <c r="BS271" s="57" t="s">
        <v>1288</v>
      </c>
      <c r="BT271" s="57" t="s">
        <v>1288</v>
      </c>
      <c r="BU271" s="57" t="s">
        <v>1288</v>
      </c>
      <c r="BV271" s="70">
        <f t="shared" si="1455"/>
        <v>46</v>
      </c>
      <c r="BW271" s="71">
        <f t="shared" si="1456"/>
        <v>75</v>
      </c>
      <c r="BX271" s="72">
        <f t="shared" si="1457"/>
        <v>79</v>
      </c>
      <c r="BY271" s="71">
        <f t="shared" si="1458"/>
        <v>111</v>
      </c>
      <c r="BZ271" s="72">
        <f t="shared" si="1459"/>
        <v>115</v>
      </c>
      <c r="CA271" s="71">
        <f t="shared" si="1460"/>
        <v>151</v>
      </c>
      <c r="CB271" s="72">
        <f t="shared" si="1461"/>
        <v>157</v>
      </c>
      <c r="CC271" s="71">
        <f t="shared" si="1462"/>
        <v>202</v>
      </c>
      <c r="CD271" s="72">
        <f t="shared" si="1463"/>
        <v>209</v>
      </c>
      <c r="CE271" s="71">
        <f t="shared" si="1464"/>
        <v>288</v>
      </c>
      <c r="CF271" s="72">
        <f t="shared" si="1465"/>
        <v>333</v>
      </c>
      <c r="CG271" s="71">
        <f t="shared" si="1466"/>
        <v>362</v>
      </c>
      <c r="CH271" s="70">
        <f t="shared" si="1467"/>
        <v>74</v>
      </c>
      <c r="CI271" s="71">
        <f t="shared" si="1468"/>
        <v>78</v>
      </c>
      <c r="CJ271" s="72">
        <f t="shared" si="1469"/>
        <v>109</v>
      </c>
      <c r="CK271" s="72">
        <f t="shared" si="1470"/>
        <v>114</v>
      </c>
      <c r="CL271" s="72">
        <f t="shared" si="1471"/>
        <v>150</v>
      </c>
      <c r="CM271" s="72">
        <f t="shared" si="1472"/>
        <v>154</v>
      </c>
      <c r="CN271" s="72">
        <f t="shared" si="1473"/>
        <v>183</v>
      </c>
      <c r="CO271" s="72">
        <f t="shared" si="1474"/>
        <v>204</v>
      </c>
      <c r="CP271" s="72">
        <f t="shared" si="1475"/>
        <v>242</v>
      </c>
      <c r="CQ271" s="72">
        <f t="shared" si="1476"/>
        <v>324</v>
      </c>
      <c r="CR271" s="72">
        <f t="shared" si="1477"/>
        <v>361</v>
      </c>
      <c r="CS271" s="72">
        <f t="shared" si="1478"/>
        <v>373</v>
      </c>
      <c r="CT271" s="23">
        <f t="shared" si="1479"/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2"/>
    </row>
    <row r="272" spans="1:1030" x14ac:dyDescent="0.2">
      <c r="A272" s="3" t="str">
        <f t="shared" si="1480"/>
        <v>ox1r_human_4ZJC</v>
      </c>
      <c r="B272" s="3" t="s">
        <v>1175</v>
      </c>
      <c r="C272" s="3" t="s">
        <v>91</v>
      </c>
      <c r="D272" s="3" t="str">
        <f>IFERROR(MID(VLOOKUP($B272,Seqs!$A:$B,2,0),E272,1),"")</f>
        <v>E</v>
      </c>
      <c r="E272" s="3">
        <v>46</v>
      </c>
      <c r="F272" s="3" t="str">
        <f>IFERROR(MID(VLOOKUP($B272,Seqs!$A:$B,2,0),G272,1),"")</f>
        <v>N</v>
      </c>
      <c r="G272" s="3">
        <v>74</v>
      </c>
      <c r="H272" s="3" t="str">
        <f>IFERROR(MID(VLOOKUP($B272,Seqs!$A:$B,2,0),I272,1),"")</f>
        <v>H</v>
      </c>
      <c r="I272" s="23">
        <v>75</v>
      </c>
      <c r="J272" s="3" t="str">
        <f>IFERROR(MID(VLOOKUP($B272,Seqs!$A:$B,2,0),K272,1),"")</f>
        <v>R</v>
      </c>
      <c r="K272" s="23">
        <v>78</v>
      </c>
      <c r="L272" s="3" t="str">
        <f>IFERROR(MID(VLOOKUP($B272,Seqs!$A:$B,2,0),M272,1),"")</f>
        <v>T</v>
      </c>
      <c r="M272" s="3">
        <v>79</v>
      </c>
      <c r="N272" s="3" t="str">
        <f>IFERROR(MID(VLOOKUP($B272,Seqs!$A:$B,2,0),O272,1),"")</f>
        <v>T</v>
      </c>
      <c r="O272" s="3">
        <v>109</v>
      </c>
      <c r="P272" s="3" t="str">
        <f>IFERROR(MID(VLOOKUP($B272,Seqs!$A:$B,2,0),Q272,1),"")</f>
        <v>S</v>
      </c>
      <c r="Q272" s="3">
        <v>111</v>
      </c>
      <c r="R272" s="3" t="str">
        <f>IFERROR(MID(VLOOKUP($B272,Seqs!$A:$B,2,0),S272,1),"")</f>
        <v>F</v>
      </c>
      <c r="S272" s="3">
        <v>114</v>
      </c>
      <c r="T272" s="3" t="str">
        <f>IFERROR(MID(VLOOKUP($B272,Seqs!$A:$B,2,0),U272,1),"")</f>
        <v>G</v>
      </c>
      <c r="U272" s="3">
        <v>115</v>
      </c>
      <c r="V272" s="3" t="str">
        <f>IFERROR(MID(VLOOKUP($B272,Seqs!$A:$B,2,0),W272,1),"")</f>
        <v>H</v>
      </c>
      <c r="W272" s="3">
        <v>150</v>
      </c>
      <c r="X272" s="3" t="str">
        <f>IFERROR(MID(VLOOKUP($B272,Seqs!$A:$B,2,0),Y272,1),"")</f>
        <v>P</v>
      </c>
      <c r="Y272" s="3">
        <v>151</v>
      </c>
      <c r="Z272" s="3" t="str">
        <f>IFERROR(MID(VLOOKUP($B272,Seqs!$A:$B,2,0),AA272,1),"")</f>
        <v>F</v>
      </c>
      <c r="AA272" s="3">
        <v>154</v>
      </c>
      <c r="AB272" s="3" t="str">
        <f>IFERROR(MID(VLOOKUP($B272,Seqs!$A:$B,2,0),AC272,1),"")</f>
        <v>T</v>
      </c>
      <c r="AC272" s="9">
        <v>157</v>
      </c>
      <c r="AD272" s="3" t="str">
        <f>IFERROR(MID(VLOOKUP($B272,Seqs!$A:$B,2,0),AE272,1),"")</f>
        <v>M</v>
      </c>
      <c r="AE272" s="3">
        <v>183</v>
      </c>
      <c r="AF272" s="3" t="str">
        <f>IFERROR(MID(VLOOKUP($B272,Seqs!$A:$B,2,0),AG272,1),"")</f>
        <v>C</v>
      </c>
      <c r="AG272" s="3">
        <v>202</v>
      </c>
      <c r="AH272" s="3" t="str">
        <f>IFERROR(MID(VLOOKUP($B272,Seqs!$A:$B,2,0),AI272,1),"")</f>
        <v>E</v>
      </c>
      <c r="AI272" s="3">
        <v>204</v>
      </c>
      <c r="AJ272" s="3" t="str">
        <f>IFERROR(MID(VLOOKUP($B272,Seqs!$A:$B,2,0),AK272,1),"")</f>
        <v>D</v>
      </c>
      <c r="AK272" s="3">
        <v>209</v>
      </c>
      <c r="AL272" s="3" t="str">
        <f>IFERROR(MID(VLOOKUP($B272,Seqs!$A:$B,2,0),AM272,1),"")</f>
        <v>L</v>
      </c>
      <c r="AM272" s="3">
        <v>242</v>
      </c>
      <c r="AN272" s="3" t="str">
        <f>IFERROR(MID(VLOOKUP($B272,Seqs!$A:$B,2,0),AO272,1),"")</f>
        <v>K</v>
      </c>
      <c r="AO272" s="3">
        <v>288</v>
      </c>
      <c r="AP272" s="3" t="str">
        <f>IFERROR(MID(VLOOKUP($B272,Seqs!$A:$B,2,0),AQ272,1),"")</f>
        <v>F</v>
      </c>
      <c r="AQ272" s="3">
        <v>324</v>
      </c>
      <c r="AR272" s="3" t="str">
        <f>IFERROR(MID(VLOOKUP($B272,Seqs!$A:$B,2,0),AS272,1),"")</f>
        <v>R</v>
      </c>
      <c r="AS272" s="3">
        <v>333</v>
      </c>
      <c r="AT272" s="3" t="str">
        <f>IFERROR(MID(VLOOKUP($B272,Seqs!$A:$B,2,0),AU272,1),"")</f>
        <v>L</v>
      </c>
      <c r="AU272" s="3">
        <v>361</v>
      </c>
      <c r="AV272" s="3" t="str">
        <f>IFERROR(MID(VLOOKUP($B272,Seqs!$A:$B,2,0),AW272,1),"")</f>
        <v>S</v>
      </c>
      <c r="AW272" s="3">
        <v>362</v>
      </c>
      <c r="AX272" s="3" t="str">
        <f>IFERROR(MID(VLOOKUP($B272,Seqs!$A:$B,2,0),AY272,1),"")</f>
        <v>F</v>
      </c>
      <c r="AY272" s="3">
        <v>373</v>
      </c>
      <c r="AZ272" s="77" t="str">
        <f>VLOOKUP(B272,Classification!A:D,2,0)</f>
        <v>A</v>
      </c>
      <c r="BA272" s="94" t="str">
        <f>VLOOKUP(B272,Classification!A:D,4,0)</f>
        <v>Orexin</v>
      </c>
      <c r="BB272" s="27" t="b">
        <f t="shared" si="1481"/>
        <v>1</v>
      </c>
      <c r="BC272" s="23">
        <f t="shared" si="1454"/>
        <v>250</v>
      </c>
      <c r="BD272" s="2" t="s">
        <v>23</v>
      </c>
      <c r="BE272" s="3" t="s">
        <v>1375</v>
      </c>
      <c r="BF272" s="119">
        <v>2.83</v>
      </c>
      <c r="BG272" s="49" t="s">
        <v>1378</v>
      </c>
      <c r="BH272" s="49" t="s">
        <v>1378</v>
      </c>
      <c r="BI272" s="1"/>
      <c r="BJ272" s="70" t="s">
        <v>1288</v>
      </c>
      <c r="BK272" s="57" t="s">
        <v>1288</v>
      </c>
      <c r="BL272" s="57" t="s">
        <v>1288</v>
      </c>
      <c r="BM272" s="57" t="s">
        <v>1288</v>
      </c>
      <c r="BN272" s="57" t="s">
        <v>1288</v>
      </c>
      <c r="BO272" s="57" t="s">
        <v>1288</v>
      </c>
      <c r="BP272" s="57" t="s">
        <v>1288</v>
      </c>
      <c r="BQ272" s="57" t="s">
        <v>1288</v>
      </c>
      <c r="BR272" s="57" t="s">
        <v>1288</v>
      </c>
      <c r="BS272" s="57" t="s">
        <v>1288</v>
      </c>
      <c r="BT272" s="57" t="s">
        <v>1288</v>
      </c>
      <c r="BU272" s="57" t="s">
        <v>1288</v>
      </c>
      <c r="BV272" s="70">
        <f t="shared" si="1455"/>
        <v>46</v>
      </c>
      <c r="BW272" s="71">
        <f t="shared" si="1456"/>
        <v>75</v>
      </c>
      <c r="BX272" s="72">
        <f t="shared" si="1457"/>
        <v>79</v>
      </c>
      <c r="BY272" s="71">
        <f t="shared" si="1458"/>
        <v>111</v>
      </c>
      <c r="BZ272" s="72">
        <f t="shared" si="1459"/>
        <v>115</v>
      </c>
      <c r="CA272" s="71">
        <f t="shared" si="1460"/>
        <v>151</v>
      </c>
      <c r="CB272" s="72">
        <f t="shared" si="1461"/>
        <v>157</v>
      </c>
      <c r="CC272" s="71">
        <f t="shared" si="1462"/>
        <v>202</v>
      </c>
      <c r="CD272" s="72">
        <f t="shared" si="1463"/>
        <v>209</v>
      </c>
      <c r="CE272" s="71">
        <f t="shared" si="1464"/>
        <v>288</v>
      </c>
      <c r="CF272" s="72">
        <f t="shared" si="1465"/>
        <v>333</v>
      </c>
      <c r="CG272" s="71">
        <f t="shared" si="1466"/>
        <v>362</v>
      </c>
      <c r="CH272" s="70">
        <f t="shared" si="1467"/>
        <v>74</v>
      </c>
      <c r="CI272" s="71">
        <f t="shared" si="1468"/>
        <v>78</v>
      </c>
      <c r="CJ272" s="72">
        <f t="shared" si="1469"/>
        <v>109</v>
      </c>
      <c r="CK272" s="72">
        <f t="shared" si="1470"/>
        <v>114</v>
      </c>
      <c r="CL272" s="72">
        <f t="shared" si="1471"/>
        <v>150</v>
      </c>
      <c r="CM272" s="72">
        <f t="shared" si="1472"/>
        <v>154</v>
      </c>
      <c r="CN272" s="72">
        <f t="shared" si="1473"/>
        <v>183</v>
      </c>
      <c r="CO272" s="72">
        <f t="shared" si="1474"/>
        <v>204</v>
      </c>
      <c r="CP272" s="72">
        <f t="shared" si="1475"/>
        <v>242</v>
      </c>
      <c r="CQ272" s="72">
        <f t="shared" si="1476"/>
        <v>324</v>
      </c>
      <c r="CR272" s="72">
        <f t="shared" si="1477"/>
        <v>361</v>
      </c>
      <c r="CS272" s="72">
        <f t="shared" si="1478"/>
        <v>373</v>
      </c>
      <c r="CT272" s="23">
        <f t="shared" si="1479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2"/>
    </row>
    <row r="273" spans="1:1029" x14ac:dyDescent="0.2">
      <c r="A273" s="3" t="str">
        <f t="shared" si="1480"/>
        <v>ox2r_human__wt</v>
      </c>
      <c r="B273" s="3" t="s">
        <v>1176</v>
      </c>
      <c r="C273" s="3" t="s">
        <v>100</v>
      </c>
      <c r="D273" s="3" t="str">
        <f>IFERROR(MID(VLOOKUP($B273,Seqs!$A:$B,2,0),E273,1),"")</f>
        <v>Y</v>
      </c>
      <c r="E273" s="3">
        <v>53</v>
      </c>
      <c r="F273" s="3" t="str">
        <f>IFERROR(MID(VLOOKUP($B273,Seqs!$A:$B,2,0),G273,1),"")</f>
        <v>N</v>
      </c>
      <c r="G273" s="3">
        <v>82</v>
      </c>
      <c r="H273" s="3" t="str">
        <f>IFERROR(MID(VLOOKUP($B273,Seqs!$A:$B,2,0),I273,1),"")</f>
        <v>H</v>
      </c>
      <c r="I273" s="23">
        <v>83</v>
      </c>
      <c r="J273" s="3" t="str">
        <f>IFERROR(MID(VLOOKUP($B273,Seqs!$A:$B,2,0),K273,1),"")</f>
        <v>R</v>
      </c>
      <c r="K273" s="23">
        <v>86</v>
      </c>
      <c r="L273" s="3" t="str">
        <f>IFERROR(MID(VLOOKUP($B273,Seqs!$A:$B,2,0),M273,1),"")</f>
        <v>T</v>
      </c>
      <c r="M273" s="3">
        <v>87</v>
      </c>
      <c r="N273" s="3" t="str">
        <f>IFERROR(MID(VLOOKUP($B273,Seqs!$A:$B,2,0),O273,1),"")</f>
        <v>E</v>
      </c>
      <c r="O273" s="105">
        <v>118</v>
      </c>
      <c r="P273" s="3" t="str">
        <f>IFERROR(MID(VLOOKUP($B273,Seqs!$A:$B,2,0),Q273,1),"")</f>
        <v>T</v>
      </c>
      <c r="Q273" s="3">
        <v>119</v>
      </c>
      <c r="R273" s="3" t="str">
        <f>IFERROR(MID(VLOOKUP($B273,Seqs!$A:$B,2,0),S273,1),"")</f>
        <v>F</v>
      </c>
      <c r="S273" s="3">
        <v>122</v>
      </c>
      <c r="T273" s="3" t="str">
        <f>IFERROR(MID(VLOOKUP($B273,Seqs!$A:$B,2,0),U273,1),"")</f>
        <v>G</v>
      </c>
      <c r="U273" s="3">
        <v>123</v>
      </c>
      <c r="V273" s="3" t="str">
        <f>IFERROR(MID(VLOOKUP($B273,Seqs!$A:$B,2,0),W273,1),"")</f>
        <v>H</v>
      </c>
      <c r="W273" s="3">
        <v>158</v>
      </c>
      <c r="X273" s="3" t="str">
        <f>IFERROR(MID(VLOOKUP($B273,Seqs!$A:$B,2,0),Y273,1),"")</f>
        <v>P</v>
      </c>
      <c r="Y273" s="3">
        <v>159</v>
      </c>
      <c r="Z273" s="3" t="str">
        <f>IFERROR(MID(VLOOKUP($B273,Seqs!$A:$B,2,0),AA273,1),"")</f>
        <v>F</v>
      </c>
      <c r="AA273" s="73">
        <v>162</v>
      </c>
      <c r="AB273" s="3" t="str">
        <f>IFERROR(MID(VLOOKUP($B273,Seqs!$A:$B,2,0),AC273,1),"")</f>
        <v>T</v>
      </c>
      <c r="AC273" s="9">
        <v>165</v>
      </c>
      <c r="AD273" s="3" t="str">
        <f>IFERROR(MID(VLOOKUP($B273,Seqs!$A:$B,2,0),AE273,1),"")</f>
        <v>M</v>
      </c>
      <c r="AE273" s="3">
        <v>191</v>
      </c>
      <c r="AF273" s="3" t="str">
        <f>IFERROR(MID(VLOOKUP($B273,Seqs!$A:$B,2,0),AG273,1),"")</f>
        <v>C</v>
      </c>
      <c r="AG273" s="3">
        <v>210</v>
      </c>
      <c r="AH273" s="3" t="str">
        <f>IFERROR(MID(VLOOKUP($B273,Seqs!$A:$B,2,0),AI273,1),"")</f>
        <v>E</v>
      </c>
      <c r="AI273" s="3">
        <v>212</v>
      </c>
      <c r="AJ273" s="3" t="str">
        <f>IFERROR(MID(VLOOKUP($B273,Seqs!$A:$B,2,0),AK273,1),"")</f>
        <v>I</v>
      </c>
      <c r="AK273" s="105">
        <v>218</v>
      </c>
      <c r="AL273" s="3" t="str">
        <f>IFERROR(MID(VLOOKUP($B273,Seqs!$A:$B,2,0),AM273,1),"")</f>
        <v>P</v>
      </c>
      <c r="AM273" s="3">
        <v>256</v>
      </c>
      <c r="AN273" s="3" t="str">
        <f>IFERROR(MID(VLOOKUP($B273,Seqs!$A:$B,2,0),AO273,1),"")</f>
        <v>V</v>
      </c>
      <c r="AO273" s="3">
        <v>289</v>
      </c>
      <c r="AP273" s="3" t="str">
        <f>IFERROR(MID(VLOOKUP($B273,Seqs!$A:$B,2,0),AQ273,1),"")</f>
        <v>F</v>
      </c>
      <c r="AQ273" s="3">
        <v>330</v>
      </c>
      <c r="AR273" s="3" t="str">
        <f>IFERROR(MID(VLOOKUP($B273,Seqs!$A:$B,2,0),AS273,1),"")</f>
        <v>D</v>
      </c>
      <c r="AS273" s="105">
        <v>338</v>
      </c>
      <c r="AT273" s="3" t="str">
        <f>IFERROR(MID(VLOOKUP($B273,Seqs!$A:$B,2,0),AU273,1),"")</f>
        <v>L</v>
      </c>
      <c r="AU273" s="3">
        <v>367</v>
      </c>
      <c r="AV273" s="3" t="str">
        <f>IFERROR(MID(VLOOKUP($B273,Seqs!$A:$B,2,0),AW273,1),"")</f>
        <v>S</v>
      </c>
      <c r="AW273" s="3">
        <v>368</v>
      </c>
      <c r="AX273" s="3" t="str">
        <f>IFERROR(MID(VLOOKUP($B273,Seqs!$A:$B,2,0),AY273,1),"")</f>
        <v>F</v>
      </c>
      <c r="AY273" s="3">
        <v>379</v>
      </c>
      <c r="AZ273" s="77" t="str">
        <f>VLOOKUP(B273,Classification!A:D,2,0)</f>
        <v>A</v>
      </c>
      <c r="BA273" s="94" t="str">
        <f>VLOOKUP(B273,Classification!A:D,4,0)</f>
        <v>Orexin</v>
      </c>
      <c r="BB273" s="27" t="b">
        <f t="shared" si="1481"/>
        <v>1</v>
      </c>
      <c r="BC273" s="23">
        <f t="shared" si="1454"/>
        <v>263</v>
      </c>
      <c r="BD273" s="56" t="s">
        <v>23</v>
      </c>
      <c r="BE273" s="3" t="s">
        <v>23</v>
      </c>
      <c r="BF273" s="119" t="s">
        <v>23</v>
      </c>
      <c r="BG273" s="49" t="s">
        <v>1373</v>
      </c>
      <c r="BH273" s="49" t="s">
        <v>1378</v>
      </c>
      <c r="BI273" s="1"/>
      <c r="BJ273" s="70" t="s">
        <v>1288</v>
      </c>
      <c r="BK273" s="57" t="s">
        <v>1288</v>
      </c>
      <c r="BL273" s="57" t="s">
        <v>1288</v>
      </c>
      <c r="BM273" s="57" t="s">
        <v>1288</v>
      </c>
      <c r="BN273" s="57" t="s">
        <v>1288</v>
      </c>
      <c r="BO273" s="57" t="s">
        <v>1288</v>
      </c>
      <c r="BP273" s="57" t="s">
        <v>1288</v>
      </c>
      <c r="BQ273" s="57" t="s">
        <v>1288</v>
      </c>
      <c r="BR273" s="57" t="s">
        <v>1288</v>
      </c>
      <c r="BS273" s="57" t="s">
        <v>1288</v>
      </c>
      <c r="BT273" s="57" t="s">
        <v>1288</v>
      </c>
      <c r="BU273" s="57" t="s">
        <v>1288</v>
      </c>
      <c r="BV273" s="70">
        <f t="shared" si="1455"/>
        <v>53</v>
      </c>
      <c r="BW273" s="71">
        <f t="shared" si="1456"/>
        <v>83</v>
      </c>
      <c r="BX273" s="72">
        <f t="shared" si="1457"/>
        <v>87</v>
      </c>
      <c r="BY273" s="71">
        <f t="shared" si="1458"/>
        <v>119</v>
      </c>
      <c r="BZ273" s="72">
        <f t="shared" si="1459"/>
        <v>123</v>
      </c>
      <c r="CA273" s="71">
        <f t="shared" si="1460"/>
        <v>159</v>
      </c>
      <c r="CB273" s="72">
        <f t="shared" si="1461"/>
        <v>165</v>
      </c>
      <c r="CC273" s="71">
        <f t="shared" si="1462"/>
        <v>210</v>
      </c>
      <c r="CD273" s="72">
        <f t="shared" si="1463"/>
        <v>218</v>
      </c>
      <c r="CE273" s="71">
        <f t="shared" si="1464"/>
        <v>289</v>
      </c>
      <c r="CF273" s="72">
        <f t="shared" si="1465"/>
        <v>338</v>
      </c>
      <c r="CG273" s="71">
        <f t="shared" si="1466"/>
        <v>368</v>
      </c>
      <c r="CH273" s="70">
        <f t="shared" si="1467"/>
        <v>82</v>
      </c>
      <c r="CI273" s="71">
        <f t="shared" si="1468"/>
        <v>86</v>
      </c>
      <c r="CJ273" s="72">
        <f t="shared" si="1469"/>
        <v>118</v>
      </c>
      <c r="CK273" s="72">
        <f t="shared" si="1470"/>
        <v>122</v>
      </c>
      <c r="CL273" s="72">
        <f t="shared" si="1471"/>
        <v>158</v>
      </c>
      <c r="CM273" s="72">
        <f t="shared" si="1472"/>
        <v>162</v>
      </c>
      <c r="CN273" s="72">
        <f t="shared" si="1473"/>
        <v>191</v>
      </c>
      <c r="CO273" s="72">
        <f t="shared" si="1474"/>
        <v>212</v>
      </c>
      <c r="CP273" s="72">
        <f t="shared" si="1475"/>
        <v>256</v>
      </c>
      <c r="CQ273" s="72">
        <f t="shared" si="1476"/>
        <v>330</v>
      </c>
      <c r="CR273" s="72">
        <f t="shared" si="1477"/>
        <v>367</v>
      </c>
      <c r="CS273" s="72">
        <f t="shared" si="1478"/>
        <v>379</v>
      </c>
      <c r="CT273" s="23">
        <f t="shared" si="1479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 t="shared" si="1480"/>
        <v>ox2r_human_4S0V</v>
      </c>
      <c r="B274" s="3" t="s">
        <v>1176</v>
      </c>
      <c r="C274" s="3" t="s">
        <v>92</v>
      </c>
      <c r="D274" s="3" t="str">
        <f>IFERROR(MID(VLOOKUP($B274,Seqs!$A:$B,2,0),E274,1),"")</f>
        <v>Y</v>
      </c>
      <c r="E274" s="3">
        <v>53</v>
      </c>
      <c r="F274" s="3" t="str">
        <f>IFERROR(MID(VLOOKUP($B274,Seqs!$A:$B,2,0),G274,1),"")</f>
        <v>N</v>
      </c>
      <c r="G274" s="3">
        <v>82</v>
      </c>
      <c r="H274" s="3" t="str">
        <f>IFERROR(MID(VLOOKUP($B274,Seqs!$A:$B,2,0),I274,1),"")</f>
        <v>H</v>
      </c>
      <c r="I274" s="23">
        <v>83</v>
      </c>
      <c r="J274" s="3" t="str">
        <f>IFERROR(MID(VLOOKUP($B274,Seqs!$A:$B,2,0),K274,1),"")</f>
        <v>R</v>
      </c>
      <c r="K274" s="23">
        <v>86</v>
      </c>
      <c r="L274" s="3" t="str">
        <f>IFERROR(MID(VLOOKUP($B274,Seqs!$A:$B,2,0),M274,1),"")</f>
        <v>T</v>
      </c>
      <c r="M274" s="3">
        <v>87</v>
      </c>
      <c r="N274" s="3" t="str">
        <f>IFERROR(MID(VLOOKUP($B274,Seqs!$A:$B,2,0),O274,1),"")</f>
        <v>E</v>
      </c>
      <c r="O274" s="105">
        <v>118</v>
      </c>
      <c r="P274" s="3" t="str">
        <f>IFERROR(MID(VLOOKUP($B274,Seqs!$A:$B,2,0),Q274,1),"")</f>
        <v>T</v>
      </c>
      <c r="Q274" s="3">
        <v>119</v>
      </c>
      <c r="R274" s="3" t="str">
        <f>IFERROR(MID(VLOOKUP($B274,Seqs!$A:$B,2,0),S274,1),"")</f>
        <v>F</v>
      </c>
      <c r="S274" s="3">
        <v>122</v>
      </c>
      <c r="T274" s="3" t="str">
        <f>IFERROR(MID(VLOOKUP($B274,Seqs!$A:$B,2,0),U274,1),"")</f>
        <v>G</v>
      </c>
      <c r="U274" s="3">
        <v>123</v>
      </c>
      <c r="V274" s="3" t="str">
        <f>IFERROR(MID(VLOOKUP($B274,Seqs!$A:$B,2,0),W274,1),"")</f>
        <v>H</v>
      </c>
      <c r="W274" s="3">
        <v>158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T</v>
      </c>
      <c r="AC274" s="9">
        <v>165</v>
      </c>
      <c r="AD274" s="3" t="str">
        <f>IFERROR(MID(VLOOKUP($B274,Seqs!$A:$B,2,0),AE274,1),"")</f>
        <v>M</v>
      </c>
      <c r="AE274" s="3">
        <v>191</v>
      </c>
      <c r="AF274" s="3" t="str">
        <f>IFERROR(MID(VLOOKUP($B274,Seqs!$A:$B,2,0),AG274,1),"")</f>
        <v>C</v>
      </c>
      <c r="AG274" s="3">
        <v>210</v>
      </c>
      <c r="AH274" s="3" t="str">
        <f>IFERROR(MID(VLOOKUP($B274,Seqs!$A:$B,2,0),AI274,1),"")</f>
        <v>E</v>
      </c>
      <c r="AI274" s="3">
        <v>212</v>
      </c>
      <c r="AJ274" s="3" t="str">
        <f>IFERROR(MID(VLOOKUP($B274,Seqs!$A:$B,2,0),AK274,1),"")</f>
        <v>I</v>
      </c>
      <c r="AK274" s="105">
        <v>218</v>
      </c>
      <c r="AL274" s="3" t="str">
        <f>IFERROR(MID(VLOOKUP($B274,Seqs!$A:$B,2,0),AM274,1),"")</f>
        <v>C</v>
      </c>
      <c r="AM274" s="105">
        <v>252</v>
      </c>
      <c r="AN274" s="3" t="str">
        <f>IFERROR(MID(VLOOKUP($B274,Seqs!$A:$B,2,0),AO274,1),"")</f>
        <v>K</v>
      </c>
      <c r="AO274" s="3">
        <v>294</v>
      </c>
      <c r="AP274" s="3" t="str">
        <f>IFERROR(MID(VLOOKUP($B274,Seqs!$A:$B,2,0),AQ274,1),"")</f>
        <v>F</v>
      </c>
      <c r="AQ274" s="3">
        <v>330</v>
      </c>
      <c r="AR274" s="3" t="str">
        <f>IFERROR(MID(VLOOKUP($B274,Seqs!$A:$B,2,0),AS274,1),"")</f>
        <v>R</v>
      </c>
      <c r="AS274" s="3">
        <v>339</v>
      </c>
      <c r="AT274" s="3" t="str">
        <f>IFERROR(MID(VLOOKUP($B274,Seqs!$A:$B,2,0),AU274,1),"")</f>
        <v>L</v>
      </c>
      <c r="AU274" s="3">
        <v>367</v>
      </c>
      <c r="AV274" s="3" t="str">
        <f>IFERROR(MID(VLOOKUP($B274,Seqs!$A:$B,2,0),AW274,1),"")</f>
        <v>S</v>
      </c>
      <c r="AW274" s="3">
        <v>368</v>
      </c>
      <c r="AX274" s="3" t="str">
        <f>IFERROR(MID(VLOOKUP($B274,Seqs!$A:$B,2,0),AY274,1),"")</f>
        <v>F</v>
      </c>
      <c r="AY274" s="3">
        <v>379</v>
      </c>
      <c r="AZ274" s="77" t="str">
        <f>VLOOKUP(B274,Classification!A:D,2,0)</f>
        <v>A</v>
      </c>
      <c r="BA274" s="94" t="str">
        <f>VLOOKUP(B274,Classification!A:D,4,0)</f>
        <v>Orexin</v>
      </c>
      <c r="BB274" s="27" t="b">
        <f t="shared" si="1481"/>
        <v>1</v>
      </c>
      <c r="BC274" s="23">
        <f t="shared" si="1454"/>
        <v>250</v>
      </c>
      <c r="BD274" s="2" t="s">
        <v>23</v>
      </c>
      <c r="BE274" s="3" t="s">
        <v>1375</v>
      </c>
      <c r="BF274" s="119">
        <v>2.5</v>
      </c>
      <c r="BG274" s="49" t="s">
        <v>1378</v>
      </c>
      <c r="BH274" s="49" t="s">
        <v>1378</v>
      </c>
      <c r="BI274" s="1"/>
      <c r="BJ274" s="70" t="s">
        <v>1288</v>
      </c>
      <c r="BK274" s="57" t="s">
        <v>1288</v>
      </c>
      <c r="BL274" s="57" t="s">
        <v>1288</v>
      </c>
      <c r="BM274" s="57" t="s">
        <v>1288</v>
      </c>
      <c r="BN274" s="57" t="s">
        <v>1288</v>
      </c>
      <c r="BO274" s="57" t="s">
        <v>1288</v>
      </c>
      <c r="BP274" s="57" t="s">
        <v>1288</v>
      </c>
      <c r="BQ274" s="57" t="s">
        <v>1288</v>
      </c>
      <c r="BR274" s="57" t="s">
        <v>1288</v>
      </c>
      <c r="BS274" s="57" t="s">
        <v>1288</v>
      </c>
      <c r="BT274" s="57" t="s">
        <v>1288</v>
      </c>
      <c r="BU274" s="57" t="s">
        <v>1288</v>
      </c>
      <c r="BV274" s="70">
        <f t="shared" si="1455"/>
        <v>53</v>
      </c>
      <c r="BW274" s="71">
        <f t="shared" si="1456"/>
        <v>83</v>
      </c>
      <c r="BX274" s="72">
        <f t="shared" si="1457"/>
        <v>87</v>
      </c>
      <c r="BY274" s="71">
        <f t="shared" si="1458"/>
        <v>119</v>
      </c>
      <c r="BZ274" s="72">
        <f t="shared" si="1459"/>
        <v>123</v>
      </c>
      <c r="CA274" s="71" t="str">
        <f t="shared" si="1460"/>
        <v>-</v>
      </c>
      <c r="CB274" s="72">
        <f t="shared" si="1461"/>
        <v>165</v>
      </c>
      <c r="CC274" s="71">
        <f t="shared" si="1462"/>
        <v>210</v>
      </c>
      <c r="CD274" s="72">
        <f t="shared" si="1463"/>
        <v>218</v>
      </c>
      <c r="CE274" s="71">
        <f t="shared" si="1464"/>
        <v>294</v>
      </c>
      <c r="CF274" s="72">
        <f t="shared" si="1465"/>
        <v>339</v>
      </c>
      <c r="CG274" s="71">
        <f t="shared" si="1466"/>
        <v>368</v>
      </c>
      <c r="CH274" s="70">
        <f t="shared" si="1467"/>
        <v>82</v>
      </c>
      <c r="CI274" s="71">
        <f t="shared" si="1468"/>
        <v>86</v>
      </c>
      <c r="CJ274" s="72">
        <f t="shared" si="1469"/>
        <v>118</v>
      </c>
      <c r="CK274" s="72">
        <f t="shared" si="1470"/>
        <v>122</v>
      </c>
      <c r="CL274" s="72">
        <f t="shared" si="1471"/>
        <v>158</v>
      </c>
      <c r="CM274" s="72" t="str">
        <f t="shared" si="1472"/>
        <v>-</v>
      </c>
      <c r="CN274" s="72">
        <f t="shared" si="1473"/>
        <v>191</v>
      </c>
      <c r="CO274" s="72">
        <f t="shared" si="1474"/>
        <v>212</v>
      </c>
      <c r="CP274" s="72">
        <f t="shared" si="1475"/>
        <v>252</v>
      </c>
      <c r="CQ274" s="72">
        <f t="shared" si="1476"/>
        <v>330</v>
      </c>
      <c r="CR274" s="72">
        <f t="shared" si="1477"/>
        <v>367</v>
      </c>
      <c r="CS274" s="72">
        <f t="shared" si="1478"/>
        <v>379</v>
      </c>
      <c r="CT274" s="23">
        <f t="shared" si="1479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>CONCATENATE(B275,"_",C275)</f>
        <v>ox2r_human_5WQC</v>
      </c>
      <c r="B275" s="3" t="s">
        <v>1176</v>
      </c>
      <c r="C275" s="3" t="s">
        <v>1448</v>
      </c>
      <c r="D275" s="3" t="str">
        <f>IFERROR(MID(VLOOKUP($B275,Seqs!$A:$B,2,0),E275,1),"")</f>
        <v>Y</v>
      </c>
      <c r="E275" s="3">
        <v>53</v>
      </c>
      <c r="F275" s="3" t="str">
        <f>IFERROR(MID(VLOOKUP($B275,Seqs!$A:$B,2,0),G275,1),"")</f>
        <v>N</v>
      </c>
      <c r="G275" s="3">
        <v>82</v>
      </c>
      <c r="H275" s="3" t="str">
        <f>IFERROR(MID(VLOOKUP($B275,Seqs!$A:$B,2,0),I275,1),"")</f>
        <v>H</v>
      </c>
      <c r="I275" s="23">
        <v>83</v>
      </c>
      <c r="J275" s="3" t="str">
        <f>IFERROR(MID(VLOOKUP($B275,Seqs!$A:$B,2,0),K275,1),"")</f>
        <v>R</v>
      </c>
      <c r="K275" s="23">
        <v>86</v>
      </c>
      <c r="L275" s="3" t="str">
        <f>IFERROR(MID(VLOOKUP($B275,Seqs!$A:$B,2,0),M275,1),"")</f>
        <v>T</v>
      </c>
      <c r="M275" s="3">
        <v>87</v>
      </c>
      <c r="N275" s="3" t="str">
        <f>IFERROR(MID(VLOOKUP($B275,Seqs!$A:$B,2,0),O275,1),"")</f>
        <v>E</v>
      </c>
      <c r="O275" s="3">
        <v>118</v>
      </c>
      <c r="P275" s="3" t="str">
        <f>IFERROR(MID(VLOOKUP($B275,Seqs!$A:$B,2,0),Q275,1),"")</f>
        <v>T</v>
      </c>
      <c r="Q275" s="3">
        <v>119</v>
      </c>
      <c r="R275" s="3" t="str">
        <f>IFERROR(MID(VLOOKUP($B275,Seqs!$A:$B,2,0),S275,1),"")</f>
        <v>F</v>
      </c>
      <c r="S275" s="3">
        <v>122</v>
      </c>
      <c r="T275" s="3" t="str">
        <f>IFERROR(MID(VLOOKUP($B275,Seqs!$A:$B,2,0),U275,1),"")</f>
        <v>G</v>
      </c>
      <c r="U275" s="3">
        <v>123</v>
      </c>
      <c r="V275" s="3" t="str">
        <f>IFERROR(MID(VLOOKUP($B275,Seqs!$A:$B,2,0),W275,1),"")</f>
        <v>H</v>
      </c>
      <c r="W275" s="3">
        <v>158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T</v>
      </c>
      <c r="AC275" s="3">
        <v>165</v>
      </c>
      <c r="AD275" s="3" t="str">
        <f>IFERROR(MID(VLOOKUP($B275,Seqs!$A:$B,2,0),AE275,1),"")</f>
        <v>M</v>
      </c>
      <c r="AE275" s="3">
        <v>191</v>
      </c>
      <c r="AF275" s="3" t="str">
        <f>IFERROR(MID(VLOOKUP($B275,Seqs!$A:$B,2,0),AG275,1),"")</f>
        <v>C</v>
      </c>
      <c r="AG275" s="3">
        <v>210</v>
      </c>
      <c r="AH275" s="3" t="str">
        <f>IFERROR(MID(VLOOKUP($B275,Seqs!$A:$B,2,0),AI275,1),"")</f>
        <v>E</v>
      </c>
      <c r="AI275" s="3">
        <v>212</v>
      </c>
      <c r="AJ275" s="3" t="str">
        <f>IFERROR(MID(VLOOKUP($B275,Seqs!$A:$B,2,0),AK275,1),"")</f>
        <v>I</v>
      </c>
      <c r="AK275" s="3">
        <v>218</v>
      </c>
      <c r="AL275" s="3" t="str">
        <f>IFERROR(MID(VLOOKUP($B275,Seqs!$A:$B,2,0),AM275,1),"")</f>
        <v>C</v>
      </c>
      <c r="AM275" s="3">
        <v>252</v>
      </c>
      <c r="AN275" s="3" t="str">
        <f>IFERROR(MID(VLOOKUP($B275,Seqs!$A:$B,2,0),AO275,1),"")</f>
        <v>K</v>
      </c>
      <c r="AO275" s="3">
        <v>294</v>
      </c>
      <c r="AP275" s="3" t="str">
        <f>IFERROR(MID(VLOOKUP($B275,Seqs!$A:$B,2,0),AQ275,1),"")</f>
        <v>F</v>
      </c>
      <c r="AQ275" s="3">
        <v>330</v>
      </c>
      <c r="AR275" s="3" t="str">
        <f>IFERROR(MID(VLOOKUP($B275,Seqs!$A:$B,2,0),AS275,1),"")</f>
        <v>D</v>
      </c>
      <c r="AS275" s="3">
        <v>338</v>
      </c>
      <c r="AT275" s="3" t="str">
        <f>IFERROR(MID(VLOOKUP($B275,Seqs!$A:$B,2,0),AU275,1),"")</f>
        <v>L</v>
      </c>
      <c r="AU275" s="3">
        <v>367</v>
      </c>
      <c r="AV275" s="3" t="str">
        <f>IFERROR(MID(VLOOKUP($B275,Seqs!$A:$B,2,0),AW275,1),"")</f>
        <v>S</v>
      </c>
      <c r="AW275" s="3">
        <v>368</v>
      </c>
      <c r="AX275" s="3" t="str">
        <f>IFERROR(MID(VLOOKUP($B275,Seqs!$A:$B,2,0),AY275,1),"")</f>
        <v>C</v>
      </c>
      <c r="AY275" s="3">
        <v>383</v>
      </c>
      <c r="AZ275" s="77" t="str">
        <f>VLOOKUP(B275,Classification!A:D,2,0)</f>
        <v>A</v>
      </c>
      <c r="BA275" s="94" t="str">
        <f>VLOOKUP(B275,Classification!A:D,4,0)</f>
        <v>Orexin</v>
      </c>
      <c r="BB275" s="27" t="b">
        <f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>_xlfn.AGGREGATE(9,6,CH275:CS275)-_xlfn.AGGREGATE(9,6,BV275:CG275)+12</f>
        <v>255</v>
      </c>
      <c r="BD275" s="2" t="s">
        <v>23</v>
      </c>
      <c r="BE275" s="3" t="s">
        <v>1375</v>
      </c>
      <c r="BF275" s="119">
        <v>1.96</v>
      </c>
      <c r="BG275" s="49" t="s">
        <v>1</v>
      </c>
      <c r="BH275" s="49" t="s">
        <v>1</v>
      </c>
      <c r="BI275" s="1"/>
      <c r="BJ275" s="70" t="s">
        <v>1288</v>
      </c>
      <c r="BK275" s="57" t="s">
        <v>1288</v>
      </c>
      <c r="BL275" s="57" t="s">
        <v>1288</v>
      </c>
      <c r="BM275" s="57" t="s">
        <v>1288</v>
      </c>
      <c r="BN275" s="57" t="s">
        <v>1288</v>
      </c>
      <c r="BO275" s="57" t="s">
        <v>1288</v>
      </c>
      <c r="BP275" s="57" t="s">
        <v>1288</v>
      </c>
      <c r="BQ275" s="57" t="s">
        <v>1288</v>
      </c>
      <c r="BR275" s="57" t="s">
        <v>1288</v>
      </c>
      <c r="BS275" s="57" t="s">
        <v>1288</v>
      </c>
      <c r="BT275" s="57" t="s">
        <v>1288</v>
      </c>
      <c r="BU275" s="57" t="s">
        <v>1288</v>
      </c>
      <c r="BV275" s="70">
        <f>E275</f>
        <v>53</v>
      </c>
      <c r="BW275" s="71">
        <f>I275</f>
        <v>83</v>
      </c>
      <c r="BX275" s="72">
        <f>M275</f>
        <v>87</v>
      </c>
      <c r="BY275" s="71">
        <f>Q275</f>
        <v>119</v>
      </c>
      <c r="BZ275" s="72">
        <f>U275</f>
        <v>123</v>
      </c>
      <c r="CA275" s="71" t="str">
        <f>Y275</f>
        <v>-</v>
      </c>
      <c r="CB275" s="72">
        <f>AC275</f>
        <v>165</v>
      </c>
      <c r="CC275" s="71">
        <f>AG275</f>
        <v>210</v>
      </c>
      <c r="CD275" s="72">
        <f>AK275</f>
        <v>218</v>
      </c>
      <c r="CE275" s="71">
        <f>AO275</f>
        <v>294</v>
      </c>
      <c r="CF275" s="72">
        <f>AS275</f>
        <v>338</v>
      </c>
      <c r="CG275" s="71">
        <f>AW275</f>
        <v>368</v>
      </c>
      <c r="CH275" s="70">
        <f>G275</f>
        <v>82</v>
      </c>
      <c r="CI275" s="71">
        <f>K275</f>
        <v>86</v>
      </c>
      <c r="CJ275" s="72">
        <f>O275</f>
        <v>118</v>
      </c>
      <c r="CK275" s="72">
        <f>S275</f>
        <v>122</v>
      </c>
      <c r="CL275" s="72">
        <f>W275</f>
        <v>158</v>
      </c>
      <c r="CM275" s="72" t="str">
        <f>AA275</f>
        <v>-</v>
      </c>
      <c r="CN275" s="72">
        <f>AE275</f>
        <v>191</v>
      </c>
      <c r="CO275" s="72">
        <f>AI275</f>
        <v>212</v>
      </c>
      <c r="CP275" s="72">
        <f>AM275</f>
        <v>252</v>
      </c>
      <c r="CQ275" s="72">
        <f>AQ275</f>
        <v>330</v>
      </c>
      <c r="CR275" s="72">
        <f>AU275</f>
        <v>367</v>
      </c>
      <c r="CS275" s="72">
        <f>AY275</f>
        <v>383</v>
      </c>
      <c r="CT275" s="23">
        <f>M275-K275</f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>CONCATENATE(B276,"_",C276)</f>
        <v>ox2r_human_5WS3</v>
      </c>
      <c r="B276" s="3" t="s">
        <v>1176</v>
      </c>
      <c r="C276" s="3" t="s">
        <v>1449</v>
      </c>
      <c r="D276" s="3" t="str">
        <f>IFERROR(MID(VLOOKUP($B276,Seqs!$A:$B,2,0),E276,1),"")</f>
        <v>Y</v>
      </c>
      <c r="E276" s="3">
        <v>53</v>
      </c>
      <c r="F276" s="3" t="str">
        <f>IFERROR(MID(VLOOKUP($B276,Seqs!$A:$B,2,0),G276,1),"")</f>
        <v>N</v>
      </c>
      <c r="G276" s="3">
        <v>82</v>
      </c>
      <c r="H276" s="3" t="str">
        <f>IFERROR(MID(VLOOKUP($B276,Seqs!$A:$B,2,0),I276,1),"")</f>
        <v>H</v>
      </c>
      <c r="I276" s="23">
        <v>83</v>
      </c>
      <c r="J276" s="3" t="str">
        <f>IFERROR(MID(VLOOKUP($B276,Seqs!$A:$B,2,0),K276,1),"")</f>
        <v>R</v>
      </c>
      <c r="K276" s="23">
        <v>86</v>
      </c>
      <c r="L276" s="3" t="str">
        <f>IFERROR(MID(VLOOKUP($B276,Seqs!$A:$B,2,0),M276,1),"")</f>
        <v>T</v>
      </c>
      <c r="M276" s="3">
        <v>87</v>
      </c>
      <c r="N276" s="3" t="str">
        <f>IFERROR(MID(VLOOKUP($B276,Seqs!$A:$B,2,0),O276,1),"")</f>
        <v>E</v>
      </c>
      <c r="O276" s="3">
        <v>118</v>
      </c>
      <c r="P276" s="3" t="str">
        <f>IFERROR(MID(VLOOKUP($B276,Seqs!$A:$B,2,0),Q276,1),"")</f>
        <v>T</v>
      </c>
      <c r="Q276" s="3">
        <v>119</v>
      </c>
      <c r="R276" s="3" t="str">
        <f>IFERROR(MID(VLOOKUP($B276,Seqs!$A:$B,2,0),S276,1),"")</f>
        <v>F</v>
      </c>
      <c r="S276" s="3">
        <v>122</v>
      </c>
      <c r="T276" s="3" t="str">
        <f>IFERROR(MID(VLOOKUP($B276,Seqs!$A:$B,2,0),U276,1),"")</f>
        <v>G</v>
      </c>
      <c r="U276" s="3">
        <v>123</v>
      </c>
      <c r="V276" s="3" t="str">
        <f>IFERROR(MID(VLOOKUP($B276,Seqs!$A:$B,2,0),W276,1),"")</f>
        <v>H</v>
      </c>
      <c r="W276" s="3">
        <v>158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T</v>
      </c>
      <c r="AC276" s="3">
        <v>165</v>
      </c>
      <c r="AD276" s="3" t="str">
        <f>IFERROR(MID(VLOOKUP($B276,Seqs!$A:$B,2,0),AE276,1),"")</f>
        <v>M</v>
      </c>
      <c r="AE276" s="3">
        <v>191</v>
      </c>
      <c r="AF276" s="3" t="str">
        <f>IFERROR(MID(VLOOKUP($B276,Seqs!$A:$B,2,0),AG276,1),"")</f>
        <v>C</v>
      </c>
      <c r="AG276" s="3">
        <v>210</v>
      </c>
      <c r="AH276" s="3" t="str">
        <f>IFERROR(MID(VLOOKUP($B276,Seqs!$A:$B,2,0),AI276,1),"")</f>
        <v>E</v>
      </c>
      <c r="AI276" s="3">
        <v>212</v>
      </c>
      <c r="AJ276" s="3" t="str">
        <f>IFERROR(MID(VLOOKUP($B276,Seqs!$A:$B,2,0),AK276,1),"")</f>
        <v>I</v>
      </c>
      <c r="AK276" s="3">
        <v>218</v>
      </c>
      <c r="AL276" s="3" t="str">
        <f>IFERROR(MID(VLOOKUP($B276,Seqs!$A:$B,2,0),AM276,1),"")</f>
        <v>C</v>
      </c>
      <c r="AM276" s="3">
        <v>252</v>
      </c>
      <c r="AN276" s="3" t="str">
        <f>IFERROR(MID(VLOOKUP($B276,Seqs!$A:$B,2,0),AO276,1),"")</f>
        <v>K</v>
      </c>
      <c r="AO276" s="3">
        <v>294</v>
      </c>
      <c r="AP276" s="3" t="str">
        <f>IFERROR(MID(VLOOKUP($B276,Seqs!$A:$B,2,0),AQ276,1),"")</f>
        <v>F</v>
      </c>
      <c r="AQ276" s="3">
        <v>330</v>
      </c>
      <c r="AR276" s="3" t="str">
        <f>IFERROR(MID(VLOOKUP($B276,Seqs!$A:$B,2,0),AS276,1),"")</f>
        <v>D</v>
      </c>
      <c r="AS276" s="3">
        <v>338</v>
      </c>
      <c r="AT276" s="3" t="str">
        <f>IFERROR(MID(VLOOKUP($B276,Seqs!$A:$B,2,0),AU276,1),"")</f>
        <v>L</v>
      </c>
      <c r="AU276" s="3">
        <v>367</v>
      </c>
      <c r="AV276" s="3" t="str">
        <f>IFERROR(MID(VLOOKUP($B276,Seqs!$A:$B,2,0),AW276,1),"")</f>
        <v>S</v>
      </c>
      <c r="AW276" s="3">
        <v>368</v>
      </c>
      <c r="AX276" s="3" t="str">
        <f>IFERROR(MID(VLOOKUP($B276,Seqs!$A:$B,2,0),AY276,1),"")</f>
        <v>C</v>
      </c>
      <c r="AY276" s="3">
        <v>383</v>
      </c>
      <c r="AZ276" s="77" t="str">
        <f>VLOOKUP(B276,Classification!A:D,2,0)</f>
        <v>A</v>
      </c>
      <c r="BA276" s="94" t="str">
        <f>VLOOKUP(B276,Classification!A:D,4,0)</f>
        <v>Orexin</v>
      </c>
      <c r="BB276" s="27" t="b">
        <f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>_xlfn.AGGREGATE(9,6,CH276:CS276)-_xlfn.AGGREGATE(9,6,BV276:CG276)+12</f>
        <v>255</v>
      </c>
      <c r="BD276" s="2" t="s">
        <v>1377</v>
      </c>
      <c r="BE276" s="3" t="s">
        <v>1375</v>
      </c>
      <c r="BF276" s="119">
        <v>2.2999999999999998</v>
      </c>
      <c r="BG276" s="49" t="s">
        <v>1</v>
      </c>
      <c r="BH276" s="49" t="s">
        <v>1</v>
      </c>
      <c r="BI276" s="1"/>
      <c r="BJ276" s="70" t="s">
        <v>1288</v>
      </c>
      <c r="BK276" s="57" t="s">
        <v>1288</v>
      </c>
      <c r="BL276" s="57" t="s">
        <v>1288</v>
      </c>
      <c r="BM276" s="57" t="s">
        <v>1288</v>
      </c>
      <c r="BN276" s="57" t="s">
        <v>1288</v>
      </c>
      <c r="BO276" s="57" t="s">
        <v>1288</v>
      </c>
      <c r="BP276" s="57" t="s">
        <v>1288</v>
      </c>
      <c r="BQ276" s="57" t="s">
        <v>1288</v>
      </c>
      <c r="BR276" s="57" t="s">
        <v>1288</v>
      </c>
      <c r="BS276" s="57" t="s">
        <v>1288</v>
      </c>
      <c r="BT276" s="57" t="s">
        <v>1288</v>
      </c>
      <c r="BU276" s="57" t="s">
        <v>1288</v>
      </c>
      <c r="BV276" s="70">
        <f>E276</f>
        <v>53</v>
      </c>
      <c r="BW276" s="71">
        <f>I276</f>
        <v>83</v>
      </c>
      <c r="BX276" s="72">
        <f>M276</f>
        <v>87</v>
      </c>
      <c r="BY276" s="71">
        <f>Q276</f>
        <v>119</v>
      </c>
      <c r="BZ276" s="72">
        <f>U276</f>
        <v>123</v>
      </c>
      <c r="CA276" s="71" t="str">
        <f>Y276</f>
        <v>-</v>
      </c>
      <c r="CB276" s="72">
        <f>AC276</f>
        <v>165</v>
      </c>
      <c r="CC276" s="71">
        <f>AG276</f>
        <v>210</v>
      </c>
      <c r="CD276" s="72">
        <f>AK276</f>
        <v>218</v>
      </c>
      <c r="CE276" s="71">
        <f>AO276</f>
        <v>294</v>
      </c>
      <c r="CF276" s="72">
        <f>AS276</f>
        <v>338</v>
      </c>
      <c r="CG276" s="71">
        <f>AW276</f>
        <v>368</v>
      </c>
      <c r="CH276" s="70">
        <f>G276</f>
        <v>82</v>
      </c>
      <c r="CI276" s="71">
        <f>K276</f>
        <v>86</v>
      </c>
      <c r="CJ276" s="72">
        <f>O276</f>
        <v>118</v>
      </c>
      <c r="CK276" s="72">
        <f>S276</f>
        <v>122</v>
      </c>
      <c r="CL276" s="72">
        <f>W276</f>
        <v>158</v>
      </c>
      <c r="CM276" s="72" t="str">
        <f>AA276</f>
        <v>-</v>
      </c>
      <c r="CN276" s="72">
        <f>AE276</f>
        <v>191</v>
      </c>
      <c r="CO276" s="72">
        <f>AI276</f>
        <v>212</v>
      </c>
      <c r="CP276" s="72">
        <f>AM276</f>
        <v>252</v>
      </c>
      <c r="CQ276" s="72">
        <f>AQ276</f>
        <v>330</v>
      </c>
      <c r="CR276" s="72">
        <f>AU276</f>
        <v>367</v>
      </c>
      <c r="CS276" s="72">
        <f>AY276</f>
        <v>383</v>
      </c>
      <c r="CT276" s="23">
        <f>M276-K276</f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si="1480"/>
        <v>p2ry1_human__wt</v>
      </c>
      <c r="B277" s="3" t="s">
        <v>345</v>
      </c>
      <c r="C277" s="3" t="s">
        <v>100</v>
      </c>
      <c r="D277" s="3" t="str">
        <f>IFERROR(MID(VLOOKUP($B277,Seqs!$A:$B,2,0),E277,1),"")</f>
        <v>F</v>
      </c>
      <c r="E277" s="3">
        <v>49</v>
      </c>
      <c r="F277" s="3" t="str">
        <f>IFERROR(MID(VLOOKUP($B277,Seqs!$A:$B,2,0),G277,1),"")</f>
        <v>H</v>
      </c>
      <c r="G277" s="3">
        <v>79</v>
      </c>
      <c r="H277" s="3" t="str">
        <f>IFERROR(MID(VLOOKUP($B277,Seqs!$A:$B,2,0),I277,1),"")</f>
        <v/>
      </c>
      <c r="I277" s="23" t="s">
        <v>23</v>
      </c>
      <c r="J277" s="3" t="str">
        <f>IFERROR(MID(VLOOKUP($B277,Seqs!$A:$B,2,0),K277,1),"")</f>
        <v/>
      </c>
      <c r="K277" s="23" t="s">
        <v>23</v>
      </c>
      <c r="L277" s="3" t="str">
        <f>IFERROR(MID(VLOOKUP($B277,Seqs!$A:$B,2,0),M277,1),"")</f>
        <v>S</v>
      </c>
      <c r="M277" s="3">
        <v>84</v>
      </c>
      <c r="N277" s="3" t="str">
        <f>IFERROR(MID(VLOOKUP($B277,Seqs!$A:$B,2,0),O277,1),"")</f>
        <v>N</v>
      </c>
      <c r="O277" s="3">
        <v>113</v>
      </c>
      <c r="P277" s="3" t="str">
        <f>IFERROR(MID(VLOOKUP($B277,Seqs!$A:$B,2,0),Q277,1),"")</f>
        <v>D</v>
      </c>
      <c r="Q277" s="3">
        <v>116</v>
      </c>
      <c r="R277" s="3" t="str">
        <f>IFERROR(MID(VLOOKUP($B277,Seqs!$A:$B,2,0),S277,1),"")</f>
        <v>F</v>
      </c>
      <c r="S277" s="3">
        <v>119</v>
      </c>
      <c r="T277" s="3" t="str">
        <f>IFERROR(MID(VLOOKUP($B277,Seqs!$A:$B,2,0),U277,1),"")</f>
        <v>G</v>
      </c>
      <c r="U277" s="3">
        <v>120</v>
      </c>
      <c r="V277" s="3" t="str">
        <f>IFERROR(MID(VLOOKUP($B277,Seqs!$A:$B,2,0),W277,1),"")</f>
        <v>Y</v>
      </c>
      <c r="W277" s="3">
        <v>155</v>
      </c>
      <c r="X277" s="3" t="str">
        <f>IFERROR(MID(VLOOKUP($B277,Seqs!$A:$B,2,0),Y277,1),"")</f>
        <v>P</v>
      </c>
      <c r="Y277" s="3">
        <v>156</v>
      </c>
      <c r="Z277" s="3" t="str">
        <f>IFERROR(MID(VLOOKUP($B277,Seqs!$A:$B,2,0),AA277,1),"")</f>
        <v>L</v>
      </c>
      <c r="AA277" s="3">
        <v>163</v>
      </c>
      <c r="AB277" s="3" t="str">
        <f>IFERROR(MID(VLOOKUP($B277,Seqs!$A:$B,2,0),AC277,1),"")</f>
        <v>K</v>
      </c>
      <c r="AC277" s="3">
        <v>164</v>
      </c>
      <c r="AD277" s="3" t="str">
        <f>IFERROR(MID(VLOOKUP($B277,Seqs!$A:$B,2,0),AE277,1),"")</f>
        <v>S</v>
      </c>
      <c r="AE277" s="3">
        <v>190</v>
      </c>
      <c r="AF277" s="3" t="str">
        <f>IFERROR(MID(VLOOKUP($B277,Seqs!$A:$B,2,0),AG277,1),"")</f>
        <v>C</v>
      </c>
      <c r="AG277" s="3">
        <v>202</v>
      </c>
      <c r="AH277" s="3" t="str">
        <f>IFERROR(MID(VLOOKUP($B277,Seqs!$A:$B,2,0),AI277,1),"")</f>
        <v>D</v>
      </c>
      <c r="AI277" s="3">
        <v>204</v>
      </c>
      <c r="AJ277" s="3" t="str">
        <f>IFERROR(MID(VLOOKUP($B277,Seqs!$A:$B,2,0),AK277,1),"")</f>
        <v>L</v>
      </c>
      <c r="AK277" s="3">
        <v>211</v>
      </c>
      <c r="AL277" s="3" t="str">
        <f>IFERROR(MID(VLOOKUP($B277,Seqs!$A:$B,2,0),AM277,1),"")</f>
        <v>K</v>
      </c>
      <c r="AM277" s="3">
        <v>247</v>
      </c>
      <c r="AN277" s="3" t="str">
        <f>IFERROR(MID(VLOOKUP($B277,Seqs!$A:$B,2,0),AO277,1),"")</f>
        <v>P</v>
      </c>
      <c r="AO277" s="3">
        <v>253</v>
      </c>
      <c r="AP277" s="3" t="str">
        <f>IFERROR(MID(VLOOKUP($B277,Seqs!$A:$B,2,0),AQ277,1),"")</f>
        <v>D</v>
      </c>
      <c r="AQ277" s="3">
        <v>289</v>
      </c>
      <c r="AR277" s="3" t="str">
        <f>IFERROR(MID(VLOOKUP($B277,Seqs!$A:$B,2,0),AS277,1),"")</f>
        <v>M</v>
      </c>
      <c r="AS277" s="3">
        <v>295</v>
      </c>
      <c r="AT277" s="3" t="str">
        <f>IFERROR(MID(VLOOKUP($B277,Seqs!$A:$B,2,0),AU277,1),"")</f>
        <v>A</v>
      </c>
      <c r="AU277" s="3">
        <v>327</v>
      </c>
      <c r="AV277" s="3" t="str">
        <f>IFERROR(MID(VLOOKUP($B277,Seqs!$A:$B,2,0),AW277,1),"")</f>
        <v>G</v>
      </c>
      <c r="AW277" s="3">
        <v>328</v>
      </c>
      <c r="AX277" s="3" t="str">
        <f>IFERROR(MID(VLOOKUP($B277,Seqs!$A:$B,2,0),AY277,1),"")</f>
        <v>R</v>
      </c>
      <c r="AY277" s="3">
        <v>340</v>
      </c>
      <c r="AZ277" s="77" t="str">
        <f>VLOOKUP(B277,Classification!A:D,2,0)</f>
        <v>A</v>
      </c>
      <c r="BA277" s="94" t="str">
        <f>VLOOKUP(B277,Classification!A:D,4,0)</f>
        <v>P2Y</v>
      </c>
      <c r="BB277" s="27" t="b">
        <f t="shared" si="1481"/>
        <v>1</v>
      </c>
      <c r="BC277" s="23">
        <f t="shared" si="1454"/>
        <v>260</v>
      </c>
      <c r="BD277" s="56" t="s">
        <v>23</v>
      </c>
      <c r="BE277" s="3" t="s">
        <v>23</v>
      </c>
      <c r="BF277" s="119" t="s">
        <v>23</v>
      </c>
      <c r="BG277" s="49" t="s">
        <v>1373</v>
      </c>
      <c r="BH277" s="49" t="s">
        <v>1378</v>
      </c>
      <c r="BI277" s="1"/>
      <c r="BJ277" s="70" t="s">
        <v>1288</v>
      </c>
      <c r="BK277" s="57" t="s">
        <v>1288</v>
      </c>
      <c r="BL277" s="57" t="s">
        <v>1288</v>
      </c>
      <c r="BM277" s="57" t="s">
        <v>1288</v>
      </c>
      <c r="BN277" s="57" t="s">
        <v>1288</v>
      </c>
      <c r="BO277" s="57" t="s">
        <v>1288</v>
      </c>
      <c r="BP277" s="57" t="s">
        <v>1288</v>
      </c>
      <c r="BQ277" s="57" t="s">
        <v>1288</v>
      </c>
      <c r="BR277" s="57" t="s">
        <v>1288</v>
      </c>
      <c r="BS277" s="57" t="s">
        <v>1288</v>
      </c>
      <c r="BT277" s="57" t="s">
        <v>1288</v>
      </c>
      <c r="BU277" s="57" t="s">
        <v>1288</v>
      </c>
      <c r="BV277" s="70">
        <f t="shared" si="1455"/>
        <v>49</v>
      </c>
      <c r="BW277" s="71" t="str">
        <f t="shared" si="1456"/>
        <v>-</v>
      </c>
      <c r="BX277" s="72">
        <f t="shared" si="1457"/>
        <v>84</v>
      </c>
      <c r="BY277" s="71">
        <f t="shared" si="1458"/>
        <v>116</v>
      </c>
      <c r="BZ277" s="72">
        <f t="shared" si="1459"/>
        <v>120</v>
      </c>
      <c r="CA277" s="71">
        <f t="shared" si="1460"/>
        <v>156</v>
      </c>
      <c r="CB277" s="72">
        <f t="shared" si="1461"/>
        <v>164</v>
      </c>
      <c r="CC277" s="71">
        <f t="shared" si="1462"/>
        <v>202</v>
      </c>
      <c r="CD277" s="72">
        <f t="shared" si="1463"/>
        <v>211</v>
      </c>
      <c r="CE277" s="71">
        <f t="shared" si="1464"/>
        <v>253</v>
      </c>
      <c r="CF277" s="72">
        <f t="shared" si="1465"/>
        <v>295</v>
      </c>
      <c r="CG277" s="71">
        <f t="shared" si="1466"/>
        <v>328</v>
      </c>
      <c r="CH277" s="70">
        <f t="shared" si="1467"/>
        <v>79</v>
      </c>
      <c r="CI277" s="71" t="str">
        <f t="shared" si="1468"/>
        <v>-</v>
      </c>
      <c r="CJ277" s="72">
        <f t="shared" si="1469"/>
        <v>113</v>
      </c>
      <c r="CK277" s="72">
        <f t="shared" si="1470"/>
        <v>119</v>
      </c>
      <c r="CL277" s="72">
        <f t="shared" si="1471"/>
        <v>155</v>
      </c>
      <c r="CM277" s="72">
        <f t="shared" si="1472"/>
        <v>163</v>
      </c>
      <c r="CN277" s="72">
        <f t="shared" si="1473"/>
        <v>190</v>
      </c>
      <c r="CO277" s="72">
        <f t="shared" si="1474"/>
        <v>204</v>
      </c>
      <c r="CP277" s="72">
        <f t="shared" si="1475"/>
        <v>247</v>
      </c>
      <c r="CQ277" s="72">
        <f t="shared" si="1476"/>
        <v>289</v>
      </c>
      <c r="CR277" s="72">
        <f t="shared" si="1477"/>
        <v>327</v>
      </c>
      <c r="CS277" s="72">
        <f t="shared" si="1478"/>
        <v>340</v>
      </c>
      <c r="CT277" s="23" t="e">
        <f t="shared" si="1479"/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si="1480"/>
        <v>p2ry1_human_4XNV</v>
      </c>
      <c r="B278" s="3" t="s">
        <v>345</v>
      </c>
      <c r="C278" s="3" t="s">
        <v>1152</v>
      </c>
      <c r="D278" s="3" t="str">
        <f>IFERROR(MID(VLOOKUP($B278,Seqs!$A:$B,2,0),E278,1),"")</f>
        <v>F</v>
      </c>
      <c r="E278" s="3">
        <v>49</v>
      </c>
      <c r="F278" s="3" t="str">
        <f>IFERROR(MID(VLOOKUP($B278,Seqs!$A:$B,2,0),G278,1),"")</f>
        <v>H</v>
      </c>
      <c r="G278" s="3">
        <v>79</v>
      </c>
      <c r="H278" s="3" t="str">
        <f>IFERROR(MID(VLOOKUP($B278,Seqs!$A:$B,2,0),I278,1),"")</f>
        <v/>
      </c>
      <c r="I278" s="23" t="s">
        <v>23</v>
      </c>
      <c r="J278" s="3" t="str">
        <f>IFERROR(MID(VLOOKUP($B278,Seqs!$A:$B,2,0),K278,1),"")</f>
        <v/>
      </c>
      <c r="K278" s="23" t="s">
        <v>23</v>
      </c>
      <c r="L278" s="3" t="str">
        <f>IFERROR(MID(VLOOKUP($B278,Seqs!$A:$B,2,0),M278,1),"")</f>
        <v>S</v>
      </c>
      <c r="M278" s="3">
        <v>84</v>
      </c>
      <c r="N278" s="3" t="str">
        <f>IFERROR(MID(VLOOKUP($B278,Seqs!$A:$B,2,0),O278,1),"")</f>
        <v>N</v>
      </c>
      <c r="O278" s="3">
        <v>113</v>
      </c>
      <c r="P278" s="3" t="str">
        <f>IFERROR(MID(VLOOKUP($B278,Seqs!$A:$B,2,0),Q278,1),"")</f>
        <v>D</v>
      </c>
      <c r="Q278" s="3">
        <v>116</v>
      </c>
      <c r="R278" s="3" t="str">
        <f>IFERROR(MID(VLOOKUP($B278,Seqs!$A:$B,2,0),S278,1),"")</f>
        <v>F</v>
      </c>
      <c r="S278" s="3">
        <v>119</v>
      </c>
      <c r="T278" s="3" t="str">
        <f>IFERROR(MID(VLOOKUP($B278,Seqs!$A:$B,2,0),U278,1),"")</f>
        <v>G</v>
      </c>
      <c r="U278" s="3">
        <v>120</v>
      </c>
      <c r="V278" s="3" t="str">
        <f>IFERROR(MID(VLOOKUP($B278,Seqs!$A:$B,2,0),W278,1),"")</f>
        <v>Y</v>
      </c>
      <c r="W278" s="3">
        <v>155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G</v>
      </c>
      <c r="AC278" s="9">
        <v>161</v>
      </c>
      <c r="AD278" s="3" t="str">
        <f>IFERROR(MID(VLOOKUP($B278,Seqs!$A:$B,2,0),AE278,1),"")</f>
        <v>S</v>
      </c>
      <c r="AE278" s="3">
        <v>190</v>
      </c>
      <c r="AF278" s="3" t="str">
        <f>IFERROR(MID(VLOOKUP($B278,Seqs!$A:$B,2,0),AG278,1),"")</f>
        <v>C</v>
      </c>
      <c r="AG278" s="3">
        <v>202</v>
      </c>
      <c r="AH278" s="3" t="str">
        <f>IFERROR(MID(VLOOKUP($B278,Seqs!$A:$B,2,0),AI278,1),"")</f>
        <v>D</v>
      </c>
      <c r="AI278" s="3">
        <v>204</v>
      </c>
      <c r="AJ278" s="3" t="str">
        <f>IFERROR(MID(VLOOKUP($B278,Seqs!$A:$B,2,0),AK278,1),"")</f>
        <v>L</v>
      </c>
      <c r="AK278" s="3">
        <v>211</v>
      </c>
      <c r="AL278" s="3" t="str">
        <f>IFERROR(MID(VLOOKUP($B278,Seqs!$A:$B,2,0),AM278,1),"")</f>
        <v>K</v>
      </c>
      <c r="AM278" s="3">
        <v>247</v>
      </c>
      <c r="AN278" s="3" t="str">
        <f>IFERROR(MID(VLOOKUP($B278,Seqs!$A:$B,2,0),AO278,1),"")</f>
        <v>P</v>
      </c>
      <c r="AO278" s="3">
        <v>253</v>
      </c>
      <c r="AP278" s="3" t="str">
        <f>IFERROR(MID(VLOOKUP($B278,Seqs!$A:$B,2,0),AQ278,1),"")</f>
        <v>D</v>
      </c>
      <c r="AQ278" s="3">
        <v>289</v>
      </c>
      <c r="AR278" s="3" t="str">
        <f>IFERROR(MID(VLOOKUP($B278,Seqs!$A:$B,2,0),AS278,1),"")</f>
        <v>M</v>
      </c>
      <c r="AS278" s="3">
        <v>295</v>
      </c>
      <c r="AT278" s="3" t="str">
        <f>IFERROR(MID(VLOOKUP($B278,Seqs!$A:$B,2,0),AU278,1),"")</f>
        <v>L</v>
      </c>
      <c r="AU278" s="3">
        <v>326</v>
      </c>
      <c r="AV278" s="3" t="str">
        <f>IFERROR(MID(VLOOKUP($B278,Seqs!$A:$B,2,0),AW278,1),"")</f>
        <v/>
      </c>
      <c r="AW278" s="3" t="s">
        <v>23</v>
      </c>
      <c r="AX278" s="3" t="str">
        <f>IFERROR(MID(VLOOKUP($B278,Seqs!$A:$B,2,0),AY278,1),"")</f>
        <v/>
      </c>
      <c r="AY278" s="3" t="s">
        <v>23</v>
      </c>
      <c r="AZ278" s="77" t="str">
        <f>VLOOKUP(B278,Classification!A:D,2,0)</f>
        <v>A</v>
      </c>
      <c r="BA278" s="94" t="str">
        <f>VLOOKUP(B278,Classification!A:D,4,0)</f>
        <v>P2Y</v>
      </c>
      <c r="BB278" s="27" t="b">
        <f t="shared" si="1481"/>
        <v>1</v>
      </c>
      <c r="BC278" s="23">
        <f t="shared" si="1454"/>
        <v>243</v>
      </c>
      <c r="BD278" s="4" t="s">
        <v>23</v>
      </c>
      <c r="BE278" s="3" t="s">
        <v>1429</v>
      </c>
      <c r="BF278" s="119">
        <v>2.2000000000000002</v>
      </c>
      <c r="BG278" s="49" t="s">
        <v>1378</v>
      </c>
      <c r="BH278" s="49" t="s">
        <v>1378</v>
      </c>
      <c r="BI278" s="3" t="s">
        <v>1169</v>
      </c>
      <c r="BJ278" s="70" t="s">
        <v>1288</v>
      </c>
      <c r="BK278" s="57" t="s">
        <v>1288</v>
      </c>
      <c r="BL278" s="57" t="s">
        <v>1288</v>
      </c>
      <c r="BM278" s="57" t="s">
        <v>1288</v>
      </c>
      <c r="BN278" s="57" t="s">
        <v>1288</v>
      </c>
      <c r="BO278" s="57" t="s">
        <v>1288</v>
      </c>
      <c r="BP278" s="57" t="s">
        <v>1288</v>
      </c>
      <c r="BQ278" s="57" t="s">
        <v>1288</v>
      </c>
      <c r="BR278" s="57" t="s">
        <v>1288</v>
      </c>
      <c r="BS278" s="57" t="s">
        <v>1288</v>
      </c>
      <c r="BT278" s="57" t="s">
        <v>1288</v>
      </c>
      <c r="BU278" s="57" t="s">
        <v>1288</v>
      </c>
      <c r="BV278" s="70">
        <f t="shared" si="1455"/>
        <v>49</v>
      </c>
      <c r="BW278" s="71" t="str">
        <f t="shared" si="1456"/>
        <v>-</v>
      </c>
      <c r="BX278" s="72">
        <f t="shared" si="1457"/>
        <v>84</v>
      </c>
      <c r="BY278" s="71">
        <f t="shared" si="1458"/>
        <v>116</v>
      </c>
      <c r="BZ278" s="72">
        <f t="shared" si="1459"/>
        <v>120</v>
      </c>
      <c r="CA278" s="71" t="str">
        <f t="shared" si="1460"/>
        <v>-</v>
      </c>
      <c r="CB278" s="72">
        <f t="shared" si="1461"/>
        <v>161</v>
      </c>
      <c r="CC278" s="71">
        <f t="shared" si="1462"/>
        <v>202</v>
      </c>
      <c r="CD278" s="72">
        <f t="shared" si="1463"/>
        <v>211</v>
      </c>
      <c r="CE278" s="71">
        <f t="shared" si="1464"/>
        <v>253</v>
      </c>
      <c r="CF278" s="72">
        <f t="shared" si="1465"/>
        <v>295</v>
      </c>
      <c r="CG278" s="71" t="str">
        <f t="shared" si="1466"/>
        <v>-</v>
      </c>
      <c r="CH278" s="70">
        <f t="shared" si="1467"/>
        <v>79</v>
      </c>
      <c r="CI278" s="71" t="str">
        <f t="shared" si="1468"/>
        <v>-</v>
      </c>
      <c r="CJ278" s="72">
        <f t="shared" si="1469"/>
        <v>113</v>
      </c>
      <c r="CK278" s="72">
        <f t="shared" si="1470"/>
        <v>119</v>
      </c>
      <c r="CL278" s="72">
        <f t="shared" si="1471"/>
        <v>155</v>
      </c>
      <c r="CM278" s="72" t="str">
        <f t="shared" si="1472"/>
        <v>-</v>
      </c>
      <c r="CN278" s="72">
        <f t="shared" si="1473"/>
        <v>190</v>
      </c>
      <c r="CO278" s="72">
        <f t="shared" si="1474"/>
        <v>204</v>
      </c>
      <c r="CP278" s="72">
        <f t="shared" si="1475"/>
        <v>247</v>
      </c>
      <c r="CQ278" s="72">
        <f t="shared" si="1476"/>
        <v>289</v>
      </c>
      <c r="CR278" s="72">
        <f t="shared" si="1477"/>
        <v>326</v>
      </c>
      <c r="CS278" s="72" t="str">
        <f t="shared" si="1478"/>
        <v>-</v>
      </c>
      <c r="CT278" s="23" t="e">
        <f t="shared" si="1479"/>
        <v>#VALUE!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si="1480"/>
        <v>p2ry1_human_4XNW</v>
      </c>
      <c r="B279" s="3" t="s">
        <v>345</v>
      </c>
      <c r="C279" s="3" t="s">
        <v>1056</v>
      </c>
      <c r="D279" s="3" t="str">
        <f>IFERROR(MID(VLOOKUP($B279,Seqs!$A:$B,2,0),E279,1),"")</f>
        <v>F</v>
      </c>
      <c r="E279" s="3">
        <v>49</v>
      </c>
      <c r="F279" s="3" t="str">
        <f>IFERROR(MID(VLOOKUP($B279,Seqs!$A:$B,2,0),G279,1),"")</f>
        <v>H</v>
      </c>
      <c r="G279" s="3">
        <v>79</v>
      </c>
      <c r="H279" s="3" t="str">
        <f>IFERROR(MID(VLOOKUP($B279,Seqs!$A:$B,2,0),I279,1),"")</f>
        <v/>
      </c>
      <c r="I279" s="23" t="s">
        <v>23</v>
      </c>
      <c r="J279" s="3" t="str">
        <f>IFERROR(MID(VLOOKUP($B279,Seqs!$A:$B,2,0),K279,1),"")</f>
        <v/>
      </c>
      <c r="K279" s="23" t="s">
        <v>23</v>
      </c>
      <c r="L279" s="3" t="str">
        <f>IFERROR(MID(VLOOKUP($B279,Seqs!$A:$B,2,0),M279,1),"")</f>
        <v>S</v>
      </c>
      <c r="M279" s="3">
        <v>84</v>
      </c>
      <c r="N279" s="3" t="str">
        <f>IFERROR(MID(VLOOKUP($B279,Seqs!$A:$B,2,0),O279,1),"")</f>
        <v>N</v>
      </c>
      <c r="O279" s="3">
        <v>113</v>
      </c>
      <c r="P279" s="3" t="str">
        <f>IFERROR(MID(VLOOKUP($B279,Seqs!$A:$B,2,0),Q279,1),"")</f>
        <v>D</v>
      </c>
      <c r="Q279" s="3">
        <v>116</v>
      </c>
      <c r="R279" s="3" t="str">
        <f>IFERROR(MID(VLOOKUP($B279,Seqs!$A:$B,2,0),S279,1),"")</f>
        <v>F</v>
      </c>
      <c r="S279" s="3">
        <v>119</v>
      </c>
      <c r="T279" s="3" t="str">
        <f>IFERROR(MID(VLOOKUP($B279,Seqs!$A:$B,2,0),U279,1),"")</f>
        <v>G</v>
      </c>
      <c r="U279" s="3">
        <v>120</v>
      </c>
      <c r="V279" s="3" t="str">
        <f>IFERROR(MID(VLOOKUP($B279,Seqs!$A:$B,2,0),W279,1),"")</f>
        <v>Y</v>
      </c>
      <c r="W279" s="3">
        <v>155</v>
      </c>
      <c r="X279" s="3" t="str">
        <f>IFERROR(MID(VLOOKUP($B279,Seqs!$A:$B,2,0),Y279,1),"")</f>
        <v>P</v>
      </c>
      <c r="Y279" s="3">
        <v>156</v>
      </c>
      <c r="Z279" s="3" t="str">
        <f>IFERROR(MID(VLOOKUP($B279,Seqs!$A:$B,2,0),AA279,1),"")</f>
        <v>L</v>
      </c>
      <c r="AA279" s="3">
        <v>163</v>
      </c>
      <c r="AB279" s="3" t="str">
        <f>IFERROR(MID(VLOOKUP($B279,Seqs!$A:$B,2,0),AC279,1),"")</f>
        <v>K</v>
      </c>
      <c r="AC279" s="9">
        <v>164</v>
      </c>
      <c r="AD279" s="3" t="str">
        <f>IFERROR(MID(VLOOKUP($B279,Seqs!$A:$B,2,0),AE279,1),"")</f>
        <v>S</v>
      </c>
      <c r="AE279" s="3">
        <v>190</v>
      </c>
      <c r="AF279" s="3" t="str">
        <f>IFERROR(MID(VLOOKUP($B279,Seqs!$A:$B,2,0),AG279,1),"")</f>
        <v>C</v>
      </c>
      <c r="AG279" s="3">
        <v>202</v>
      </c>
      <c r="AH279" s="3" t="str">
        <f>IFERROR(MID(VLOOKUP($B279,Seqs!$A:$B,2,0),AI279,1),"")</f>
        <v>D</v>
      </c>
      <c r="AI279" s="3">
        <v>204</v>
      </c>
      <c r="AJ279" s="3" t="str">
        <f>IFERROR(MID(VLOOKUP($B279,Seqs!$A:$B,2,0),AK279,1),"")</f>
        <v>L</v>
      </c>
      <c r="AK279" s="3">
        <v>211</v>
      </c>
      <c r="AL279" s="3" t="str">
        <f>IFERROR(MID(VLOOKUP($B279,Seqs!$A:$B,2,0),AM279,1),"")</f>
        <v>K</v>
      </c>
      <c r="AM279" s="3">
        <v>247</v>
      </c>
      <c r="AN279" s="3" t="str">
        <f>IFERROR(MID(VLOOKUP($B279,Seqs!$A:$B,2,0),AO279,1),"")</f>
        <v>P</v>
      </c>
      <c r="AO279" s="3">
        <v>253</v>
      </c>
      <c r="AP279" s="3" t="str">
        <f>IFERROR(MID(VLOOKUP($B279,Seqs!$A:$B,2,0),AQ279,1),"")</f>
        <v>D</v>
      </c>
      <c r="AQ279" s="3">
        <v>289</v>
      </c>
      <c r="AR279" s="3" t="str">
        <f>IFERROR(MID(VLOOKUP($B279,Seqs!$A:$B,2,0),AS279,1),"")</f>
        <v>M</v>
      </c>
      <c r="AS279" s="3">
        <v>295</v>
      </c>
      <c r="AT279" s="3" t="str">
        <f>IFERROR(MID(VLOOKUP($B279,Seqs!$A:$B,2,0),AU279,1),"")</f>
        <v>L</v>
      </c>
      <c r="AU279" s="3">
        <v>326</v>
      </c>
      <c r="AV279" s="3" t="str">
        <f>IFERROR(MID(VLOOKUP($B279,Seqs!$A:$B,2,0),AW279,1),"")</f>
        <v/>
      </c>
      <c r="AW279" s="3" t="s">
        <v>23</v>
      </c>
      <c r="AX279" s="3" t="str">
        <f>IFERROR(MID(VLOOKUP($B279,Seqs!$A:$B,2,0),AY279,1),"")</f>
        <v/>
      </c>
      <c r="AY279" s="3" t="s">
        <v>23</v>
      </c>
      <c r="AZ279" s="77" t="str">
        <f>VLOOKUP(B279,Classification!A:D,2,0)</f>
        <v>A</v>
      </c>
      <c r="BA279" s="94" t="str">
        <f>VLOOKUP(B279,Classification!A:D,4,0)</f>
        <v>P2Y</v>
      </c>
      <c r="BB279" s="27" t="b">
        <f t="shared" si="1481"/>
        <v>1</v>
      </c>
      <c r="BC279" s="23">
        <f t="shared" si="1454"/>
        <v>247</v>
      </c>
      <c r="BD279" s="2" t="s">
        <v>1430</v>
      </c>
      <c r="BE279" s="3" t="s">
        <v>1429</v>
      </c>
      <c r="BF279" s="119">
        <v>2.7</v>
      </c>
      <c r="BG279" s="49" t="s">
        <v>1378</v>
      </c>
      <c r="BH279" s="49" t="s">
        <v>1378</v>
      </c>
      <c r="BI279" s="1"/>
      <c r="BJ279" s="70" t="s">
        <v>1288</v>
      </c>
      <c r="BK279" s="57" t="s">
        <v>1288</v>
      </c>
      <c r="BL279" s="57" t="s">
        <v>1288</v>
      </c>
      <c r="BM279" s="57" t="s">
        <v>1288</v>
      </c>
      <c r="BN279" s="57" t="s">
        <v>1288</v>
      </c>
      <c r="BO279" s="57" t="s">
        <v>1288</v>
      </c>
      <c r="BP279" s="57" t="s">
        <v>1288</v>
      </c>
      <c r="BQ279" s="57" t="s">
        <v>1288</v>
      </c>
      <c r="BR279" s="57" t="s">
        <v>1288</v>
      </c>
      <c r="BS279" s="57" t="s">
        <v>1288</v>
      </c>
      <c r="BT279" s="57" t="s">
        <v>1288</v>
      </c>
      <c r="BU279" s="57" t="s">
        <v>1288</v>
      </c>
      <c r="BV279" s="70">
        <f t="shared" si="1455"/>
        <v>49</v>
      </c>
      <c r="BW279" s="71" t="str">
        <f t="shared" si="1456"/>
        <v>-</v>
      </c>
      <c r="BX279" s="72">
        <f t="shared" si="1457"/>
        <v>84</v>
      </c>
      <c r="BY279" s="71">
        <f t="shared" si="1458"/>
        <v>116</v>
      </c>
      <c r="BZ279" s="72">
        <f t="shared" si="1459"/>
        <v>120</v>
      </c>
      <c r="CA279" s="71">
        <f t="shared" si="1460"/>
        <v>156</v>
      </c>
      <c r="CB279" s="72">
        <f t="shared" si="1461"/>
        <v>164</v>
      </c>
      <c r="CC279" s="71">
        <f t="shared" si="1462"/>
        <v>202</v>
      </c>
      <c r="CD279" s="72">
        <f t="shared" si="1463"/>
        <v>211</v>
      </c>
      <c r="CE279" s="71">
        <f t="shared" si="1464"/>
        <v>253</v>
      </c>
      <c r="CF279" s="72">
        <f t="shared" si="1465"/>
        <v>295</v>
      </c>
      <c r="CG279" s="71" t="str">
        <f t="shared" si="1466"/>
        <v>-</v>
      </c>
      <c r="CH279" s="70">
        <f t="shared" si="1467"/>
        <v>79</v>
      </c>
      <c r="CI279" s="71" t="str">
        <f t="shared" si="1468"/>
        <v>-</v>
      </c>
      <c r="CJ279" s="72">
        <f t="shared" si="1469"/>
        <v>113</v>
      </c>
      <c r="CK279" s="72">
        <f t="shared" si="1470"/>
        <v>119</v>
      </c>
      <c r="CL279" s="72">
        <f t="shared" si="1471"/>
        <v>155</v>
      </c>
      <c r="CM279" s="72">
        <f t="shared" si="1472"/>
        <v>163</v>
      </c>
      <c r="CN279" s="72">
        <f t="shared" si="1473"/>
        <v>190</v>
      </c>
      <c r="CO279" s="72">
        <f t="shared" si="1474"/>
        <v>204</v>
      </c>
      <c r="CP279" s="72">
        <f t="shared" si="1475"/>
        <v>247</v>
      </c>
      <c r="CQ279" s="72">
        <f t="shared" si="1476"/>
        <v>289</v>
      </c>
      <c r="CR279" s="72">
        <f t="shared" si="1477"/>
        <v>326</v>
      </c>
      <c r="CS279" s="72" t="str">
        <f t="shared" si="1478"/>
        <v>-</v>
      </c>
      <c r="CT279" s="23" t="e">
        <f t="shared" si="1479"/>
        <v>#VALUE!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si="1480"/>
        <v>p2y12_human__wt</v>
      </c>
      <c r="B280" s="3" t="s">
        <v>352</v>
      </c>
      <c r="C280" s="3" t="s">
        <v>100</v>
      </c>
      <c r="D280" s="3" t="str">
        <f>IFERROR(MID(VLOOKUP($B280,Seqs!$A:$B,2,0),E280,1),"")</f>
        <v>Y</v>
      </c>
      <c r="E280" s="3">
        <v>21</v>
      </c>
      <c r="F280" s="3" t="str">
        <f>IFERROR(MID(VLOOKUP($B280,Seqs!$A:$B,2,0),G280,1),"")</f>
        <v>I</v>
      </c>
      <c r="G280" s="3">
        <v>53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S</v>
      </c>
      <c r="M280" s="3">
        <v>57</v>
      </c>
      <c r="N280" s="3" t="str">
        <f>IFERROR(MID(VLOOKUP($B280,Seqs!$A:$B,2,0),O280,1),"")</f>
        <v>K</v>
      </c>
      <c r="O280" s="3">
        <v>86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G</v>
      </c>
      <c r="U280" s="3">
        <v>90</v>
      </c>
      <c r="V280" s="3" t="str">
        <f>IFERROR(MID(VLOOKUP($B280,Seqs!$A:$B,2,0),W280,1),"")</f>
        <v>R</v>
      </c>
      <c r="W280" s="3">
        <v>128</v>
      </c>
      <c r="X280" s="3" t="str">
        <f>IFERROR(MID(VLOOKUP($B280,Seqs!$A:$B,2,0),Y280,1),"")</f>
        <v>P</v>
      </c>
      <c r="Y280" s="3">
        <v>129</v>
      </c>
      <c r="Z280" s="3" t="str">
        <f>IFERROR(MID(VLOOKUP($B280,Seqs!$A:$B,2,0),AA280,1),"")</f>
        <v>K</v>
      </c>
      <c r="AA280" s="73">
        <v>136</v>
      </c>
      <c r="AB280" s="3" t="str">
        <f>IFERROR(MID(VLOOKUP($B280,Seqs!$A:$B,2,0),AC280,1),"")</f>
        <v>N</v>
      </c>
      <c r="AC280" s="9">
        <v>137</v>
      </c>
      <c r="AD280" s="3" t="str">
        <f>IFERROR(MID(VLOOKUP($B280,Seqs!$A:$B,2,0),AE280,1),"")</f>
        <v>T</v>
      </c>
      <c r="AE280" s="3">
        <v>163</v>
      </c>
      <c r="AF280" s="3" t="str">
        <f>IFERROR(MID(VLOOKUP($B280,Seqs!$A:$B,2,0),AG280,1),"")</f>
        <v>C</v>
      </c>
      <c r="AG280" s="3">
        <v>175</v>
      </c>
      <c r="AH280" s="3" t="str">
        <f>IFERROR(MID(VLOOKUP($B280,Seqs!$A:$B,2,0),AI280,1),"")</f>
        <v>F</v>
      </c>
      <c r="AI280" s="3">
        <v>177</v>
      </c>
      <c r="AJ280" s="3" t="str">
        <f>IFERROR(MID(VLOOKUP($B280,Seqs!$A:$B,2,0),AK280,1),"")</f>
        <v>E</v>
      </c>
      <c r="AK280" s="3">
        <v>181</v>
      </c>
      <c r="AL280" s="3" t="str">
        <f>IFERROR(MID(VLOOKUP($B280,Seqs!$A:$B,2,0),AM280,1),"")</f>
        <v>T</v>
      </c>
      <c r="AM280" s="3">
        <v>223</v>
      </c>
      <c r="AN280" s="3" t="str">
        <f>IFERROR(MID(VLOOKUP($B280,Seqs!$A:$B,2,0),AO280,1),"")</f>
        <v>P</v>
      </c>
      <c r="AO280" s="3">
        <v>230</v>
      </c>
      <c r="AP280" s="3" t="str">
        <f>IFERROR(MID(VLOOKUP($B280,Seqs!$A:$B,2,0),AQ280,1),"")</f>
        <v>R</v>
      </c>
      <c r="AQ280" s="3">
        <v>265</v>
      </c>
      <c r="AR280" s="3" t="str">
        <f>IFERROR(MID(VLOOKUP($B280,Seqs!$A:$B,2,0),AS280,1),"")</f>
        <v>D</v>
      </c>
      <c r="AS280" s="3">
        <v>269</v>
      </c>
      <c r="AT280" s="3" t="str">
        <f>IFERROR(MID(VLOOKUP($B280,Seqs!$A:$B,2,0),AU280,1),"")</f>
        <v>L</v>
      </c>
      <c r="AU280" s="3">
        <v>301</v>
      </c>
      <c r="AV280" s="3" t="str">
        <f>IFERROR(MID(VLOOKUP($B280,Seqs!$A:$B,2,0),AW280,1),"")</f>
        <v>C</v>
      </c>
      <c r="AW280" s="3">
        <v>302</v>
      </c>
      <c r="AX280" s="3" t="str">
        <f>IFERROR(MID(VLOOKUP($B280,Seqs!$A:$B,2,0),AY280,1),"")</f>
        <v>M</v>
      </c>
      <c r="AY280" s="3">
        <v>312</v>
      </c>
      <c r="AZ280" s="77" t="str">
        <f>VLOOKUP(B280,Classification!A:D,2,0)</f>
        <v>A</v>
      </c>
      <c r="BA280" s="94" t="str">
        <f>VLOOKUP(B280,Classification!A:D,4,0)</f>
        <v>P2Y</v>
      </c>
      <c r="BB280" s="27" t="b">
        <f t="shared" si="1481"/>
        <v>1</v>
      </c>
      <c r="BC280" s="23">
        <f t="shared" si="1454"/>
        <v>265</v>
      </c>
      <c r="BD280" s="56" t="s">
        <v>23</v>
      </c>
      <c r="BE280" s="3" t="s">
        <v>23</v>
      </c>
      <c r="BF280" s="119" t="s">
        <v>23</v>
      </c>
      <c r="BG280" s="49" t="s">
        <v>1373</v>
      </c>
      <c r="BH280" s="49" t="s">
        <v>1378</v>
      </c>
      <c r="BI280" s="1"/>
      <c r="BJ280" s="70" t="s">
        <v>1288</v>
      </c>
      <c r="BK280" s="57" t="s">
        <v>1288</v>
      </c>
      <c r="BL280" s="57" t="s">
        <v>1288</v>
      </c>
      <c r="BM280" s="57" t="s">
        <v>1288</v>
      </c>
      <c r="BN280" s="57" t="s">
        <v>1288</v>
      </c>
      <c r="BO280" s="57" t="s">
        <v>1288</v>
      </c>
      <c r="BP280" s="57" t="s">
        <v>1288</v>
      </c>
      <c r="BQ280" s="57" t="s">
        <v>1288</v>
      </c>
      <c r="BR280" s="57" t="s">
        <v>1288</v>
      </c>
      <c r="BS280" s="57" t="s">
        <v>1288</v>
      </c>
      <c r="BT280" s="57" t="s">
        <v>1288</v>
      </c>
      <c r="BU280" s="57" t="s">
        <v>1288</v>
      </c>
      <c r="BV280" s="70">
        <f t="shared" si="1455"/>
        <v>21</v>
      </c>
      <c r="BW280" s="71" t="str">
        <f t="shared" si="1456"/>
        <v>-</v>
      </c>
      <c r="BX280" s="72">
        <f t="shared" si="1457"/>
        <v>57</v>
      </c>
      <c r="BY280" s="71" t="str">
        <f t="shared" si="1458"/>
        <v>-</v>
      </c>
      <c r="BZ280" s="72">
        <f t="shared" si="1459"/>
        <v>90</v>
      </c>
      <c r="CA280" s="71">
        <f t="shared" si="1460"/>
        <v>129</v>
      </c>
      <c r="CB280" s="72">
        <f t="shared" si="1461"/>
        <v>137</v>
      </c>
      <c r="CC280" s="71">
        <f t="shared" si="1462"/>
        <v>175</v>
      </c>
      <c r="CD280" s="72">
        <f t="shared" si="1463"/>
        <v>181</v>
      </c>
      <c r="CE280" s="71">
        <f t="shared" si="1464"/>
        <v>230</v>
      </c>
      <c r="CF280" s="72">
        <f t="shared" si="1465"/>
        <v>269</v>
      </c>
      <c r="CG280" s="71">
        <f t="shared" si="1466"/>
        <v>302</v>
      </c>
      <c r="CH280" s="70">
        <f t="shared" si="1467"/>
        <v>53</v>
      </c>
      <c r="CI280" s="71" t="str">
        <f t="shared" si="1468"/>
        <v>-</v>
      </c>
      <c r="CJ280" s="72">
        <f t="shared" si="1469"/>
        <v>86</v>
      </c>
      <c r="CK280" s="72" t="str">
        <f t="shared" si="1470"/>
        <v>-</v>
      </c>
      <c r="CL280" s="72">
        <f t="shared" si="1471"/>
        <v>128</v>
      </c>
      <c r="CM280" s="72">
        <f t="shared" si="1472"/>
        <v>136</v>
      </c>
      <c r="CN280" s="72">
        <f t="shared" si="1473"/>
        <v>163</v>
      </c>
      <c r="CO280" s="72">
        <f t="shared" si="1474"/>
        <v>177</v>
      </c>
      <c r="CP280" s="72">
        <f t="shared" si="1475"/>
        <v>223</v>
      </c>
      <c r="CQ280" s="72">
        <f t="shared" si="1476"/>
        <v>265</v>
      </c>
      <c r="CR280" s="72">
        <f t="shared" si="1477"/>
        <v>301</v>
      </c>
      <c r="CS280" s="72">
        <f t="shared" si="1478"/>
        <v>312</v>
      </c>
      <c r="CT280" s="23" t="e">
        <f t="shared" si="1479"/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si="1480"/>
        <v>p2y12_human_4NTJ</v>
      </c>
      <c r="B281" s="3" t="s">
        <v>352</v>
      </c>
      <c r="C281" s="3" t="s">
        <v>1049</v>
      </c>
      <c r="D281" s="3" t="str">
        <f>IFERROR(MID(VLOOKUP($B281,Seqs!$A:$B,2,0),E281,1),"")</f>
        <v>Y</v>
      </c>
      <c r="E281" s="3">
        <v>21</v>
      </c>
      <c r="F281" s="3" t="str">
        <f>IFERROR(MID(VLOOKUP($B281,Seqs!$A:$B,2,0),G281,1),"")</f>
        <v>I</v>
      </c>
      <c r="G281" s="3">
        <v>53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S</v>
      </c>
      <c r="M281" s="3">
        <v>57</v>
      </c>
      <c r="N281" s="3" t="str">
        <f>IFERROR(MID(VLOOKUP($B281,Seqs!$A:$B,2,0),O281,1),"")</f>
        <v>K</v>
      </c>
      <c r="O281" s="3">
        <v>86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L</v>
      </c>
      <c r="U281" s="3">
        <v>92</v>
      </c>
      <c r="V281" s="3" t="str">
        <f>IFERROR(MID(VLOOKUP($B281,Seqs!$A:$B,2,0),W281,1),"")</f>
        <v>R</v>
      </c>
      <c r="W281" s="3">
        <v>128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N</v>
      </c>
      <c r="AC281" s="9">
        <v>137</v>
      </c>
      <c r="AD281" s="3" t="str">
        <f>IFERROR(MID(VLOOKUP($B281,Seqs!$A:$B,2,0),AE281,1),"")</f>
        <v>L</v>
      </c>
      <c r="AE281" s="3">
        <v>162</v>
      </c>
      <c r="AF281" s="3" t="str">
        <f>IFERROR(MID(VLOOKUP($B281,Seqs!$A:$B,2,0),AG281,1),"")</f>
        <v>C</v>
      </c>
      <c r="AG281" s="3">
        <v>175</v>
      </c>
      <c r="AH281" s="3" t="str">
        <f>IFERROR(MID(VLOOKUP($B281,Seqs!$A:$B,2,0),AI281,1),"")</f>
        <v>F</v>
      </c>
      <c r="AI281" s="3">
        <v>177</v>
      </c>
      <c r="AJ281" s="3" t="str">
        <f>IFERROR(MID(VLOOKUP($B281,Seqs!$A:$B,2,0),AK281,1),"")</f>
        <v>E</v>
      </c>
      <c r="AK281" s="3">
        <v>181</v>
      </c>
      <c r="AL281" s="3" t="str">
        <f>IFERROR(MID(VLOOKUP($B281,Seqs!$A:$B,2,0),AM281,1),"")</f>
        <v>T</v>
      </c>
      <c r="AM281" s="3">
        <v>223</v>
      </c>
      <c r="AN281" s="3" t="str">
        <f>IFERROR(MID(VLOOKUP($B281,Seqs!$A:$B,2,0),AO281,1),"")</f>
        <v>I</v>
      </c>
      <c r="AO281" s="3">
        <v>240</v>
      </c>
      <c r="AP281" s="3" t="str">
        <f>IFERROR(MID(VLOOKUP($B281,Seqs!$A:$B,2,0),AQ281,1),"")</f>
        <v>L</v>
      </c>
      <c r="AQ281" s="3">
        <v>261</v>
      </c>
      <c r="AR281" s="3" t="str">
        <f>IFERROR(MID(VLOOKUP($B281,Seqs!$A:$B,2,0),AS281,1),"")</f>
        <v>D</v>
      </c>
      <c r="AS281" s="3">
        <v>269</v>
      </c>
      <c r="AT281" s="3" t="str">
        <f>IFERROR(MID(VLOOKUP($B281,Seqs!$A:$B,2,0),AU281,1),"")</f>
        <v>L</v>
      </c>
      <c r="AU281" s="3">
        <v>301</v>
      </c>
      <c r="AV281" s="3" t="str">
        <f>IFERROR(MID(VLOOKUP($B281,Seqs!$A:$B,2,0),AW281,1),"")</f>
        <v>C</v>
      </c>
      <c r="AW281" s="3">
        <v>302</v>
      </c>
      <c r="AX281" s="3" t="str">
        <f>IFERROR(MID(VLOOKUP($B281,Seqs!$A:$B,2,0),AY281,1),"")</f>
        <v>M</v>
      </c>
      <c r="AY281" s="3">
        <v>312</v>
      </c>
      <c r="AZ281" s="77" t="str">
        <f>VLOOKUP(B281,Classification!A:D,2,0)</f>
        <v>A</v>
      </c>
      <c r="BA281" s="94" t="str">
        <f>VLOOKUP(B281,Classification!A:D,4,0)</f>
        <v>P2Y</v>
      </c>
      <c r="BB281" s="27" t="b">
        <f t="shared" si="1481"/>
        <v>1</v>
      </c>
      <c r="BC281" s="23">
        <f t="shared" si="1454"/>
        <v>241</v>
      </c>
      <c r="BD281" s="2" t="s">
        <v>1430</v>
      </c>
      <c r="BE281" s="3" t="s">
        <v>1429</v>
      </c>
      <c r="BF281" s="119">
        <v>2.62</v>
      </c>
      <c r="BG281" s="49" t="s">
        <v>1378</v>
      </c>
      <c r="BH281" s="49" t="s">
        <v>1378</v>
      </c>
      <c r="BI281" s="3" t="s">
        <v>1171</v>
      </c>
      <c r="BJ281" s="70" t="s">
        <v>1288</v>
      </c>
      <c r="BK281" s="57" t="s">
        <v>1288</v>
      </c>
      <c r="BL281" s="57" t="s">
        <v>1288</v>
      </c>
      <c r="BM281" s="57" t="s">
        <v>1288</v>
      </c>
      <c r="BN281" s="57" t="s">
        <v>1288</v>
      </c>
      <c r="BO281" s="57" t="s">
        <v>1288</v>
      </c>
      <c r="BP281" s="57" t="s">
        <v>1288</v>
      </c>
      <c r="BQ281" s="57" t="s">
        <v>1288</v>
      </c>
      <c r="BR281" s="57" t="s">
        <v>1288</v>
      </c>
      <c r="BS281" s="57" t="s">
        <v>1288</v>
      </c>
      <c r="BT281" s="57" t="s">
        <v>1288</v>
      </c>
      <c r="BU281" s="57" t="s">
        <v>1288</v>
      </c>
      <c r="BV281" s="70">
        <f t="shared" si="1455"/>
        <v>21</v>
      </c>
      <c r="BW281" s="71" t="str">
        <f t="shared" si="1456"/>
        <v>-</v>
      </c>
      <c r="BX281" s="72">
        <f t="shared" si="1457"/>
        <v>57</v>
      </c>
      <c r="BY281" s="71" t="str">
        <f t="shared" si="1458"/>
        <v>-</v>
      </c>
      <c r="BZ281" s="72">
        <f t="shared" si="1459"/>
        <v>92</v>
      </c>
      <c r="CA281" s="71" t="str">
        <f t="shared" si="1460"/>
        <v>-</v>
      </c>
      <c r="CB281" s="72">
        <f t="shared" si="1461"/>
        <v>137</v>
      </c>
      <c r="CC281" s="71">
        <f t="shared" si="1462"/>
        <v>175</v>
      </c>
      <c r="CD281" s="72">
        <f t="shared" si="1463"/>
        <v>181</v>
      </c>
      <c r="CE281" s="71">
        <f t="shared" si="1464"/>
        <v>240</v>
      </c>
      <c r="CF281" s="72">
        <f t="shared" si="1465"/>
        <v>269</v>
      </c>
      <c r="CG281" s="71">
        <f t="shared" si="1466"/>
        <v>302</v>
      </c>
      <c r="CH281" s="70">
        <f t="shared" si="1467"/>
        <v>53</v>
      </c>
      <c r="CI281" s="71" t="str">
        <f t="shared" si="1468"/>
        <v>-</v>
      </c>
      <c r="CJ281" s="72">
        <f t="shared" si="1469"/>
        <v>86</v>
      </c>
      <c r="CK281" s="72" t="str">
        <f t="shared" si="1470"/>
        <v>-</v>
      </c>
      <c r="CL281" s="72">
        <f t="shared" si="1471"/>
        <v>128</v>
      </c>
      <c r="CM281" s="72" t="str">
        <f t="shared" si="1472"/>
        <v>-</v>
      </c>
      <c r="CN281" s="72">
        <f t="shared" si="1473"/>
        <v>162</v>
      </c>
      <c r="CO281" s="72">
        <f t="shared" si="1474"/>
        <v>177</v>
      </c>
      <c r="CP281" s="72">
        <f t="shared" si="1475"/>
        <v>223</v>
      </c>
      <c r="CQ281" s="72">
        <f t="shared" si="1476"/>
        <v>261</v>
      </c>
      <c r="CR281" s="72">
        <f t="shared" si="1477"/>
        <v>301</v>
      </c>
      <c r="CS281" s="72">
        <f t="shared" si="1478"/>
        <v>312</v>
      </c>
      <c r="CT281" s="23" t="e">
        <f t="shared" si="1479"/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si="1480"/>
        <v>p2y12_human_4PXZ</v>
      </c>
      <c r="B282" s="3" t="s">
        <v>352</v>
      </c>
      <c r="C282" s="3" t="s">
        <v>1153</v>
      </c>
      <c r="D282" s="3" t="str">
        <f>IFERROR(MID(VLOOKUP($B282,Seqs!$A:$B,2,0),E282,1),"")</f>
        <v>I</v>
      </c>
      <c r="E282" s="3">
        <v>23</v>
      </c>
      <c r="F282" s="3" t="str">
        <f>IFERROR(MID(VLOOKUP($B282,Seqs!$A:$B,2,0),G282,1),"")</f>
        <v>I</v>
      </c>
      <c r="G282" s="3">
        <v>53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S</v>
      </c>
      <c r="M282" s="3">
        <v>57</v>
      </c>
      <c r="N282" s="3" t="str">
        <f>IFERROR(MID(VLOOKUP($B282,Seqs!$A:$B,2,0),O282,1),"")</f>
        <v>K</v>
      </c>
      <c r="O282" s="3">
        <v>86</v>
      </c>
      <c r="P282" s="3" t="str">
        <f>IFERROR(MID(VLOOKUP($B282,Seqs!$A:$B,2,0),Q282,1),"")</f>
        <v/>
      </c>
      <c r="Q282" s="3" t="s">
        <v>23</v>
      </c>
      <c r="R282" s="3" t="str">
        <f>IFERROR(MID(VLOOKUP($B282,Seqs!$A:$B,2,0),S282,1),"")</f>
        <v/>
      </c>
      <c r="S282" s="3" t="s">
        <v>23</v>
      </c>
      <c r="T282" s="3" t="str">
        <f>IFERROR(MID(VLOOKUP($B282,Seqs!$A:$B,2,0),U282,1),"")</f>
        <v>G</v>
      </c>
      <c r="U282" s="3">
        <v>90</v>
      </c>
      <c r="V282" s="3" t="str">
        <f>IFERROR(MID(VLOOKUP($B282,Seqs!$A:$B,2,0),W282,1),"")</f>
        <v>R</v>
      </c>
      <c r="W282" s="3">
        <v>128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N</v>
      </c>
      <c r="AC282" s="9">
        <v>137</v>
      </c>
      <c r="AD282" s="3" t="str">
        <f>IFERROR(MID(VLOOKUP($B282,Seqs!$A:$B,2,0),AE282,1),"")</f>
        <v>T</v>
      </c>
      <c r="AE282" s="3">
        <v>163</v>
      </c>
      <c r="AF282" s="3" t="str">
        <f>IFERROR(MID(VLOOKUP($B282,Seqs!$A:$B,2,0),AG282,1),"")</f>
        <v>C</v>
      </c>
      <c r="AG282" s="3">
        <v>175</v>
      </c>
      <c r="AH282" s="3" t="str">
        <f>IFERROR(MID(VLOOKUP($B282,Seqs!$A:$B,2,0),AI282,1),"")</f>
        <v>F</v>
      </c>
      <c r="AI282" s="3">
        <v>177</v>
      </c>
      <c r="AJ282" s="3" t="str">
        <f>IFERROR(MID(VLOOKUP($B282,Seqs!$A:$B,2,0),AK282,1),"")</f>
        <v>E</v>
      </c>
      <c r="AK282" s="3">
        <v>181</v>
      </c>
      <c r="AL282" s="3" t="str">
        <f>IFERROR(MID(VLOOKUP($B282,Seqs!$A:$B,2,0),AM282,1),"")</f>
        <v>S</v>
      </c>
      <c r="AM282" s="3">
        <v>219</v>
      </c>
      <c r="AN282" s="3" t="str">
        <f>IFERROR(MID(VLOOKUP($B282,Seqs!$A:$B,2,0),AO282,1),"")</f>
        <v>V</v>
      </c>
      <c r="AO282" s="3">
        <v>236</v>
      </c>
      <c r="AP282" s="3" t="str">
        <f>IFERROR(MID(VLOOKUP($B282,Seqs!$A:$B,2,0),AQ282,1),"")</f>
        <v>R</v>
      </c>
      <c r="AQ282" s="3">
        <v>265</v>
      </c>
      <c r="AR282" s="3" t="str">
        <f>IFERROR(MID(VLOOKUP($B282,Seqs!$A:$B,2,0),AS282,1),"")</f>
        <v>D</v>
      </c>
      <c r="AS282" s="3">
        <v>269</v>
      </c>
      <c r="AT282" s="3" t="str">
        <f>IFERROR(MID(VLOOKUP($B282,Seqs!$A:$B,2,0),AU282,1),"")</f>
        <v>C</v>
      </c>
      <c r="AU282" s="3">
        <v>292</v>
      </c>
      <c r="AV282" s="3" t="str">
        <f>IFERROR(MID(VLOOKUP($B282,Seqs!$A:$B,2,0),AW282,1),"")</f>
        <v/>
      </c>
      <c r="AW282" s="3" t="s">
        <v>23</v>
      </c>
      <c r="AX282" s="3" t="str">
        <f>IFERROR(MID(VLOOKUP($B282,Seqs!$A:$B,2,0),AY282,1),"")</f>
        <v/>
      </c>
      <c r="AY282" s="3" t="s">
        <v>23</v>
      </c>
      <c r="AZ282" s="77" t="str">
        <f>VLOOKUP(B282,Classification!A:D,2,0)</f>
        <v>A</v>
      </c>
      <c r="BA282" s="94" t="str">
        <f>VLOOKUP(B282,Classification!A:D,4,0)</f>
        <v>P2Y</v>
      </c>
      <c r="BB282" s="27" t="b">
        <f t="shared" si="1481"/>
        <v>1</v>
      </c>
      <c r="BC282" s="23">
        <f t="shared" si="1454"/>
        <v>227</v>
      </c>
      <c r="BD282" s="4" t="s">
        <v>23</v>
      </c>
      <c r="BE282" s="3" t="s">
        <v>1429</v>
      </c>
      <c r="BF282" s="119">
        <v>2.5</v>
      </c>
      <c r="BG282" s="49" t="s">
        <v>1378</v>
      </c>
      <c r="BH282" s="49" t="s">
        <v>1378</v>
      </c>
      <c r="BI282" s="1"/>
      <c r="BJ282" s="70" t="s">
        <v>1288</v>
      </c>
      <c r="BK282" s="57" t="s">
        <v>1288</v>
      </c>
      <c r="BL282" s="57" t="s">
        <v>1288</v>
      </c>
      <c r="BM282" s="57" t="s">
        <v>1288</v>
      </c>
      <c r="BN282" s="57" t="s">
        <v>1288</v>
      </c>
      <c r="BO282" s="57" t="s">
        <v>1288</v>
      </c>
      <c r="BP282" s="57" t="s">
        <v>1288</v>
      </c>
      <c r="BQ282" s="57" t="s">
        <v>1288</v>
      </c>
      <c r="BR282" s="57" t="s">
        <v>1288</v>
      </c>
      <c r="BS282" s="57" t="s">
        <v>1288</v>
      </c>
      <c r="BT282" s="57" t="s">
        <v>1288</v>
      </c>
      <c r="BU282" s="57" t="s">
        <v>1288</v>
      </c>
      <c r="BV282" s="70">
        <f t="shared" si="1455"/>
        <v>23</v>
      </c>
      <c r="BW282" s="71" t="str">
        <f t="shared" si="1456"/>
        <v>-</v>
      </c>
      <c r="BX282" s="72">
        <f t="shared" si="1457"/>
        <v>57</v>
      </c>
      <c r="BY282" s="71" t="str">
        <f t="shared" si="1458"/>
        <v>-</v>
      </c>
      <c r="BZ282" s="72">
        <f t="shared" si="1459"/>
        <v>90</v>
      </c>
      <c r="CA282" s="71" t="str">
        <f t="shared" si="1460"/>
        <v>-</v>
      </c>
      <c r="CB282" s="72">
        <f t="shared" si="1461"/>
        <v>137</v>
      </c>
      <c r="CC282" s="71">
        <f t="shared" si="1462"/>
        <v>175</v>
      </c>
      <c r="CD282" s="72">
        <f t="shared" si="1463"/>
        <v>181</v>
      </c>
      <c r="CE282" s="71">
        <f t="shared" si="1464"/>
        <v>236</v>
      </c>
      <c r="CF282" s="72">
        <f t="shared" si="1465"/>
        <v>269</v>
      </c>
      <c r="CG282" s="71" t="str">
        <f t="shared" si="1466"/>
        <v>-</v>
      </c>
      <c r="CH282" s="70">
        <f t="shared" si="1467"/>
        <v>53</v>
      </c>
      <c r="CI282" s="71" t="str">
        <f t="shared" si="1468"/>
        <v>-</v>
      </c>
      <c r="CJ282" s="72">
        <f t="shared" si="1469"/>
        <v>86</v>
      </c>
      <c r="CK282" s="72" t="str">
        <f t="shared" si="1470"/>
        <v>-</v>
      </c>
      <c r="CL282" s="72">
        <f t="shared" si="1471"/>
        <v>128</v>
      </c>
      <c r="CM282" s="72" t="str">
        <f t="shared" si="1472"/>
        <v>-</v>
      </c>
      <c r="CN282" s="72">
        <f t="shared" si="1473"/>
        <v>163</v>
      </c>
      <c r="CO282" s="72">
        <f t="shared" si="1474"/>
        <v>177</v>
      </c>
      <c r="CP282" s="72">
        <f t="shared" si="1475"/>
        <v>219</v>
      </c>
      <c r="CQ282" s="72">
        <f t="shared" si="1476"/>
        <v>265</v>
      </c>
      <c r="CR282" s="72">
        <f t="shared" si="1477"/>
        <v>292</v>
      </c>
      <c r="CS282" s="72" t="str">
        <f t="shared" si="1478"/>
        <v>-</v>
      </c>
      <c r="CT282" s="23" t="e">
        <f t="shared" si="1479"/>
        <v>#VALUE!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si="1480"/>
        <v>p2y12_human_4PY0</v>
      </c>
      <c r="B283" s="3" t="s">
        <v>352</v>
      </c>
      <c r="C283" s="3" t="s">
        <v>1051</v>
      </c>
      <c r="D283" s="3" t="str">
        <f>IFERROR(MID(VLOOKUP($B283,Seqs!$A:$B,2,0),E283,1),"")</f>
        <v>I</v>
      </c>
      <c r="E283" s="3">
        <v>23</v>
      </c>
      <c r="F283" s="3" t="str">
        <f>IFERROR(MID(VLOOKUP($B283,Seqs!$A:$B,2,0),G283,1),"")</f>
        <v>I</v>
      </c>
      <c r="G283" s="3">
        <v>53</v>
      </c>
      <c r="H283" s="3" t="str">
        <f>IFERROR(MID(VLOOKUP($B283,Seqs!$A:$B,2,0),I283,1),"")</f>
        <v/>
      </c>
      <c r="I283" s="23" t="s">
        <v>23</v>
      </c>
      <c r="J283" s="3" t="str">
        <f>IFERROR(MID(VLOOKUP($B283,Seqs!$A:$B,2,0),K283,1),"")</f>
        <v/>
      </c>
      <c r="K283" s="23" t="s">
        <v>23</v>
      </c>
      <c r="L283" s="3" t="str">
        <f>IFERROR(MID(VLOOKUP($B283,Seqs!$A:$B,2,0),M283,1),"")</f>
        <v>S</v>
      </c>
      <c r="M283" s="3">
        <v>57</v>
      </c>
      <c r="N283" s="3" t="str">
        <f>IFERROR(MID(VLOOKUP($B283,Seqs!$A:$B,2,0),O283,1),"")</f>
        <v>K</v>
      </c>
      <c r="O283" s="3">
        <v>86</v>
      </c>
      <c r="P283" s="3" t="str">
        <f>IFERROR(MID(VLOOKUP($B283,Seqs!$A:$B,2,0),Q283,1),"")</f>
        <v/>
      </c>
      <c r="Q283" s="3" t="s">
        <v>23</v>
      </c>
      <c r="R283" s="3" t="str">
        <f>IFERROR(MID(VLOOKUP($B283,Seqs!$A:$B,2,0),S283,1),"")</f>
        <v/>
      </c>
      <c r="S283" s="3" t="s">
        <v>23</v>
      </c>
      <c r="T283" s="3" t="str">
        <f>IFERROR(MID(VLOOKUP($B283,Seqs!$A:$B,2,0),U283,1),"")</f>
        <v>G</v>
      </c>
      <c r="U283" s="3">
        <v>90</v>
      </c>
      <c r="V283" s="3" t="str">
        <f>IFERROR(MID(VLOOKUP($B283,Seqs!$A:$B,2,0),W283,1),"")</f>
        <v>R</v>
      </c>
      <c r="W283" s="3">
        <v>128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N</v>
      </c>
      <c r="AC283" s="9">
        <v>137</v>
      </c>
      <c r="AD283" s="3" t="str">
        <f>IFERROR(MID(VLOOKUP($B283,Seqs!$A:$B,2,0),AE283,1),"")</f>
        <v>T</v>
      </c>
      <c r="AE283" s="3">
        <v>163</v>
      </c>
      <c r="AF283" s="3" t="str">
        <f>IFERROR(MID(VLOOKUP($B283,Seqs!$A:$B,2,0),AG283,1),"")</f>
        <v>C</v>
      </c>
      <c r="AG283" s="3">
        <v>175</v>
      </c>
      <c r="AH283" s="3" t="str">
        <f>IFERROR(MID(VLOOKUP($B283,Seqs!$A:$B,2,0),AI283,1),"")</f>
        <v>F</v>
      </c>
      <c r="AI283" s="3">
        <v>177</v>
      </c>
      <c r="AJ283" s="3" t="str">
        <f>IFERROR(MID(VLOOKUP($B283,Seqs!$A:$B,2,0),AK283,1),"")</f>
        <v>E</v>
      </c>
      <c r="AK283" s="3">
        <v>181</v>
      </c>
      <c r="AL283" s="3" t="str">
        <f>IFERROR(MID(VLOOKUP($B283,Seqs!$A:$B,2,0),AM283,1),"")</f>
        <v>S</v>
      </c>
      <c r="AM283" s="3">
        <v>219</v>
      </c>
      <c r="AN283" s="3" t="str">
        <f>IFERROR(MID(VLOOKUP($B283,Seqs!$A:$B,2,0),AO283,1),"")</f>
        <v>V</v>
      </c>
      <c r="AO283" s="3">
        <v>236</v>
      </c>
      <c r="AP283" s="3" t="str">
        <f>IFERROR(MID(VLOOKUP($B283,Seqs!$A:$B,2,0),AQ283,1),"")</f>
        <v>R</v>
      </c>
      <c r="AQ283" s="3">
        <v>265</v>
      </c>
      <c r="AR283" s="3" t="str">
        <f>IFERROR(MID(VLOOKUP($B283,Seqs!$A:$B,2,0),AS283,1),"")</f>
        <v>D</v>
      </c>
      <c r="AS283" s="3">
        <v>269</v>
      </c>
      <c r="AT283" s="3" t="str">
        <f>IFERROR(MID(VLOOKUP($B283,Seqs!$A:$B,2,0),AU283,1),"")</f>
        <v>C</v>
      </c>
      <c r="AU283" s="3">
        <v>292</v>
      </c>
      <c r="AV283" s="3" t="str">
        <f>IFERROR(MID(VLOOKUP($B283,Seqs!$A:$B,2,0),AW283,1),"")</f>
        <v/>
      </c>
      <c r="AW283" s="3" t="s">
        <v>23</v>
      </c>
      <c r="AX283" s="3" t="str">
        <f>IFERROR(MID(VLOOKUP($B283,Seqs!$A:$B,2,0),AY283,1),"")</f>
        <v/>
      </c>
      <c r="AY283" s="3" t="s">
        <v>23</v>
      </c>
      <c r="AZ283" s="77" t="str">
        <f>VLOOKUP(B283,Classification!A:D,2,0)</f>
        <v>A</v>
      </c>
      <c r="BA283" s="94" t="str">
        <f>VLOOKUP(B283,Classification!A:D,4,0)</f>
        <v>P2Y</v>
      </c>
      <c r="BB283" s="27" t="b">
        <f t="shared" si="1481"/>
        <v>1</v>
      </c>
      <c r="BC283" s="23">
        <f t="shared" si="1454"/>
        <v>227</v>
      </c>
      <c r="BD283" s="4" t="s">
        <v>23</v>
      </c>
      <c r="BE283" s="3" t="s">
        <v>1429</v>
      </c>
      <c r="BF283" s="119">
        <v>3.1</v>
      </c>
      <c r="BG283" s="49" t="s">
        <v>1378</v>
      </c>
      <c r="BH283" s="49" t="s">
        <v>1378</v>
      </c>
      <c r="BI283" s="1"/>
      <c r="BJ283" s="70" t="s">
        <v>1288</v>
      </c>
      <c r="BK283" s="57" t="s">
        <v>1288</v>
      </c>
      <c r="BL283" s="57" t="s">
        <v>1288</v>
      </c>
      <c r="BM283" s="57" t="s">
        <v>1288</v>
      </c>
      <c r="BN283" s="57" t="s">
        <v>1288</v>
      </c>
      <c r="BO283" s="57" t="s">
        <v>1288</v>
      </c>
      <c r="BP283" s="57" t="s">
        <v>1288</v>
      </c>
      <c r="BQ283" s="57" t="s">
        <v>1288</v>
      </c>
      <c r="BR283" s="57" t="s">
        <v>1288</v>
      </c>
      <c r="BS283" s="57" t="s">
        <v>1288</v>
      </c>
      <c r="BT283" s="57" t="s">
        <v>1288</v>
      </c>
      <c r="BU283" s="57" t="s">
        <v>1288</v>
      </c>
      <c r="BV283" s="70">
        <f t="shared" si="1455"/>
        <v>23</v>
      </c>
      <c r="BW283" s="71" t="str">
        <f t="shared" si="1456"/>
        <v>-</v>
      </c>
      <c r="BX283" s="72">
        <f t="shared" si="1457"/>
        <v>57</v>
      </c>
      <c r="BY283" s="71" t="str">
        <f t="shared" si="1458"/>
        <v>-</v>
      </c>
      <c r="BZ283" s="72">
        <f t="shared" si="1459"/>
        <v>90</v>
      </c>
      <c r="CA283" s="71" t="str">
        <f t="shared" si="1460"/>
        <v>-</v>
      </c>
      <c r="CB283" s="72">
        <f t="shared" si="1461"/>
        <v>137</v>
      </c>
      <c r="CC283" s="71">
        <f t="shared" si="1462"/>
        <v>175</v>
      </c>
      <c r="CD283" s="72">
        <f t="shared" si="1463"/>
        <v>181</v>
      </c>
      <c r="CE283" s="71">
        <f t="shared" si="1464"/>
        <v>236</v>
      </c>
      <c r="CF283" s="72">
        <f t="shared" si="1465"/>
        <v>269</v>
      </c>
      <c r="CG283" s="71" t="str">
        <f t="shared" si="1466"/>
        <v>-</v>
      </c>
      <c r="CH283" s="70">
        <f t="shared" si="1467"/>
        <v>53</v>
      </c>
      <c r="CI283" s="71" t="str">
        <f t="shared" si="1468"/>
        <v>-</v>
      </c>
      <c r="CJ283" s="72">
        <f t="shared" si="1469"/>
        <v>86</v>
      </c>
      <c r="CK283" s="72" t="str">
        <f t="shared" si="1470"/>
        <v>-</v>
      </c>
      <c r="CL283" s="72">
        <f t="shared" si="1471"/>
        <v>128</v>
      </c>
      <c r="CM283" s="72" t="str">
        <f t="shared" si="1472"/>
        <v>-</v>
      </c>
      <c r="CN283" s="72">
        <f t="shared" si="1473"/>
        <v>163</v>
      </c>
      <c r="CO283" s="72">
        <f t="shared" si="1474"/>
        <v>177</v>
      </c>
      <c r="CP283" s="72">
        <f t="shared" si="1475"/>
        <v>219</v>
      </c>
      <c r="CQ283" s="72">
        <f t="shared" si="1476"/>
        <v>265</v>
      </c>
      <c r="CR283" s="72">
        <f t="shared" si="1477"/>
        <v>292</v>
      </c>
      <c r="CS283" s="72" t="str">
        <f t="shared" si="1478"/>
        <v>-</v>
      </c>
      <c r="CT283" s="23" t="e">
        <f t="shared" si="1479"/>
        <v>#VALUE!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si="1480"/>
        <v>par1_human__wt</v>
      </c>
      <c r="B284" s="3" t="s">
        <v>355</v>
      </c>
      <c r="C284" s="3" t="s">
        <v>100</v>
      </c>
      <c r="D284" s="3" t="str">
        <f>IFERROR(MID(VLOOKUP($B284,Seqs!$A:$B,2,0),E284,1),"")</f>
        <v>S</v>
      </c>
      <c r="E284" s="3">
        <v>99</v>
      </c>
      <c r="F284" s="3" t="str">
        <f>IFERROR(MID(VLOOKUP($B284,Seqs!$A:$B,2,0),G284,1),"")</f>
        <v>K</v>
      </c>
      <c r="G284" s="3">
        <v>130</v>
      </c>
      <c r="H284" s="3" t="str">
        <f>IFERROR(MID(VLOOKUP($B284,Seqs!$A:$B,2,0),I284,1),"")</f>
        <v>M</v>
      </c>
      <c r="I284" s="23">
        <v>131</v>
      </c>
      <c r="J284" s="3" t="str">
        <f>IFERROR(MID(VLOOKUP($B284,Seqs!$A:$B,2,0),K284,1),"")</f>
        <v>K</v>
      </c>
      <c r="K284" s="23">
        <v>134</v>
      </c>
      <c r="L284" s="3" t="str">
        <f>IFERROR(MID(VLOOKUP($B284,Seqs!$A:$B,2,0),M284,1),"")</f>
        <v>K</v>
      </c>
      <c r="M284" s="3">
        <v>135</v>
      </c>
      <c r="N284" s="3" t="str">
        <f>IFERROR(MID(VLOOKUP($B284,Seqs!$A:$B,2,0),O284,1),"")</f>
        <v>S</v>
      </c>
      <c r="O284" s="3">
        <v>164</v>
      </c>
      <c r="P284" s="3" t="str">
        <f>IFERROR(MID(VLOOKUP($B284,Seqs!$A:$B,2,0),Q284,1),"")</f>
        <v>D</v>
      </c>
      <c r="Q284" s="3">
        <v>167</v>
      </c>
      <c r="R284" s="3" t="str">
        <f>IFERROR(MID(VLOOKUP($B284,Seqs!$A:$B,2,0),S284,1),"")</f>
        <v>F</v>
      </c>
      <c r="S284" s="3">
        <v>170</v>
      </c>
      <c r="T284" s="3" t="str">
        <f>IFERROR(MID(VLOOKUP($B284,Seqs!$A:$B,2,0),U284,1),"")</f>
        <v>G</v>
      </c>
      <c r="U284" s="3">
        <v>171</v>
      </c>
      <c r="V284" s="3" t="str">
        <f>IFERROR(MID(VLOOKUP($B284,Seqs!$A:$B,2,0),W284,1),"")</f>
        <v>Y</v>
      </c>
      <c r="W284" s="3">
        <v>206</v>
      </c>
      <c r="X284" s="3" t="str">
        <f>IFERROR(MID(VLOOKUP($B284,Seqs!$A:$B,2,0),Y284,1),"")</f>
        <v>P</v>
      </c>
      <c r="Y284" s="3">
        <v>207</v>
      </c>
      <c r="Z284" s="3" t="str">
        <f>IFERROR(MID(VLOOKUP($B284,Seqs!$A:$B,2,0),AA284,1),"")</f>
        <v>R</v>
      </c>
      <c r="AA284" s="3">
        <v>214</v>
      </c>
      <c r="AB284" s="3" t="str">
        <f>IFERROR(MID(VLOOKUP($B284,Seqs!$A:$B,2,0),AC284,1),"")</f>
        <v>T</v>
      </c>
      <c r="AC284" s="9">
        <v>215</v>
      </c>
      <c r="AD284" s="3" t="str">
        <f>IFERROR(MID(VLOOKUP($B284,Seqs!$A:$B,2,0),AE284,1),"")</f>
        <v>K</v>
      </c>
      <c r="AE284" s="3">
        <v>240</v>
      </c>
      <c r="AF284" s="3" t="str">
        <f>IFERROR(MID(VLOOKUP($B284,Seqs!$A:$B,2,0),AG284,1),"")</f>
        <v>C</v>
      </c>
      <c r="AG284" s="3">
        <v>254</v>
      </c>
      <c r="AH284" s="3" t="str">
        <f>IFERROR(MID(VLOOKUP($B284,Seqs!$A:$B,2,0),AI284,1),"")</f>
        <v>D</v>
      </c>
      <c r="AI284" s="3">
        <v>256</v>
      </c>
      <c r="AJ284" s="3" t="str">
        <f>IFERROR(MID(VLOOKUP($B284,Seqs!$A:$B,2,0),AK284,1),"")</f>
        <v>E</v>
      </c>
      <c r="AK284" s="3">
        <v>264</v>
      </c>
      <c r="AL284" s="3" t="str">
        <f>IFERROR(MID(VLOOKUP($B284,Seqs!$A:$B,2,0),AM284,1),"")</f>
        <v>S</v>
      </c>
      <c r="AM284" s="3">
        <v>299</v>
      </c>
      <c r="AN284" s="3" t="str">
        <f>IFERROR(MID(VLOOKUP($B284,Seqs!$A:$B,2,0),AO284,1),"")</f>
        <v>N</v>
      </c>
      <c r="AO284" s="3">
        <v>304</v>
      </c>
      <c r="AP284" s="3" t="str">
        <f>IFERROR(MID(VLOOKUP($B284,Seqs!$A:$B,2,0),AQ284,1),"")</f>
        <v>L</v>
      </c>
      <c r="AQ284" s="3">
        <v>340</v>
      </c>
      <c r="AR284" s="3" t="str">
        <f>IFERROR(MID(VLOOKUP($B284,Seqs!$A:$B,2,0),AS284,1),"")</f>
        <v>T</v>
      </c>
      <c r="AS284" s="3">
        <v>346</v>
      </c>
      <c r="AT284" s="3" t="str">
        <f>IFERROR(MID(VLOOKUP($B284,Seqs!$A:$B,2,0),AU284,1),"")</f>
        <v>A</v>
      </c>
      <c r="AU284" s="3">
        <v>374</v>
      </c>
      <c r="AV284" s="3" t="str">
        <f>IFERROR(MID(VLOOKUP($B284,Seqs!$A:$B,2,0),AW284,1),"")</f>
        <v>S</v>
      </c>
      <c r="AW284" s="3">
        <v>375</v>
      </c>
      <c r="AX284" s="3" t="str">
        <f>IFERROR(MID(VLOOKUP($B284,Seqs!$A:$B,2,0),AY284,1),"")</f>
        <v>K</v>
      </c>
      <c r="AY284" s="3">
        <v>389</v>
      </c>
      <c r="AZ284" s="77" t="str">
        <f>VLOOKUP(B284,Classification!A:D,2,0)</f>
        <v>A</v>
      </c>
      <c r="BA284" s="94" t="str">
        <f>VLOOKUP(B284,Classification!A:D,4,0)</f>
        <v>Proteinase-activated</v>
      </c>
      <c r="BB284" s="27" t="b">
        <f t="shared" si="1481"/>
        <v>1</v>
      </c>
      <c r="BC284" s="23">
        <f t="shared" si="1454"/>
        <v>260</v>
      </c>
      <c r="BD284" s="56" t="s">
        <v>23</v>
      </c>
      <c r="BE284" s="3" t="s">
        <v>23</v>
      </c>
      <c r="BF284" s="119" t="s">
        <v>23</v>
      </c>
      <c r="BG284" s="49" t="s">
        <v>1373</v>
      </c>
      <c r="BH284" s="49" t="s">
        <v>1378</v>
      </c>
      <c r="BI284" s="1"/>
      <c r="BJ284" s="70" t="s">
        <v>1288</v>
      </c>
      <c r="BK284" s="57" t="s">
        <v>1288</v>
      </c>
      <c r="BL284" s="57" t="s">
        <v>1288</v>
      </c>
      <c r="BM284" s="57" t="s">
        <v>1288</v>
      </c>
      <c r="BN284" s="57" t="s">
        <v>1288</v>
      </c>
      <c r="BO284" s="57" t="s">
        <v>1288</v>
      </c>
      <c r="BP284" s="57" t="s">
        <v>1288</v>
      </c>
      <c r="BQ284" s="57" t="s">
        <v>1288</v>
      </c>
      <c r="BR284" s="57" t="s">
        <v>1288</v>
      </c>
      <c r="BS284" s="57" t="s">
        <v>1288</v>
      </c>
      <c r="BT284" s="57" t="s">
        <v>1288</v>
      </c>
      <c r="BU284" s="57" t="s">
        <v>1288</v>
      </c>
      <c r="BV284" s="70">
        <f t="shared" si="1455"/>
        <v>99</v>
      </c>
      <c r="BW284" s="71">
        <f t="shared" si="1456"/>
        <v>131</v>
      </c>
      <c r="BX284" s="72">
        <f t="shared" si="1457"/>
        <v>135</v>
      </c>
      <c r="BY284" s="71">
        <f t="shared" si="1458"/>
        <v>167</v>
      </c>
      <c r="BZ284" s="72">
        <f t="shared" si="1459"/>
        <v>171</v>
      </c>
      <c r="CA284" s="71">
        <f t="shared" si="1460"/>
        <v>207</v>
      </c>
      <c r="CB284" s="72">
        <f t="shared" si="1461"/>
        <v>215</v>
      </c>
      <c r="CC284" s="71">
        <f t="shared" si="1462"/>
        <v>254</v>
      </c>
      <c r="CD284" s="72">
        <f t="shared" si="1463"/>
        <v>264</v>
      </c>
      <c r="CE284" s="71">
        <f t="shared" si="1464"/>
        <v>304</v>
      </c>
      <c r="CF284" s="72">
        <f t="shared" si="1465"/>
        <v>346</v>
      </c>
      <c r="CG284" s="71">
        <f t="shared" si="1466"/>
        <v>375</v>
      </c>
      <c r="CH284" s="70">
        <f t="shared" si="1467"/>
        <v>130</v>
      </c>
      <c r="CI284" s="71">
        <f t="shared" si="1468"/>
        <v>134</v>
      </c>
      <c r="CJ284" s="72">
        <f t="shared" si="1469"/>
        <v>164</v>
      </c>
      <c r="CK284" s="72">
        <f t="shared" si="1470"/>
        <v>170</v>
      </c>
      <c r="CL284" s="72">
        <f t="shared" si="1471"/>
        <v>206</v>
      </c>
      <c r="CM284" s="72">
        <f t="shared" si="1472"/>
        <v>214</v>
      </c>
      <c r="CN284" s="72">
        <f t="shared" si="1473"/>
        <v>240</v>
      </c>
      <c r="CO284" s="72">
        <f t="shared" si="1474"/>
        <v>256</v>
      </c>
      <c r="CP284" s="72">
        <f t="shared" si="1475"/>
        <v>299</v>
      </c>
      <c r="CQ284" s="72">
        <f t="shared" si="1476"/>
        <v>340</v>
      </c>
      <c r="CR284" s="72">
        <f t="shared" si="1477"/>
        <v>374</v>
      </c>
      <c r="CS284" s="72">
        <f t="shared" si="1478"/>
        <v>389</v>
      </c>
      <c r="CT284" s="23">
        <f t="shared" si="1479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si="1480"/>
        <v>par1_human_3VW7</v>
      </c>
      <c r="B285" s="3" t="s">
        <v>355</v>
      </c>
      <c r="C285" s="3" t="s">
        <v>93</v>
      </c>
      <c r="D285" s="3" t="str">
        <f>IFERROR(MID(VLOOKUP($B285,Seqs!$A:$B,2,0),E285,1),"")</f>
        <v>S</v>
      </c>
      <c r="E285" s="3">
        <v>99</v>
      </c>
      <c r="F285" s="3" t="str">
        <f>IFERROR(MID(VLOOKUP($B285,Seqs!$A:$B,2,0),G285,1),"")</f>
        <v>K</v>
      </c>
      <c r="G285" s="3">
        <v>130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K</v>
      </c>
      <c r="M285" s="3">
        <v>135</v>
      </c>
      <c r="N285" s="3" t="str">
        <f>IFERROR(MID(VLOOKUP($B285,Seqs!$A:$B,2,0),O285,1),"")</f>
        <v>S</v>
      </c>
      <c r="O285" s="3">
        <v>164</v>
      </c>
      <c r="P285" s="3" t="str">
        <f>IFERROR(MID(VLOOKUP($B285,Seqs!$A:$B,2,0),Q285,1),"")</f>
        <v>D</v>
      </c>
      <c r="Q285" s="3">
        <v>167</v>
      </c>
      <c r="R285" s="3" t="str">
        <f>IFERROR(MID(VLOOKUP($B285,Seqs!$A:$B,2,0),S285,1),"")</f>
        <v>F</v>
      </c>
      <c r="S285" s="3">
        <v>170</v>
      </c>
      <c r="T285" s="3" t="str">
        <f>IFERROR(MID(VLOOKUP($B285,Seqs!$A:$B,2,0),U285,1),"")</f>
        <v>G</v>
      </c>
      <c r="U285" s="3">
        <v>171</v>
      </c>
      <c r="V285" s="3" t="str">
        <f>IFERROR(MID(VLOOKUP($B285,Seqs!$A:$B,2,0),W285,1),"")</f>
        <v>Y</v>
      </c>
      <c r="W285" s="3">
        <v>206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T</v>
      </c>
      <c r="AC285" s="9">
        <v>215</v>
      </c>
      <c r="AD285" s="3" t="str">
        <f>IFERROR(MID(VLOOKUP($B285,Seqs!$A:$B,2,0),AE285,1),"")</f>
        <v>K</v>
      </c>
      <c r="AE285" s="3">
        <v>240</v>
      </c>
      <c r="AF285" s="3" t="str">
        <f>IFERROR(MID(VLOOKUP($B285,Seqs!$A:$B,2,0),AG285,1),"")</f>
        <v>C</v>
      </c>
      <c r="AG285" s="3">
        <v>254</v>
      </c>
      <c r="AH285" s="3" t="str">
        <f>IFERROR(MID(VLOOKUP($B285,Seqs!$A:$B,2,0),AI285,1),"")</f>
        <v>D</v>
      </c>
      <c r="AI285" s="3">
        <v>256</v>
      </c>
      <c r="AJ285" s="3" t="str">
        <f>IFERROR(MID(VLOOKUP($B285,Seqs!$A:$B,2,0),AK285,1),"")</f>
        <v>E</v>
      </c>
      <c r="AK285" s="3">
        <v>264</v>
      </c>
      <c r="AL285" s="3" t="str">
        <f>IFERROR(MID(VLOOKUP($B285,Seqs!$A:$B,2,0),AM285,1),"")</f>
        <v>S</v>
      </c>
      <c r="AM285" s="3">
        <v>300</v>
      </c>
      <c r="AN285" s="3" t="str">
        <f>IFERROR(MID(VLOOKUP($B285,Seqs!$A:$B,2,0),AO285,1),"")</f>
        <v>N</v>
      </c>
      <c r="AO285" s="3">
        <v>304</v>
      </c>
      <c r="AP285" s="3" t="str">
        <f>IFERROR(MID(VLOOKUP($B285,Seqs!$A:$B,2,0),AQ285,1),"")</f>
        <v>L</v>
      </c>
      <c r="AQ285" s="3">
        <v>340</v>
      </c>
      <c r="AR285" s="3" t="str">
        <f>IFERROR(MID(VLOOKUP($B285,Seqs!$A:$B,2,0),AS285,1),"")</f>
        <v>T</v>
      </c>
      <c r="AS285" s="3">
        <v>346</v>
      </c>
      <c r="AT285" s="3" t="str">
        <f>IFERROR(MID(VLOOKUP($B285,Seqs!$A:$B,2,0),AU285,1),"")</f>
        <v>Y</v>
      </c>
      <c r="AU285" s="3">
        <v>372</v>
      </c>
      <c r="AV285" s="3" t="str">
        <f>IFERROR(MID(VLOOKUP($B285,Seqs!$A:$B,2,0),AW285,1),"")</f>
        <v/>
      </c>
      <c r="AW285" s="3" t="s">
        <v>23</v>
      </c>
      <c r="AX285" s="3" t="str">
        <f>IFERROR(MID(VLOOKUP($B285,Seqs!$A:$B,2,0),AY285,1),"")</f>
        <v/>
      </c>
      <c r="AY285" s="3" t="s">
        <v>23</v>
      </c>
      <c r="AZ285" s="77" t="str">
        <f>VLOOKUP(B285,Classification!A:D,2,0)</f>
        <v>A</v>
      </c>
      <c r="BA285" s="94" t="str">
        <f>VLOOKUP(B285,Classification!A:D,4,0)</f>
        <v>Proteinase-activated</v>
      </c>
      <c r="BB285" s="27" t="b">
        <f t="shared" si="1481"/>
        <v>1</v>
      </c>
      <c r="BC285" s="23">
        <f t="shared" si="1454"/>
        <v>235</v>
      </c>
      <c r="BD285" s="2" t="s">
        <v>1430</v>
      </c>
      <c r="BE285" s="3" t="s">
        <v>1429</v>
      </c>
      <c r="BF285" s="119">
        <v>2.2000000000000002</v>
      </c>
      <c r="BG285" s="49" t="s">
        <v>1378</v>
      </c>
      <c r="BH285" s="49" t="s">
        <v>1378</v>
      </c>
      <c r="BI285" s="1"/>
      <c r="BJ285" s="70" t="s">
        <v>1288</v>
      </c>
      <c r="BK285" s="57" t="s">
        <v>1288</v>
      </c>
      <c r="BL285" s="57" t="s">
        <v>1288</v>
      </c>
      <c r="BM285" s="57" t="s">
        <v>1288</v>
      </c>
      <c r="BN285" s="57" t="s">
        <v>1288</v>
      </c>
      <c r="BO285" s="57" t="s">
        <v>1288</v>
      </c>
      <c r="BP285" s="57" t="s">
        <v>1288</v>
      </c>
      <c r="BQ285" s="57" t="s">
        <v>1288</v>
      </c>
      <c r="BR285" s="57" t="s">
        <v>1288</v>
      </c>
      <c r="BS285" s="57" t="s">
        <v>1288</v>
      </c>
      <c r="BT285" s="57" t="s">
        <v>1288</v>
      </c>
      <c r="BU285" s="57" t="s">
        <v>1288</v>
      </c>
      <c r="BV285" s="70">
        <f t="shared" si="1455"/>
        <v>99</v>
      </c>
      <c r="BW285" s="71" t="str">
        <f t="shared" si="1456"/>
        <v>-</v>
      </c>
      <c r="BX285" s="72">
        <f t="shared" si="1457"/>
        <v>135</v>
      </c>
      <c r="BY285" s="71">
        <f t="shared" si="1458"/>
        <v>167</v>
      </c>
      <c r="BZ285" s="72">
        <f t="shared" si="1459"/>
        <v>171</v>
      </c>
      <c r="CA285" s="71" t="str">
        <f t="shared" si="1460"/>
        <v>-</v>
      </c>
      <c r="CB285" s="72">
        <f t="shared" si="1461"/>
        <v>215</v>
      </c>
      <c r="CC285" s="71">
        <f t="shared" si="1462"/>
        <v>254</v>
      </c>
      <c r="CD285" s="72">
        <f t="shared" si="1463"/>
        <v>264</v>
      </c>
      <c r="CE285" s="71">
        <f t="shared" si="1464"/>
        <v>304</v>
      </c>
      <c r="CF285" s="72">
        <f t="shared" si="1465"/>
        <v>346</v>
      </c>
      <c r="CG285" s="71" t="str">
        <f t="shared" si="1466"/>
        <v>-</v>
      </c>
      <c r="CH285" s="70">
        <f t="shared" si="1467"/>
        <v>130</v>
      </c>
      <c r="CI285" s="71" t="str">
        <f t="shared" si="1468"/>
        <v>-</v>
      </c>
      <c r="CJ285" s="72">
        <f t="shared" si="1469"/>
        <v>164</v>
      </c>
      <c r="CK285" s="72">
        <f t="shared" si="1470"/>
        <v>170</v>
      </c>
      <c r="CL285" s="72">
        <f t="shared" si="1471"/>
        <v>206</v>
      </c>
      <c r="CM285" s="72" t="str">
        <f t="shared" si="1472"/>
        <v>-</v>
      </c>
      <c r="CN285" s="72">
        <f t="shared" si="1473"/>
        <v>240</v>
      </c>
      <c r="CO285" s="72">
        <f t="shared" si="1474"/>
        <v>256</v>
      </c>
      <c r="CP285" s="72">
        <f t="shared" si="1475"/>
        <v>300</v>
      </c>
      <c r="CQ285" s="72">
        <f t="shared" si="1476"/>
        <v>340</v>
      </c>
      <c r="CR285" s="72">
        <f t="shared" si="1477"/>
        <v>372</v>
      </c>
      <c r="CS285" s="72" t="str">
        <f t="shared" si="1478"/>
        <v>-</v>
      </c>
      <c r="CT285" s="23" t="e">
        <f t="shared" si="1479"/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:A305" si="1538">CONCATENATE(B286,"_",C286)</f>
        <v>par2_human__wt</v>
      </c>
      <c r="B286" s="3" t="s">
        <v>356</v>
      </c>
      <c r="C286" s="3" t="s">
        <v>100</v>
      </c>
      <c r="D286" s="3" t="str">
        <f>IFERROR(MID(VLOOKUP($B286,Seqs!$A:$B,2,0),E286,1),"")</f>
        <v>G</v>
      </c>
      <c r="E286" s="3">
        <v>71</v>
      </c>
      <c r="F286" s="3" t="str">
        <f>IFERROR(MID(VLOOKUP($B286,Seqs!$A:$B,2,0),G286,1),"")</f>
        <v>R</v>
      </c>
      <c r="G286" s="3">
        <v>103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H</v>
      </c>
      <c r="M286" s="3">
        <v>108</v>
      </c>
      <c r="N286" s="3" t="str">
        <f>IFERROR(MID(VLOOKUP($B286,Seqs!$A:$B,2,0),O286,1),"")</f>
        <v>H</v>
      </c>
      <c r="O286" s="3">
        <v>137</v>
      </c>
      <c r="P286" s="3" t="str">
        <f>IFERROR(MID(VLOOKUP($B286,Seqs!$A:$B,2,0),Q286,1),"")</f>
        <v>G</v>
      </c>
      <c r="Q286" s="3">
        <v>138</v>
      </c>
      <c r="R286" s="3" t="str">
        <f>IFERROR(MID(VLOOKUP($B286,Seqs!$A:$B,2,0),S286,1),"")</f>
        <v>Y</v>
      </c>
      <c r="S286" s="3">
        <v>143</v>
      </c>
      <c r="T286" s="3" t="str">
        <f>IFERROR(MID(VLOOKUP($B286,Seqs!$A:$B,2,0),U286,1),"")</f>
        <v>G</v>
      </c>
      <c r="U286" s="3">
        <v>144</v>
      </c>
      <c r="V286" s="3" t="str">
        <f>IFERROR(MID(VLOOKUP($B286,Seqs!$A:$B,2,0),W286,1),"")</f>
        <v>N</v>
      </c>
      <c r="W286" s="3">
        <v>179</v>
      </c>
      <c r="X286" s="3" t="str">
        <f>IFERROR(MID(VLOOKUP($B286,Seqs!$A:$B,2,0),Y286,1),"")</f>
        <v>P</v>
      </c>
      <c r="Y286" s="3">
        <v>180</v>
      </c>
      <c r="Z286" s="3" t="str">
        <f>IFERROR(MID(VLOOKUP($B286,Seqs!$A:$B,2,0),AA286,1),"")</f>
        <v>K</v>
      </c>
      <c r="AA286" s="3">
        <v>186</v>
      </c>
      <c r="AB286" s="3" t="str">
        <f>IFERROR(MID(VLOOKUP($B286,Seqs!$A:$B,2,0),AC286,1),"")</f>
        <v>K</v>
      </c>
      <c r="AC286" s="3">
        <v>187</v>
      </c>
      <c r="AD286" s="3" t="str">
        <f>IFERROR(MID(VLOOKUP($B286,Seqs!$A:$B,2,0),AE286,1),"")</f>
        <v>V</v>
      </c>
      <c r="AE286" s="3">
        <v>211</v>
      </c>
      <c r="AF286" s="3" t="str">
        <f>IFERROR(MID(VLOOKUP($B286,Seqs!$A:$B,2,0),AG286,1),"")</f>
        <v>C</v>
      </c>
      <c r="AG286" s="3">
        <v>226</v>
      </c>
      <c r="AH286" s="3" t="str">
        <f>IFERROR(MID(VLOOKUP($B286,Seqs!$A:$B,2,0),AI286,1),"")</f>
        <v>D</v>
      </c>
      <c r="AI286" s="3">
        <v>228</v>
      </c>
      <c r="AJ286" s="3" t="str">
        <f>IFERROR(MID(VLOOKUP($B286,Seqs!$A:$B,2,0),AK286,1),"")</f>
        <v>L</v>
      </c>
      <c r="AK286" s="3">
        <v>235</v>
      </c>
      <c r="AL286" s="3" t="str">
        <f>IFERROR(MID(VLOOKUP($B286,Seqs!$A:$B,2,0),AM286,1),"")</f>
        <v>S</v>
      </c>
      <c r="AM286" s="3">
        <v>272</v>
      </c>
      <c r="AN286" s="3" t="str">
        <f>IFERROR(MID(VLOOKUP($B286,Seqs!$A:$B,2,0),AO286,1),"")</f>
        <v>S</v>
      </c>
      <c r="AO286" s="3">
        <v>278</v>
      </c>
      <c r="AP286" s="3" t="str">
        <f>IFERROR(MID(VLOOKUP($B286,Seqs!$A:$B,2,0),AQ286,1),"")</f>
        <v>Q</v>
      </c>
      <c r="AQ286" s="3">
        <v>317</v>
      </c>
      <c r="AR286" s="3" t="str">
        <f>IFERROR(MID(VLOOKUP($B286,Seqs!$A:$B,2,0),AS286,1),"")</f>
        <v>V</v>
      </c>
      <c r="AS286" s="3">
        <v>322</v>
      </c>
      <c r="AT286" s="3" t="str">
        <f>IFERROR(MID(VLOOKUP($B286,Seqs!$A:$B,2,0),AU286,1),"")</f>
        <v>V</v>
      </c>
      <c r="AU286" s="3">
        <v>347</v>
      </c>
      <c r="AV286" s="3" t="str">
        <f>IFERROR(MID(VLOOKUP($B286,Seqs!$A:$B,2,0),AW286,1),"")</f>
        <v>S</v>
      </c>
      <c r="AW286" s="3">
        <v>348</v>
      </c>
      <c r="AX286" s="3" t="str">
        <f>IFERROR(MID(VLOOKUP($B286,Seqs!$A:$B,2,0),AY286,1),"")</f>
        <v>R</v>
      </c>
      <c r="AY286" s="3">
        <v>362</v>
      </c>
      <c r="AZ286" s="77" t="str">
        <f>VLOOKUP(B286,Classification!A:D,2,0)</f>
        <v>A</v>
      </c>
      <c r="BA286" s="94" t="str">
        <f>VLOOKUP(B286,Classification!A:D,4,0)</f>
        <v>Proteinase-activated</v>
      </c>
      <c r="BB286" s="27" t="b">
        <f t="shared" ref="BB286:BB305" si="1539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:BC305" si="1540">_xlfn.AGGREGATE(9,6,CH286:CS286)-_xlfn.AGGREGATE(9,6,BV286:CG286)+12</f>
        <v>260</v>
      </c>
      <c r="BD286" s="2" t="s">
        <v>23</v>
      </c>
      <c r="BE286" s="3" t="s">
        <v>23</v>
      </c>
      <c r="BF286" s="119" t="s">
        <v>23</v>
      </c>
      <c r="BG286" s="49" t="s">
        <v>1378</v>
      </c>
      <c r="BH286" s="49" t="s">
        <v>1378</v>
      </c>
      <c r="BI286" s="1"/>
      <c r="BJ286" s="70" t="s">
        <v>1288</v>
      </c>
      <c r="BK286" s="57" t="s">
        <v>1288</v>
      </c>
      <c r="BL286" s="57" t="s">
        <v>1288</v>
      </c>
      <c r="BM286" s="57" t="s">
        <v>1288</v>
      </c>
      <c r="BN286" s="57" t="s">
        <v>1288</v>
      </c>
      <c r="BO286" s="57" t="s">
        <v>1288</v>
      </c>
      <c r="BP286" s="57" t="s">
        <v>1288</v>
      </c>
      <c r="BQ286" s="57" t="s">
        <v>1288</v>
      </c>
      <c r="BR286" s="57" t="s">
        <v>1288</v>
      </c>
      <c r="BS286" s="57" t="s">
        <v>1288</v>
      </c>
      <c r="BT286" s="57" t="s">
        <v>1288</v>
      </c>
      <c r="BU286" s="57" t="s">
        <v>1288</v>
      </c>
      <c r="BV286" s="70">
        <f t="shared" ref="BV286:BV305" si="1541">E286</f>
        <v>71</v>
      </c>
      <c r="BW286" s="71" t="str">
        <f t="shared" ref="BW286:BW305" si="1542">I286</f>
        <v>-</v>
      </c>
      <c r="BX286" s="72">
        <f t="shared" ref="BX286:BX305" si="1543">M286</f>
        <v>108</v>
      </c>
      <c r="BY286" s="71">
        <f t="shared" ref="BY286:BY305" si="1544">Q286</f>
        <v>138</v>
      </c>
      <c r="BZ286" s="72">
        <f t="shared" ref="BZ286:BZ305" si="1545">U286</f>
        <v>144</v>
      </c>
      <c r="CA286" s="71">
        <f t="shared" ref="CA286:CA305" si="1546">Y286</f>
        <v>180</v>
      </c>
      <c r="CB286" s="72">
        <f t="shared" ref="CB286:CB305" si="1547">AC286</f>
        <v>187</v>
      </c>
      <c r="CC286" s="71">
        <f t="shared" ref="CC286:CC305" si="1548">AG286</f>
        <v>226</v>
      </c>
      <c r="CD286" s="72">
        <f t="shared" ref="CD286:CD305" si="1549">AK286</f>
        <v>235</v>
      </c>
      <c r="CE286" s="71">
        <f t="shared" ref="CE286:CE305" si="1550">AO286</f>
        <v>278</v>
      </c>
      <c r="CF286" s="72">
        <f t="shared" ref="CF286:CF305" si="1551">AS286</f>
        <v>322</v>
      </c>
      <c r="CG286" s="71">
        <f t="shared" ref="CG286:CG305" si="1552">AW286</f>
        <v>348</v>
      </c>
      <c r="CH286" s="70">
        <f t="shared" ref="CH286:CH305" si="1553">G286</f>
        <v>103</v>
      </c>
      <c r="CI286" s="71" t="str">
        <f t="shared" ref="CI286:CI305" si="1554">K286</f>
        <v>-</v>
      </c>
      <c r="CJ286" s="72">
        <f t="shared" ref="CJ286:CJ305" si="1555">O286</f>
        <v>137</v>
      </c>
      <c r="CK286" s="72">
        <f t="shared" ref="CK286:CK305" si="1556">S286</f>
        <v>143</v>
      </c>
      <c r="CL286" s="72">
        <f t="shared" ref="CL286:CL305" si="1557">W286</f>
        <v>179</v>
      </c>
      <c r="CM286" s="72">
        <f t="shared" ref="CM286:CM305" si="1558">AA286</f>
        <v>186</v>
      </c>
      <c r="CN286" s="72">
        <f t="shared" ref="CN286:CN305" si="1559">AE286</f>
        <v>211</v>
      </c>
      <c r="CO286" s="72">
        <f t="shared" ref="CO286:CO305" si="1560">AI286</f>
        <v>228</v>
      </c>
      <c r="CP286" s="72">
        <f t="shared" ref="CP286:CP305" si="1561">AM286</f>
        <v>272</v>
      </c>
      <c r="CQ286" s="72">
        <f t="shared" ref="CQ286:CQ305" si="1562">AQ286</f>
        <v>317</v>
      </c>
      <c r="CR286" s="72">
        <f t="shared" ref="CR286:CR305" si="1563">AU286</f>
        <v>347</v>
      </c>
      <c r="CS286" s="72">
        <f t="shared" ref="CS286:CS305" si="1564">AY286</f>
        <v>362</v>
      </c>
      <c r="CT286" s="23" t="e">
        <f t="shared" ref="CT286:CT305" si="1565">M286-K286</f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si="1538"/>
        <v>par2_human_5NDD</v>
      </c>
      <c r="B287" s="3" t="s">
        <v>356</v>
      </c>
      <c r="C287" s="3" t="s">
        <v>1397</v>
      </c>
      <c r="D287" s="3" t="str">
        <f>IFERROR(MID(VLOOKUP($B287,Seqs!$A:$B,2,0),E287,1),"")</f>
        <v>G</v>
      </c>
      <c r="E287" s="3">
        <v>71</v>
      </c>
      <c r="F287" s="3" t="str">
        <f>IFERROR(MID(VLOOKUP($B287,Seqs!$A:$B,2,0),G287,1),"")</f>
        <v>R</v>
      </c>
      <c r="G287" s="3">
        <v>103</v>
      </c>
      <c r="H287" s="3" t="str">
        <f>IFERROR(MID(VLOOKUP($B287,Seqs!$A:$B,2,0),I287,1),"")</f>
        <v/>
      </c>
      <c r="I287" s="23" t="s">
        <v>23</v>
      </c>
      <c r="J287" s="3" t="str">
        <f>IFERROR(MID(VLOOKUP($B287,Seqs!$A:$B,2,0),K287,1),"")</f>
        <v/>
      </c>
      <c r="K287" s="23" t="s">
        <v>23</v>
      </c>
      <c r="L287" s="3" t="str">
        <f>IFERROR(MID(VLOOKUP($B287,Seqs!$A:$B,2,0),M287,1),"")</f>
        <v>H</v>
      </c>
      <c r="M287" s="3">
        <v>108</v>
      </c>
      <c r="N287" s="3" t="str">
        <f>IFERROR(MID(VLOOKUP($B287,Seqs!$A:$B,2,0),O287,1),"")</f>
        <v>H</v>
      </c>
      <c r="O287" s="3">
        <v>137</v>
      </c>
      <c r="P287" s="3" t="str">
        <f>IFERROR(MID(VLOOKUP($B287,Seqs!$A:$B,2,0),Q287,1),"")</f>
        <v>G</v>
      </c>
      <c r="Q287" s="3">
        <v>138</v>
      </c>
      <c r="R287" s="3" t="str">
        <f>IFERROR(MID(VLOOKUP($B287,Seqs!$A:$B,2,0),S287,1),"")</f>
        <v>Y</v>
      </c>
      <c r="S287" s="3">
        <v>143</v>
      </c>
      <c r="T287" s="3" t="str">
        <f>IFERROR(MID(VLOOKUP($B287,Seqs!$A:$B,2,0),U287,1),"")</f>
        <v>G</v>
      </c>
      <c r="U287" s="3">
        <v>144</v>
      </c>
      <c r="V287" s="3" t="str">
        <f>IFERROR(MID(VLOOKUP($B287,Seqs!$A:$B,2,0),W287,1),"")</f>
        <v>N</v>
      </c>
      <c r="W287" s="3">
        <v>179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H</v>
      </c>
      <c r="AC287" s="3">
        <v>183</v>
      </c>
      <c r="AD287" s="3" t="str">
        <f>IFERROR(MID(VLOOKUP($B287,Seqs!$A:$B,2,0),AE287,1),"")</f>
        <v>V</v>
      </c>
      <c r="AE287" s="3">
        <v>211</v>
      </c>
      <c r="AF287" s="3" t="str">
        <f>IFERROR(MID(VLOOKUP($B287,Seqs!$A:$B,2,0),AG287,1),"")</f>
        <v>C</v>
      </c>
      <c r="AG287" s="3">
        <v>226</v>
      </c>
      <c r="AH287" s="3" t="str">
        <f>IFERROR(MID(VLOOKUP($B287,Seqs!$A:$B,2,0),AI287,1),"")</f>
        <v>D</v>
      </c>
      <c r="AI287" s="3">
        <v>228</v>
      </c>
      <c r="AJ287" s="3" t="str">
        <f>IFERROR(MID(VLOOKUP($B287,Seqs!$A:$B,2,0),AK287,1),"")</f>
        <v>L</v>
      </c>
      <c r="AK287" s="3">
        <v>235</v>
      </c>
      <c r="AL287" s="3" t="str">
        <f>IFERROR(MID(VLOOKUP($B287,Seqs!$A:$B,2,0),AM287,1),"")</f>
        <v>L</v>
      </c>
      <c r="AM287" s="3">
        <v>269</v>
      </c>
      <c r="AN287" s="3" t="str">
        <f>IFERROR(MID(VLOOKUP($B287,Seqs!$A:$B,2,0),AO287,1),"")</f>
        <v>S</v>
      </c>
      <c r="AO287" s="3">
        <v>278</v>
      </c>
      <c r="AP287" s="3" t="str">
        <f>IFERROR(MID(VLOOKUP($B287,Seqs!$A:$B,2,0),AQ287,1),"")</f>
        <v>Q</v>
      </c>
      <c r="AQ287" s="3">
        <v>317</v>
      </c>
      <c r="AR287" s="3" t="str">
        <f>IFERROR(MID(VLOOKUP($B287,Seqs!$A:$B,2,0),AS287,1),"")</f>
        <v>V</v>
      </c>
      <c r="AS287" s="3">
        <v>322</v>
      </c>
      <c r="AT287" s="3" t="str">
        <f>IFERROR(MID(VLOOKUP($B287,Seqs!$A:$B,2,0),AU287,1),"")</f>
        <v>V</v>
      </c>
      <c r="AU287" s="3">
        <v>347</v>
      </c>
      <c r="AV287" s="3" t="str">
        <f>IFERROR(MID(VLOOKUP($B287,Seqs!$A:$B,2,0),AW287,1),"")</f>
        <v>S</v>
      </c>
      <c r="AW287" s="3">
        <v>348</v>
      </c>
      <c r="AX287" s="3" t="str">
        <f>IFERROR(MID(VLOOKUP($B287,Seqs!$A:$B,2,0),AY287,1),"")</f>
        <v>L</v>
      </c>
      <c r="AY287" s="3">
        <v>359</v>
      </c>
      <c r="AZ287" s="77" t="str">
        <f>VLOOKUP(B287,Classification!A:D,2,0)</f>
        <v>A</v>
      </c>
      <c r="BA287" s="94" t="str">
        <f>VLOOKUP(B287,Classification!A:D,4,0)</f>
        <v>Proteinase-activated</v>
      </c>
      <c r="BB287" s="27" t="b">
        <f t="shared" si="1539"/>
        <v>1</v>
      </c>
      <c r="BC287" s="23">
        <f t="shared" si="1540"/>
        <v>252</v>
      </c>
      <c r="BD287" s="2" t="s">
        <v>1430</v>
      </c>
      <c r="BE287" s="3" t="s">
        <v>1429</v>
      </c>
      <c r="BF287" s="119">
        <v>2.8</v>
      </c>
      <c r="BG287" s="49" t="s">
        <v>1</v>
      </c>
      <c r="BH287" s="49" t="s">
        <v>1378</v>
      </c>
      <c r="BI287" s="1"/>
      <c r="BJ287" s="70" t="s">
        <v>1288</v>
      </c>
      <c r="BK287" s="57" t="s">
        <v>1288</v>
      </c>
      <c r="BL287" s="57" t="s">
        <v>1288</v>
      </c>
      <c r="BM287" s="57" t="s">
        <v>1288</v>
      </c>
      <c r="BN287" s="57" t="s">
        <v>1288</v>
      </c>
      <c r="BO287" s="57" t="s">
        <v>1288</v>
      </c>
      <c r="BP287" s="57" t="s">
        <v>1288</v>
      </c>
      <c r="BQ287" s="57" t="s">
        <v>1288</v>
      </c>
      <c r="BR287" s="57" t="s">
        <v>1288</v>
      </c>
      <c r="BS287" s="57" t="s">
        <v>1288</v>
      </c>
      <c r="BT287" s="57" t="s">
        <v>1288</v>
      </c>
      <c r="BU287" s="57" t="s">
        <v>1288</v>
      </c>
      <c r="BV287" s="70">
        <f t="shared" si="1541"/>
        <v>71</v>
      </c>
      <c r="BW287" s="71" t="str">
        <f t="shared" si="1542"/>
        <v>-</v>
      </c>
      <c r="BX287" s="72">
        <f t="shared" si="1543"/>
        <v>108</v>
      </c>
      <c r="BY287" s="71">
        <f t="shared" si="1544"/>
        <v>138</v>
      </c>
      <c r="BZ287" s="72">
        <f t="shared" si="1545"/>
        <v>144</v>
      </c>
      <c r="CA287" s="71" t="str">
        <f t="shared" si="1546"/>
        <v>-</v>
      </c>
      <c r="CB287" s="72">
        <f t="shared" si="1547"/>
        <v>183</v>
      </c>
      <c r="CC287" s="71">
        <f t="shared" si="1548"/>
        <v>226</v>
      </c>
      <c r="CD287" s="72">
        <f t="shared" si="1549"/>
        <v>235</v>
      </c>
      <c r="CE287" s="71">
        <f t="shared" si="1550"/>
        <v>278</v>
      </c>
      <c r="CF287" s="72">
        <f t="shared" si="1551"/>
        <v>322</v>
      </c>
      <c r="CG287" s="71">
        <f t="shared" si="1552"/>
        <v>348</v>
      </c>
      <c r="CH287" s="70">
        <f t="shared" si="1553"/>
        <v>103</v>
      </c>
      <c r="CI287" s="71" t="str">
        <f t="shared" si="1554"/>
        <v>-</v>
      </c>
      <c r="CJ287" s="72">
        <f t="shared" si="1555"/>
        <v>137</v>
      </c>
      <c r="CK287" s="72">
        <f t="shared" si="1556"/>
        <v>143</v>
      </c>
      <c r="CL287" s="72">
        <f t="shared" si="1557"/>
        <v>179</v>
      </c>
      <c r="CM287" s="72" t="str">
        <f t="shared" si="1558"/>
        <v>-</v>
      </c>
      <c r="CN287" s="72">
        <f t="shared" si="1559"/>
        <v>211</v>
      </c>
      <c r="CO287" s="72">
        <f t="shared" si="1560"/>
        <v>228</v>
      </c>
      <c r="CP287" s="72">
        <f t="shared" si="1561"/>
        <v>269</v>
      </c>
      <c r="CQ287" s="72">
        <f t="shared" si="1562"/>
        <v>317</v>
      </c>
      <c r="CR287" s="72">
        <f t="shared" si="1563"/>
        <v>347</v>
      </c>
      <c r="CS287" s="72">
        <f t="shared" si="1564"/>
        <v>359</v>
      </c>
      <c r="CT287" s="23" t="e">
        <f t="shared" si="1565"/>
        <v>#VALUE!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si="1538"/>
        <v>par2_human_5NDZ</v>
      </c>
      <c r="B288" s="3" t="s">
        <v>356</v>
      </c>
      <c r="C288" s="3" t="s">
        <v>1398</v>
      </c>
      <c r="D288" s="3" t="str">
        <f>IFERROR(MID(VLOOKUP($B288,Seqs!$A:$B,2,0),E288,1),"")</f>
        <v>G</v>
      </c>
      <c r="E288" s="3">
        <v>71</v>
      </c>
      <c r="F288" s="3" t="str">
        <f>IFERROR(MID(VLOOKUP($B288,Seqs!$A:$B,2,0),G288,1),"")</f>
        <v>R</v>
      </c>
      <c r="G288" s="3">
        <v>103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H</v>
      </c>
      <c r="M288" s="3">
        <v>108</v>
      </c>
      <c r="N288" s="3" t="str">
        <f>IFERROR(MID(VLOOKUP($B288,Seqs!$A:$B,2,0),O288,1),"")</f>
        <v>H</v>
      </c>
      <c r="O288" s="3">
        <v>137</v>
      </c>
      <c r="P288" s="3" t="str">
        <f>IFERROR(MID(VLOOKUP($B288,Seqs!$A:$B,2,0),Q288,1),"")</f>
        <v>G</v>
      </c>
      <c r="Q288" s="3">
        <v>138</v>
      </c>
      <c r="R288" s="3" t="str">
        <f>IFERROR(MID(VLOOKUP($B288,Seqs!$A:$B,2,0),S288,1),"")</f>
        <v>Y</v>
      </c>
      <c r="S288" s="3">
        <v>143</v>
      </c>
      <c r="T288" s="3" t="str">
        <f>IFERROR(MID(VLOOKUP($B288,Seqs!$A:$B,2,0),U288,1),"")</f>
        <v>G</v>
      </c>
      <c r="U288" s="3">
        <v>144</v>
      </c>
      <c r="V288" s="3" t="str">
        <f>IFERROR(MID(VLOOKUP($B288,Seqs!$A:$B,2,0),W288,1),"")</f>
        <v>N</v>
      </c>
      <c r="W288" s="3">
        <v>179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H</v>
      </c>
      <c r="AC288" s="3">
        <v>183</v>
      </c>
      <c r="AD288" s="3" t="str">
        <f>IFERROR(MID(VLOOKUP($B288,Seqs!$A:$B,2,0),AE288,1),"")</f>
        <v>V</v>
      </c>
      <c r="AE288" s="3">
        <v>211</v>
      </c>
      <c r="AF288" s="3" t="str">
        <f>IFERROR(MID(VLOOKUP($B288,Seqs!$A:$B,2,0),AG288,1),"")</f>
        <v>C</v>
      </c>
      <c r="AG288" s="3">
        <v>226</v>
      </c>
      <c r="AH288" s="3" t="str">
        <f>IFERROR(MID(VLOOKUP($B288,Seqs!$A:$B,2,0),AI288,1),"")</f>
        <v>D</v>
      </c>
      <c r="AI288" s="3">
        <v>228</v>
      </c>
      <c r="AJ288" s="3" t="str">
        <f>IFERROR(MID(VLOOKUP($B288,Seqs!$A:$B,2,0),AK288,1),"")</f>
        <v>L</v>
      </c>
      <c r="AK288" s="3">
        <v>235</v>
      </c>
      <c r="AL288" s="3" t="str">
        <f>IFERROR(MID(VLOOKUP($B288,Seqs!$A:$B,2,0),AM288,1),"")</f>
        <v>L</v>
      </c>
      <c r="AM288" s="3">
        <v>269</v>
      </c>
      <c r="AN288" s="3" t="str">
        <f>IFERROR(MID(VLOOKUP($B288,Seqs!$A:$B,2,0),AO288,1),"")</f>
        <v>S</v>
      </c>
      <c r="AO288" s="3">
        <v>278</v>
      </c>
      <c r="AP288" s="3" t="str">
        <f>IFERROR(MID(VLOOKUP($B288,Seqs!$A:$B,2,0),AQ288,1),"")</f>
        <v>Q</v>
      </c>
      <c r="AQ288" s="3">
        <v>317</v>
      </c>
      <c r="AR288" s="3" t="str">
        <f>IFERROR(MID(VLOOKUP($B288,Seqs!$A:$B,2,0),AS288,1),"")</f>
        <v>V</v>
      </c>
      <c r="AS288" s="3">
        <v>322</v>
      </c>
      <c r="AT288" s="3" t="str">
        <f>IFERROR(MID(VLOOKUP($B288,Seqs!$A:$B,2,0),AU288,1),"")</f>
        <v>S</v>
      </c>
      <c r="AU288" s="3">
        <v>348</v>
      </c>
      <c r="AV288" s="3" t="str">
        <f>IFERROR(MID(VLOOKUP($B288,Seqs!$A:$B,2,0),AW288,1),"")</f>
        <v>H</v>
      </c>
      <c r="AW288" s="3">
        <v>349</v>
      </c>
      <c r="AX288" s="3" t="str">
        <f>IFERROR(MID(VLOOKUP($B288,Seqs!$A:$B,2,0),AY288,1),"")</f>
        <v>L</v>
      </c>
      <c r="AY288" s="3">
        <v>359</v>
      </c>
      <c r="AZ288" s="77" t="str">
        <f>VLOOKUP(B288,Classification!A:D,2,0)</f>
        <v>A</v>
      </c>
      <c r="BA288" s="94" t="str">
        <f>VLOOKUP(B288,Classification!A:D,4,0)</f>
        <v>Proteinase-activated</v>
      </c>
      <c r="BB288" s="27" t="b">
        <f t="shared" si="1539"/>
        <v>1</v>
      </c>
      <c r="BC288" s="23">
        <f t="shared" si="1540"/>
        <v>252</v>
      </c>
      <c r="BD288" s="2" t="s">
        <v>23</v>
      </c>
      <c r="BE288" s="3" t="s">
        <v>1429</v>
      </c>
      <c r="BF288" s="119">
        <v>3.6</v>
      </c>
      <c r="BG288" s="49" t="s">
        <v>1</v>
      </c>
      <c r="BH288" s="49" t="s">
        <v>1378</v>
      </c>
      <c r="BI288" s="1"/>
      <c r="BJ288" s="70" t="s">
        <v>1288</v>
      </c>
      <c r="BK288" s="57" t="s">
        <v>1288</v>
      </c>
      <c r="BL288" s="57" t="s">
        <v>1288</v>
      </c>
      <c r="BM288" s="57" t="s">
        <v>1288</v>
      </c>
      <c r="BN288" s="57" t="s">
        <v>1288</v>
      </c>
      <c r="BO288" s="57" t="s">
        <v>1288</v>
      </c>
      <c r="BP288" s="57" t="s">
        <v>1288</v>
      </c>
      <c r="BQ288" s="57" t="s">
        <v>1288</v>
      </c>
      <c r="BR288" s="57" t="s">
        <v>1288</v>
      </c>
      <c r="BS288" s="57" t="s">
        <v>1288</v>
      </c>
      <c r="BT288" s="57" t="s">
        <v>1288</v>
      </c>
      <c r="BU288" s="57" t="s">
        <v>1288</v>
      </c>
      <c r="BV288" s="70">
        <f t="shared" si="1541"/>
        <v>71</v>
      </c>
      <c r="BW288" s="71" t="str">
        <f t="shared" si="1542"/>
        <v>-</v>
      </c>
      <c r="BX288" s="72">
        <f t="shared" si="1543"/>
        <v>108</v>
      </c>
      <c r="BY288" s="71">
        <f t="shared" si="1544"/>
        <v>138</v>
      </c>
      <c r="BZ288" s="72">
        <f t="shared" si="1545"/>
        <v>144</v>
      </c>
      <c r="CA288" s="71" t="str">
        <f t="shared" si="1546"/>
        <v>-</v>
      </c>
      <c r="CB288" s="72">
        <f t="shared" si="1547"/>
        <v>183</v>
      </c>
      <c r="CC288" s="71">
        <f t="shared" si="1548"/>
        <v>226</v>
      </c>
      <c r="CD288" s="72">
        <f t="shared" si="1549"/>
        <v>235</v>
      </c>
      <c r="CE288" s="71">
        <f t="shared" si="1550"/>
        <v>278</v>
      </c>
      <c r="CF288" s="72">
        <f t="shared" si="1551"/>
        <v>322</v>
      </c>
      <c r="CG288" s="71">
        <f t="shared" si="1552"/>
        <v>349</v>
      </c>
      <c r="CH288" s="70">
        <f t="shared" si="1553"/>
        <v>103</v>
      </c>
      <c r="CI288" s="71" t="str">
        <f t="shared" si="1554"/>
        <v>-</v>
      </c>
      <c r="CJ288" s="72">
        <f t="shared" si="1555"/>
        <v>137</v>
      </c>
      <c r="CK288" s="72">
        <f t="shared" si="1556"/>
        <v>143</v>
      </c>
      <c r="CL288" s="72">
        <f t="shared" si="1557"/>
        <v>179</v>
      </c>
      <c r="CM288" s="72" t="str">
        <f t="shared" si="1558"/>
        <v>-</v>
      </c>
      <c r="CN288" s="72">
        <f t="shared" si="1559"/>
        <v>211</v>
      </c>
      <c r="CO288" s="72">
        <f t="shared" si="1560"/>
        <v>228</v>
      </c>
      <c r="CP288" s="72">
        <f t="shared" si="1561"/>
        <v>269</v>
      </c>
      <c r="CQ288" s="72">
        <f t="shared" si="1562"/>
        <v>317</v>
      </c>
      <c r="CR288" s="72">
        <f t="shared" si="1563"/>
        <v>348</v>
      </c>
      <c r="CS288" s="72">
        <f t="shared" si="1564"/>
        <v>359</v>
      </c>
      <c r="CT288" s="23" t="e">
        <f t="shared" si="1565"/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1538"/>
        <v>par2_human_5NJ6</v>
      </c>
      <c r="B289" s="3" t="s">
        <v>356</v>
      </c>
      <c r="C289" s="3" t="s">
        <v>1399</v>
      </c>
      <c r="D289" s="3" t="str">
        <f>IFERROR(MID(VLOOKUP($B289,Seqs!$A:$B,2,0),E289,1),"")</f>
        <v>G</v>
      </c>
      <c r="E289" s="3">
        <v>71</v>
      </c>
      <c r="F289" s="3" t="str">
        <f>IFERROR(MID(VLOOKUP($B289,Seqs!$A:$B,2,0),G289,1),"")</f>
        <v>R</v>
      </c>
      <c r="G289" s="3">
        <v>103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H</v>
      </c>
      <c r="M289" s="3">
        <v>108</v>
      </c>
      <c r="N289" s="3" t="str">
        <f>IFERROR(MID(VLOOKUP($B289,Seqs!$A:$B,2,0),O289,1),"")</f>
        <v>H</v>
      </c>
      <c r="O289" s="3">
        <v>137</v>
      </c>
      <c r="P289" s="3" t="str">
        <f>IFERROR(MID(VLOOKUP($B289,Seqs!$A:$B,2,0),Q289,1),"")</f>
        <v>G</v>
      </c>
      <c r="Q289" s="3">
        <v>138</v>
      </c>
      <c r="R289" s="3" t="str">
        <f>IFERROR(MID(VLOOKUP($B289,Seqs!$A:$B,2,0),S289,1),"")</f>
        <v>Y</v>
      </c>
      <c r="S289" s="3">
        <v>143</v>
      </c>
      <c r="T289" s="3" t="str">
        <f>IFERROR(MID(VLOOKUP($B289,Seqs!$A:$B,2,0),U289,1),"")</f>
        <v>G</v>
      </c>
      <c r="U289" s="3">
        <v>144</v>
      </c>
      <c r="V289" s="3" t="str">
        <f>IFERROR(MID(VLOOKUP($B289,Seqs!$A:$B,2,0),W289,1),"")</f>
        <v>N</v>
      </c>
      <c r="W289" s="3">
        <v>179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H</v>
      </c>
      <c r="AC289" s="3">
        <v>183</v>
      </c>
      <c r="AD289" s="3" t="str">
        <f>IFERROR(MID(VLOOKUP($B289,Seqs!$A:$B,2,0),AE289,1),"")</f>
        <v>V</v>
      </c>
      <c r="AE289" s="3">
        <v>211</v>
      </c>
      <c r="AF289" s="3" t="str">
        <f>IFERROR(MID(VLOOKUP($B289,Seqs!$A:$B,2,0),AG289,1),"")</f>
        <v>C</v>
      </c>
      <c r="AG289" s="3">
        <v>226</v>
      </c>
      <c r="AH289" s="3" t="str">
        <f>IFERROR(MID(VLOOKUP($B289,Seqs!$A:$B,2,0),AI289,1),"")</f>
        <v>D</v>
      </c>
      <c r="AI289" s="3">
        <v>228</v>
      </c>
      <c r="AJ289" s="3" t="str">
        <f>IFERROR(MID(VLOOKUP($B289,Seqs!$A:$B,2,0),AK289,1),"")</f>
        <v>L</v>
      </c>
      <c r="AK289" s="3">
        <v>235</v>
      </c>
      <c r="AL289" s="3" t="str">
        <f>IFERROR(MID(VLOOKUP($B289,Seqs!$A:$B,2,0),AM289,1),"")</f>
        <v>L</v>
      </c>
      <c r="AM289" s="3">
        <v>269</v>
      </c>
      <c r="AN289" s="3" t="str">
        <f>IFERROR(MID(VLOOKUP($B289,Seqs!$A:$B,2,0),AO289,1),"")</f>
        <v>S</v>
      </c>
      <c r="AO289" s="3">
        <v>278</v>
      </c>
      <c r="AP289" s="3" t="str">
        <f>IFERROR(MID(VLOOKUP($B289,Seqs!$A:$B,2,0),AQ289,1),"")</f>
        <v>Q</v>
      </c>
      <c r="AQ289" s="3">
        <v>317</v>
      </c>
      <c r="AR289" s="3" t="str">
        <f>IFERROR(MID(VLOOKUP($B289,Seqs!$A:$B,2,0),AS289,1),"")</f>
        <v>V</v>
      </c>
      <c r="AS289" s="3">
        <v>322</v>
      </c>
      <c r="AT289" s="3" t="str">
        <f>IFERROR(MID(VLOOKUP($B289,Seqs!$A:$B,2,0),AU289,1),"")</f>
        <v>S</v>
      </c>
      <c r="AU289" s="3">
        <v>348</v>
      </c>
      <c r="AV289" s="3" t="str">
        <f>IFERROR(MID(VLOOKUP($B289,Seqs!$A:$B,2,0),AW289,1),"")</f>
        <v>H</v>
      </c>
      <c r="AW289" s="3">
        <v>349</v>
      </c>
      <c r="AX289" s="3" t="str">
        <f>IFERROR(MID(VLOOKUP($B289,Seqs!$A:$B,2,0),AY289,1),"")</f>
        <v>L</v>
      </c>
      <c r="AY289" s="3">
        <v>359</v>
      </c>
      <c r="AZ289" s="77" t="str">
        <f>VLOOKUP(B289,Classification!A:D,2,0)</f>
        <v>A</v>
      </c>
      <c r="BA289" s="94" t="str">
        <f>VLOOKUP(B289,Classification!A:D,4,0)</f>
        <v>Proteinase-activated</v>
      </c>
      <c r="BB289" s="27" t="b">
        <f t="shared" si="1539"/>
        <v>1</v>
      </c>
      <c r="BC289" s="23">
        <f t="shared" si="1540"/>
        <v>252</v>
      </c>
      <c r="BD289" s="2" t="s">
        <v>23</v>
      </c>
      <c r="BE289" s="3" t="s">
        <v>1429</v>
      </c>
      <c r="BF289" s="119">
        <v>4</v>
      </c>
      <c r="BG289" s="49" t="s">
        <v>1</v>
      </c>
      <c r="BH289" s="49" t="s">
        <v>1378</v>
      </c>
      <c r="BI289" s="1"/>
      <c r="BJ289" s="70" t="s">
        <v>1288</v>
      </c>
      <c r="BK289" s="57" t="s">
        <v>1288</v>
      </c>
      <c r="BL289" s="57" t="s">
        <v>1288</v>
      </c>
      <c r="BM289" s="57" t="s">
        <v>1288</v>
      </c>
      <c r="BN289" s="57" t="s">
        <v>1288</v>
      </c>
      <c r="BO289" s="57" t="s">
        <v>1288</v>
      </c>
      <c r="BP289" s="57" t="s">
        <v>1288</v>
      </c>
      <c r="BQ289" s="57" t="s">
        <v>1288</v>
      </c>
      <c r="BR289" s="57" t="s">
        <v>1288</v>
      </c>
      <c r="BS289" s="57" t="s">
        <v>1288</v>
      </c>
      <c r="BT289" s="57" t="s">
        <v>1288</v>
      </c>
      <c r="BU289" s="57" t="s">
        <v>1288</v>
      </c>
      <c r="BV289" s="70">
        <f t="shared" si="1541"/>
        <v>71</v>
      </c>
      <c r="BW289" s="71" t="str">
        <f t="shared" si="1542"/>
        <v>-</v>
      </c>
      <c r="BX289" s="72">
        <f t="shared" si="1543"/>
        <v>108</v>
      </c>
      <c r="BY289" s="71">
        <f t="shared" si="1544"/>
        <v>138</v>
      </c>
      <c r="BZ289" s="72">
        <f t="shared" si="1545"/>
        <v>144</v>
      </c>
      <c r="CA289" s="71" t="str">
        <f t="shared" si="1546"/>
        <v>-</v>
      </c>
      <c r="CB289" s="72">
        <f t="shared" si="1547"/>
        <v>183</v>
      </c>
      <c r="CC289" s="71">
        <f t="shared" si="1548"/>
        <v>226</v>
      </c>
      <c r="CD289" s="72">
        <f t="shared" si="1549"/>
        <v>235</v>
      </c>
      <c r="CE289" s="71">
        <f t="shared" si="1550"/>
        <v>278</v>
      </c>
      <c r="CF289" s="72">
        <f t="shared" si="1551"/>
        <v>322</v>
      </c>
      <c r="CG289" s="71">
        <f t="shared" si="1552"/>
        <v>349</v>
      </c>
      <c r="CH289" s="70">
        <f t="shared" si="1553"/>
        <v>103</v>
      </c>
      <c r="CI289" s="71" t="str">
        <f t="shared" si="1554"/>
        <v>-</v>
      </c>
      <c r="CJ289" s="72">
        <f t="shared" si="1555"/>
        <v>137</v>
      </c>
      <c r="CK289" s="72">
        <f t="shared" si="1556"/>
        <v>143</v>
      </c>
      <c r="CL289" s="72">
        <f t="shared" si="1557"/>
        <v>179</v>
      </c>
      <c r="CM289" s="72" t="str">
        <f t="shared" si="1558"/>
        <v>-</v>
      </c>
      <c r="CN289" s="72">
        <f t="shared" si="1559"/>
        <v>211</v>
      </c>
      <c r="CO289" s="72">
        <f t="shared" si="1560"/>
        <v>228</v>
      </c>
      <c r="CP289" s="72">
        <f t="shared" si="1561"/>
        <v>269</v>
      </c>
      <c r="CQ289" s="72">
        <f t="shared" si="1562"/>
        <v>317</v>
      </c>
      <c r="CR289" s="72">
        <f t="shared" si="1563"/>
        <v>348</v>
      </c>
      <c r="CS289" s="72">
        <f t="shared" si="1564"/>
        <v>359</v>
      </c>
      <c r="CT289" s="23" t="e">
        <f t="shared" si="1565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ref="A290" si="1566">CONCATENATE(B290,"_",C290)</f>
        <v>pd2r2_human__wt</v>
      </c>
      <c r="B290" s="3" t="s">
        <v>360</v>
      </c>
      <c r="C290" s="3" t="s">
        <v>100</v>
      </c>
      <c r="D290" s="3" t="str">
        <f>IFERROR(MID(VLOOKUP($B290,Seqs!$A:$B,2,0),E290,1),"")</f>
        <v>D</v>
      </c>
      <c r="E290" s="3">
        <v>32</v>
      </c>
      <c r="F290" s="3" t="str">
        <f>IFERROR(MID(VLOOKUP($B290,Seqs!$A:$B,2,0),G290,1),"")</f>
        <v>R</v>
      </c>
      <c r="G290" s="3">
        <v>60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T</v>
      </c>
      <c r="M290" s="3">
        <v>64</v>
      </c>
      <c r="N290" s="3" t="str">
        <f>IFERROR(MID(VLOOKUP($B290,Seqs!$A:$B,2,0),O290,1),"")</f>
        <v>G</v>
      </c>
      <c r="O290" s="3">
        <v>94</v>
      </c>
      <c r="P290" s="3" t="str">
        <f>IFERROR(MID(VLOOKUP($B290,Seqs!$A:$B,2,0),Q290,1),"")</f>
        <v>S</v>
      </c>
      <c r="Q290" s="3">
        <v>96</v>
      </c>
      <c r="R290" s="3" t="str">
        <f>IFERROR(MID(VLOOKUP($B290,Seqs!$A:$B,2,0),S290,1),"")</f>
        <v>L</v>
      </c>
      <c r="S290" s="3">
        <v>99</v>
      </c>
      <c r="T290" s="3" t="str">
        <f>IFERROR(MID(VLOOKUP($B290,Seqs!$A:$B,2,0),U290,1),"")</f>
        <v>G</v>
      </c>
      <c r="U290" s="3">
        <v>100</v>
      </c>
      <c r="V290" s="3" t="str">
        <f>IFERROR(MID(VLOOKUP($B290,Seqs!$A:$B,2,0),W290,1),"")</f>
        <v>R</v>
      </c>
      <c r="W290" s="3">
        <v>135</v>
      </c>
      <c r="X290" s="3" t="str">
        <f>IFERROR(MID(VLOOKUP($B290,Seqs!$A:$B,2,0),Y290,1),"")</f>
        <v>P</v>
      </c>
      <c r="Y290" s="3">
        <v>136</v>
      </c>
      <c r="Z290" s="3" t="str">
        <f>IFERROR(MID(VLOOKUP($B290,Seqs!$A:$B,2,0),AA290,1),"")</f>
        <v>R</v>
      </c>
      <c r="AA290" s="3">
        <v>143</v>
      </c>
      <c r="AB290" s="3" t="str">
        <f>IFERROR(MID(VLOOKUP($B290,Seqs!$A:$B,2,0),AC290,1),"")</f>
        <v>T</v>
      </c>
      <c r="AC290" s="3">
        <v>144</v>
      </c>
      <c r="AD290" s="3" t="str">
        <f>IFERROR(MID(VLOOKUP($B290,Seqs!$A:$B,2,0),AE290,1),"")</f>
        <v>R</v>
      </c>
      <c r="AE290" s="3">
        <v>170</v>
      </c>
      <c r="AF290" s="3" t="str">
        <f>IFERROR(MID(VLOOKUP($B290,Seqs!$A:$B,2,0),AG290,1),"")</f>
        <v>C</v>
      </c>
      <c r="AG290" s="3">
        <v>182</v>
      </c>
      <c r="AH290" s="3" t="str">
        <f>IFERROR(MID(VLOOKUP($B290,Seqs!$A:$B,2,0),AI290,1),"")</f>
        <v>Y</v>
      </c>
      <c r="AI290" s="3">
        <v>184</v>
      </c>
      <c r="AJ290" s="3" t="str">
        <f>IFERROR(MID(VLOOKUP($B290,Seqs!$A:$B,2,0),AK290,1),"")</f>
        <v>D</v>
      </c>
      <c r="AK290" s="3">
        <v>194</v>
      </c>
      <c r="AL290" s="3" t="str">
        <f>IFERROR(MID(VLOOKUP($B290,Seqs!$A:$B,2,0),AM290,1),"")</f>
        <v>R</v>
      </c>
      <c r="AM290" s="3">
        <v>236</v>
      </c>
      <c r="AN290" s="3" t="str">
        <f>IFERROR(MID(VLOOKUP($B290,Seqs!$A:$B,2,0),AO290,1),"")</f>
        <v>P</v>
      </c>
      <c r="AO290" s="3">
        <v>241</v>
      </c>
      <c r="AP290" s="3" t="str">
        <f>IFERROR(MID(VLOOKUP($B290,Seqs!$A:$B,2,0),AQ290,1),"")</f>
        <v>A</v>
      </c>
      <c r="AQ290" s="3">
        <v>272</v>
      </c>
      <c r="AR290" s="3" t="str">
        <f>IFERROR(MID(VLOOKUP($B290,Seqs!$A:$B,2,0),AS290,1),"")</f>
        <v>L</v>
      </c>
      <c r="AS290" s="3">
        <v>278</v>
      </c>
      <c r="AT290" s="3" t="str">
        <f>IFERROR(MID(VLOOKUP($B290,Seqs!$A:$B,2,0),AU290,1),"")</f>
        <v>T</v>
      </c>
      <c r="AU290" s="3">
        <v>307</v>
      </c>
      <c r="AV290" s="3" t="str">
        <f>IFERROR(MID(VLOOKUP($B290,Seqs!$A:$B,2,0),AW290,1),"")</f>
        <v>C</v>
      </c>
      <c r="AW290" s="3">
        <v>308</v>
      </c>
      <c r="AX290" s="3" t="str">
        <f>IFERROR(MID(VLOOKUP($B290,Seqs!$A:$B,2,0),AY290,1),"")</f>
        <v>S</v>
      </c>
      <c r="AY290" s="3">
        <v>325</v>
      </c>
      <c r="AZ290" s="77" t="str">
        <f>VLOOKUP(B290,Classification!A:D,2,0)</f>
        <v>A</v>
      </c>
      <c r="BA290" s="94" t="str">
        <f>VLOOKUP(B290,Classification!A:D,4,0)</f>
        <v>Prostanoid</v>
      </c>
      <c r="BB290" s="27" t="b">
        <f t="shared" ref="BB290" si="1567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 t="shared" ref="BC290" si="1568">_xlfn.AGGREGATE(9,6,CH290:CS290)-_xlfn.AGGREGATE(9,6,BV290:CG290)+12</f>
        <v>262</v>
      </c>
      <c r="BD290" s="2" t="s">
        <v>23</v>
      </c>
      <c r="BE290" s="3" t="s">
        <v>23</v>
      </c>
      <c r="BF290" s="119" t="s">
        <v>23</v>
      </c>
      <c r="BG290" s="49" t="s">
        <v>23</v>
      </c>
      <c r="BH290" s="49" t="s">
        <v>23</v>
      </c>
      <c r="BI290" s="1"/>
      <c r="BJ290" s="70" t="s">
        <v>1288</v>
      </c>
      <c r="BK290" s="57" t="s">
        <v>1288</v>
      </c>
      <c r="BL290" s="57" t="s">
        <v>1288</v>
      </c>
      <c r="BM290" s="57" t="s">
        <v>1288</v>
      </c>
      <c r="BN290" s="57" t="s">
        <v>1288</v>
      </c>
      <c r="BO290" s="57" t="s">
        <v>1288</v>
      </c>
      <c r="BP290" s="57" t="s">
        <v>1288</v>
      </c>
      <c r="BQ290" s="57" t="s">
        <v>1288</v>
      </c>
      <c r="BR290" s="57" t="s">
        <v>1288</v>
      </c>
      <c r="BS290" s="57" t="s">
        <v>1288</v>
      </c>
      <c r="BT290" s="57" t="s">
        <v>1288</v>
      </c>
      <c r="BU290" s="57" t="s">
        <v>1288</v>
      </c>
      <c r="BV290" s="70">
        <f t="shared" ref="BV290" si="1569">E290</f>
        <v>32</v>
      </c>
      <c r="BW290" s="71" t="str">
        <f t="shared" ref="BW290" si="1570">I290</f>
        <v>-</v>
      </c>
      <c r="BX290" s="72">
        <f t="shared" ref="BX290" si="1571">M290</f>
        <v>64</v>
      </c>
      <c r="BY290" s="71">
        <f t="shared" ref="BY290" si="1572">Q290</f>
        <v>96</v>
      </c>
      <c r="BZ290" s="72">
        <f t="shared" ref="BZ290" si="1573">U290</f>
        <v>100</v>
      </c>
      <c r="CA290" s="71">
        <f t="shared" ref="CA290" si="1574">Y290</f>
        <v>136</v>
      </c>
      <c r="CB290" s="72">
        <f t="shared" ref="CB290" si="1575">AC290</f>
        <v>144</v>
      </c>
      <c r="CC290" s="71">
        <f t="shared" ref="CC290" si="1576">AG290</f>
        <v>182</v>
      </c>
      <c r="CD290" s="72">
        <f t="shared" ref="CD290" si="1577">AK290</f>
        <v>194</v>
      </c>
      <c r="CE290" s="71">
        <f t="shared" ref="CE290" si="1578">AO290</f>
        <v>241</v>
      </c>
      <c r="CF290" s="72">
        <f t="shared" ref="CF290" si="1579">AS290</f>
        <v>278</v>
      </c>
      <c r="CG290" s="71">
        <f t="shared" ref="CG290" si="1580">AW290</f>
        <v>308</v>
      </c>
      <c r="CH290" s="70">
        <f t="shared" ref="CH290" si="1581">G290</f>
        <v>60</v>
      </c>
      <c r="CI290" s="71" t="str">
        <f t="shared" ref="CI290" si="1582">K290</f>
        <v>-</v>
      </c>
      <c r="CJ290" s="72">
        <f t="shared" ref="CJ290" si="1583">O290</f>
        <v>94</v>
      </c>
      <c r="CK290" s="72">
        <f t="shared" ref="CK290" si="1584">S290</f>
        <v>99</v>
      </c>
      <c r="CL290" s="72">
        <f t="shared" ref="CL290" si="1585">W290</f>
        <v>135</v>
      </c>
      <c r="CM290" s="72">
        <f t="shared" ref="CM290" si="1586">AA290</f>
        <v>143</v>
      </c>
      <c r="CN290" s="72">
        <f t="shared" ref="CN290" si="1587">AE290</f>
        <v>170</v>
      </c>
      <c r="CO290" s="72">
        <f t="shared" ref="CO290" si="1588">AI290</f>
        <v>184</v>
      </c>
      <c r="CP290" s="72">
        <f t="shared" ref="CP290" si="1589">AM290</f>
        <v>236</v>
      </c>
      <c r="CQ290" s="72">
        <f t="shared" ref="CQ290" si="1590">AQ290</f>
        <v>272</v>
      </c>
      <c r="CR290" s="72">
        <f t="shared" ref="CR290" si="1591">AU290</f>
        <v>307</v>
      </c>
      <c r="CS290" s="72">
        <f t="shared" ref="CS290" si="1592">AY290</f>
        <v>325</v>
      </c>
      <c r="CT290" s="23" t="e">
        <f t="shared" ref="CT290" si="1593"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ref="A291" si="1594">CONCATENATE(B291,"_",C291)</f>
        <v>pd2r2_human_6D26</v>
      </c>
      <c r="B291" s="3" t="s">
        <v>360</v>
      </c>
      <c r="C291" s="3" t="s">
        <v>1518</v>
      </c>
      <c r="D291" s="3" t="str">
        <f>IFERROR(MID(VLOOKUP($B291,Seqs!$A:$B,2,0),E291,1),"")</f>
        <v>D</v>
      </c>
      <c r="E291" s="3">
        <v>32</v>
      </c>
      <c r="F291" s="3" t="str">
        <f>IFERROR(MID(VLOOKUP($B291,Seqs!$A:$B,2,0),G291,1),"")</f>
        <v>R</v>
      </c>
      <c r="G291" s="3">
        <v>60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T</v>
      </c>
      <c r="M291" s="3">
        <v>64</v>
      </c>
      <c r="N291" s="3" t="str">
        <f>IFERROR(MID(VLOOKUP($B291,Seqs!$A:$B,2,0),O291,1),"")</f>
        <v>G</v>
      </c>
      <c r="O291" s="3">
        <v>94</v>
      </c>
      <c r="P291" s="3" t="str">
        <f>IFERROR(MID(VLOOKUP($B291,Seqs!$A:$B,2,0),Q291,1),"")</f>
        <v>S</v>
      </c>
      <c r="Q291" s="3">
        <v>96</v>
      </c>
      <c r="R291" s="3" t="str">
        <f>IFERROR(MID(VLOOKUP($B291,Seqs!$A:$B,2,0),S291,1),"")</f>
        <v>L</v>
      </c>
      <c r="S291" s="3">
        <v>99</v>
      </c>
      <c r="T291" s="3" t="str">
        <f>IFERROR(MID(VLOOKUP($B291,Seqs!$A:$B,2,0),U291,1),"")</f>
        <v>T</v>
      </c>
      <c r="U291" s="3">
        <v>101</v>
      </c>
      <c r="V291" s="3" t="str">
        <f>IFERROR(MID(VLOOKUP($B291,Seqs!$A:$B,2,0),W291,1),"")</f>
        <v>R</v>
      </c>
      <c r="W291" s="3">
        <v>135</v>
      </c>
      <c r="X291" s="3" t="str">
        <f>IFERROR(MID(VLOOKUP($B291,Seqs!$A:$B,2,0),Y291,1),"")</f>
        <v>P</v>
      </c>
      <c r="Y291" s="3">
        <v>136</v>
      </c>
      <c r="Z291" s="3" t="str">
        <f>IFERROR(MID(VLOOKUP($B291,Seqs!$A:$B,2,0),AA291,1),"")</f>
        <v>R</v>
      </c>
      <c r="AA291" s="3">
        <v>143</v>
      </c>
      <c r="AB291" s="3" t="str">
        <f>IFERROR(MID(VLOOKUP($B291,Seqs!$A:$B,2,0),AC291,1),"")</f>
        <v>T</v>
      </c>
      <c r="AC291" s="3">
        <v>144</v>
      </c>
      <c r="AD291" s="3" t="str">
        <f>IFERROR(MID(VLOOKUP($B291,Seqs!$A:$B,2,0),AE291,1),"")</f>
        <v>R</v>
      </c>
      <c r="AE291" s="3">
        <v>170</v>
      </c>
      <c r="AF291" s="3" t="str">
        <f>IFERROR(MID(VLOOKUP($B291,Seqs!$A:$B,2,0),AG291,1),"")</f>
        <v>C</v>
      </c>
      <c r="AG291" s="3">
        <v>182</v>
      </c>
      <c r="AH291" s="3" t="str">
        <f>IFERROR(MID(VLOOKUP($B291,Seqs!$A:$B,2,0),AI291,1),"")</f>
        <v>Y</v>
      </c>
      <c r="AI291" s="3">
        <v>184</v>
      </c>
      <c r="AJ291" s="3" t="str">
        <f>IFERROR(MID(VLOOKUP($B291,Seqs!$A:$B,2,0),AK291,1),"")</f>
        <v>D</v>
      </c>
      <c r="AK291" s="3">
        <v>194</v>
      </c>
      <c r="AL291" s="3" t="str">
        <f>IFERROR(MID(VLOOKUP($B291,Seqs!$A:$B,2,0),AM291,1),"")</f>
        <v>R</v>
      </c>
      <c r="AM291" s="3">
        <v>236</v>
      </c>
      <c r="AN291" s="3" t="str">
        <f>IFERROR(MID(VLOOKUP($B291,Seqs!$A:$B,2,0),AO291,1),"")</f>
        <v/>
      </c>
      <c r="AO291" s="3">
        <v>2244</v>
      </c>
      <c r="AP291" s="3" t="str">
        <f>IFERROR(MID(VLOOKUP($B291,Seqs!$A:$B,2,0),AQ291,1),"")</f>
        <v/>
      </c>
      <c r="AQ291" s="3">
        <v>2271</v>
      </c>
      <c r="AR291" s="3" t="str">
        <f>IFERROR(MID(VLOOKUP($B291,Seqs!$A:$B,2,0),AS291,1),"")</f>
        <v/>
      </c>
      <c r="AS291" s="3">
        <v>2278</v>
      </c>
      <c r="AT291" s="3" t="str">
        <f>IFERROR(MID(VLOOKUP($B291,Seqs!$A:$B,2,0),AU291,1),"")</f>
        <v/>
      </c>
      <c r="AU291" s="3">
        <v>2307</v>
      </c>
      <c r="AV291" s="3" t="str">
        <f>IFERROR(MID(VLOOKUP($B291,Seqs!$A:$B,2,0),AW291,1),"")</f>
        <v/>
      </c>
      <c r="AW291" s="3">
        <v>2308</v>
      </c>
      <c r="AX291" s="3" t="str">
        <f>IFERROR(MID(VLOOKUP($B291,Seqs!$A:$B,2,0),AY291,1),"")</f>
        <v/>
      </c>
      <c r="AY291" s="3">
        <v>2325</v>
      </c>
      <c r="AZ291" s="77" t="str">
        <f>VLOOKUP(B291,Classification!A:D,2,0)</f>
        <v>A</v>
      </c>
      <c r="BA291" s="94" t="str">
        <f>VLOOKUP(B291,Classification!A:D,4,0)</f>
        <v>Prostanoid</v>
      </c>
      <c r="BB291" s="27" t="b">
        <f t="shared" ref="BB291" si="1595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1596">_xlfn.AGGREGATE(9,6,CH291:CS291)-_xlfn.AGGREGATE(9,6,BV291:CG291)+12</f>
        <v>257</v>
      </c>
      <c r="BD291" s="2" t="s">
        <v>23</v>
      </c>
      <c r="BE291" s="3" t="s">
        <v>1375</v>
      </c>
      <c r="BF291" s="119">
        <v>2.8</v>
      </c>
      <c r="BG291" s="49" t="s">
        <v>1</v>
      </c>
      <c r="BH291" s="49" t="s">
        <v>1</v>
      </c>
      <c r="BI291" s="1"/>
      <c r="BJ291" s="70" t="s">
        <v>1288</v>
      </c>
      <c r="BK291" s="57" t="s">
        <v>1288</v>
      </c>
      <c r="BL291" s="57" t="s">
        <v>1288</v>
      </c>
      <c r="BM291" s="57" t="s">
        <v>1288</v>
      </c>
      <c r="BN291" s="57" t="s">
        <v>1288</v>
      </c>
      <c r="BO291" s="57" t="s">
        <v>1288</v>
      </c>
      <c r="BP291" s="57" t="s">
        <v>1288</v>
      </c>
      <c r="BQ291" s="57" t="s">
        <v>1288</v>
      </c>
      <c r="BR291" s="57" t="s">
        <v>1288</v>
      </c>
      <c r="BS291" s="57" t="s">
        <v>1288</v>
      </c>
      <c r="BT291" s="57" t="s">
        <v>1288</v>
      </c>
      <c r="BU291" s="57" t="s">
        <v>1288</v>
      </c>
      <c r="BV291" s="70">
        <f t="shared" ref="BV291" si="1597">E291</f>
        <v>32</v>
      </c>
      <c r="BW291" s="71" t="str">
        <f t="shared" ref="BW291" si="1598">I291</f>
        <v>-</v>
      </c>
      <c r="BX291" s="72">
        <f t="shared" ref="BX291" si="1599">M291</f>
        <v>64</v>
      </c>
      <c r="BY291" s="71">
        <f t="shared" ref="BY291" si="1600">Q291</f>
        <v>96</v>
      </c>
      <c r="BZ291" s="72">
        <f t="shared" ref="BZ291" si="1601">U291</f>
        <v>101</v>
      </c>
      <c r="CA291" s="71">
        <f t="shared" ref="CA291" si="1602">Y291</f>
        <v>136</v>
      </c>
      <c r="CB291" s="72">
        <f t="shared" ref="CB291" si="1603">AC291</f>
        <v>144</v>
      </c>
      <c r="CC291" s="71">
        <f t="shared" ref="CC291" si="1604">AG291</f>
        <v>182</v>
      </c>
      <c r="CD291" s="72">
        <f t="shared" ref="CD291" si="1605">AK291</f>
        <v>194</v>
      </c>
      <c r="CE291" s="71">
        <f t="shared" ref="CE291" si="1606">AO291</f>
        <v>2244</v>
      </c>
      <c r="CF291" s="72">
        <f t="shared" ref="CF291" si="1607">AS291</f>
        <v>2278</v>
      </c>
      <c r="CG291" s="71">
        <f t="shared" ref="CG291" si="1608">AW291</f>
        <v>2308</v>
      </c>
      <c r="CH291" s="70">
        <f t="shared" ref="CH291" si="1609">G291</f>
        <v>60</v>
      </c>
      <c r="CI291" s="71" t="str">
        <f t="shared" ref="CI291" si="1610">K291</f>
        <v>-</v>
      </c>
      <c r="CJ291" s="72">
        <f t="shared" ref="CJ291" si="1611">O291</f>
        <v>94</v>
      </c>
      <c r="CK291" s="72">
        <f t="shared" ref="CK291" si="1612">S291</f>
        <v>99</v>
      </c>
      <c r="CL291" s="72">
        <f t="shared" ref="CL291" si="1613">W291</f>
        <v>135</v>
      </c>
      <c r="CM291" s="72">
        <f t="shared" ref="CM291" si="1614">AA291</f>
        <v>143</v>
      </c>
      <c r="CN291" s="72">
        <f t="shared" ref="CN291" si="1615">AE291</f>
        <v>170</v>
      </c>
      <c r="CO291" s="72">
        <f t="shared" ref="CO291" si="1616">AI291</f>
        <v>184</v>
      </c>
      <c r="CP291" s="72">
        <f t="shared" ref="CP291" si="1617">AM291</f>
        <v>236</v>
      </c>
      <c r="CQ291" s="72">
        <f t="shared" ref="CQ291" si="1618">AQ291</f>
        <v>2271</v>
      </c>
      <c r="CR291" s="72">
        <f t="shared" ref="CR291" si="1619">AU291</f>
        <v>2307</v>
      </c>
      <c r="CS291" s="72">
        <f t="shared" ref="CS291" si="1620">AY291</f>
        <v>2325</v>
      </c>
      <c r="CT291" s="23" t="e">
        <f t="shared" ref="CT291" si="1621"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ref="A292" si="1622">CONCATENATE(B292,"_",C292)</f>
        <v>pd2r2_human_6D27</v>
      </c>
      <c r="B292" s="3" t="s">
        <v>360</v>
      </c>
      <c r="C292" s="3" t="s">
        <v>1543</v>
      </c>
      <c r="D292" s="3" t="str">
        <f>IFERROR(MID(VLOOKUP($B292,Seqs!$A:$B,2,0),E292,1),"")</f>
        <v>D</v>
      </c>
      <c r="E292" s="3">
        <v>32</v>
      </c>
      <c r="F292" s="3" t="str">
        <f>IFERROR(MID(VLOOKUP($B292,Seqs!$A:$B,2,0),G292,1),"")</f>
        <v>R</v>
      </c>
      <c r="G292" s="3">
        <v>60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T</v>
      </c>
      <c r="M292" s="3">
        <v>64</v>
      </c>
      <c r="N292" s="3" t="str">
        <f>IFERROR(MID(VLOOKUP($B292,Seqs!$A:$B,2,0),O292,1),"")</f>
        <v>G</v>
      </c>
      <c r="O292" s="3">
        <v>94</v>
      </c>
      <c r="P292" s="3" t="str">
        <f>IFERROR(MID(VLOOKUP($B292,Seqs!$A:$B,2,0),Q292,1),"")</f>
        <v>S</v>
      </c>
      <c r="Q292" s="3">
        <v>96</v>
      </c>
      <c r="R292" s="3" t="str">
        <f>IFERROR(MID(VLOOKUP($B292,Seqs!$A:$B,2,0),S292,1),"")</f>
        <v>L</v>
      </c>
      <c r="S292" s="3">
        <v>99</v>
      </c>
      <c r="T292" s="3" t="str">
        <f>IFERROR(MID(VLOOKUP($B292,Seqs!$A:$B,2,0),U292,1),"")</f>
        <v>T</v>
      </c>
      <c r="U292" s="3">
        <v>101</v>
      </c>
      <c r="V292" s="3" t="str">
        <f>IFERROR(MID(VLOOKUP($B292,Seqs!$A:$B,2,0),W292,1),"")</f>
        <v>R</v>
      </c>
      <c r="W292" s="3">
        <v>135</v>
      </c>
      <c r="X292" s="3" t="str">
        <f>IFERROR(MID(VLOOKUP($B292,Seqs!$A:$B,2,0),Y292,1),"")</f>
        <v>P</v>
      </c>
      <c r="Y292" s="3">
        <v>136</v>
      </c>
      <c r="Z292" s="3" t="str">
        <f>IFERROR(MID(VLOOKUP($B292,Seqs!$A:$B,2,0),AA292,1),"")</f>
        <v>R</v>
      </c>
      <c r="AA292" s="3">
        <v>143</v>
      </c>
      <c r="AB292" s="3" t="str">
        <f>IFERROR(MID(VLOOKUP($B292,Seqs!$A:$B,2,0),AC292,1),"")</f>
        <v>T</v>
      </c>
      <c r="AC292" s="3">
        <v>144</v>
      </c>
      <c r="AD292" s="3" t="str">
        <f>IFERROR(MID(VLOOKUP($B292,Seqs!$A:$B,2,0),AE292,1),"")</f>
        <v>R</v>
      </c>
      <c r="AE292" s="3">
        <v>170</v>
      </c>
      <c r="AF292" s="3" t="str">
        <f>IFERROR(MID(VLOOKUP($B292,Seqs!$A:$B,2,0),AG292,1),"")</f>
        <v>C</v>
      </c>
      <c r="AG292" s="3">
        <v>182</v>
      </c>
      <c r="AH292" s="3" t="str">
        <f>IFERROR(MID(VLOOKUP($B292,Seqs!$A:$B,2,0),AI292,1),"")</f>
        <v>Y</v>
      </c>
      <c r="AI292" s="3">
        <v>184</v>
      </c>
      <c r="AJ292" s="3" t="str">
        <f>IFERROR(MID(VLOOKUP($B292,Seqs!$A:$B,2,0),AK292,1),"")</f>
        <v>D</v>
      </c>
      <c r="AK292" s="3">
        <v>194</v>
      </c>
      <c r="AL292" s="3" t="str">
        <f>IFERROR(MID(VLOOKUP($B292,Seqs!$A:$B,2,0),AM292,1),"")</f>
        <v>R</v>
      </c>
      <c r="AM292" s="3">
        <v>236</v>
      </c>
      <c r="AN292" s="3" t="str">
        <f>IFERROR(MID(VLOOKUP($B292,Seqs!$A:$B,2,0),AO292,1),"")</f>
        <v/>
      </c>
      <c r="AO292" s="3">
        <v>2244</v>
      </c>
      <c r="AP292" s="3" t="str">
        <f>IFERROR(MID(VLOOKUP($B292,Seqs!$A:$B,2,0),AQ292,1),"")</f>
        <v/>
      </c>
      <c r="AQ292" s="3">
        <v>2271</v>
      </c>
      <c r="AR292" s="3" t="str">
        <f>IFERROR(MID(VLOOKUP($B292,Seqs!$A:$B,2,0),AS292,1),"")</f>
        <v/>
      </c>
      <c r="AS292" s="3">
        <v>2278</v>
      </c>
      <c r="AT292" s="3" t="str">
        <f>IFERROR(MID(VLOOKUP($B292,Seqs!$A:$B,2,0),AU292,1),"")</f>
        <v/>
      </c>
      <c r="AU292" s="3">
        <v>2307</v>
      </c>
      <c r="AV292" s="3" t="str">
        <f>IFERROR(MID(VLOOKUP($B292,Seqs!$A:$B,2,0),AW292,1),"")</f>
        <v/>
      </c>
      <c r="AW292" s="3">
        <v>2308</v>
      </c>
      <c r="AX292" s="3" t="str">
        <f>IFERROR(MID(VLOOKUP($B292,Seqs!$A:$B,2,0),AY292,1),"")</f>
        <v/>
      </c>
      <c r="AY292" s="3">
        <v>2325</v>
      </c>
      <c r="AZ292" s="77" t="str">
        <f>VLOOKUP(B292,Classification!A:D,2,0)</f>
        <v>A</v>
      </c>
      <c r="BA292" s="94" t="str">
        <f>VLOOKUP(B292,Classification!A:D,4,0)</f>
        <v>Prostanoid</v>
      </c>
      <c r="BB292" s="27" t="b">
        <f t="shared" ref="BB292" si="1623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1624">_xlfn.AGGREGATE(9,6,CH292:CS292)-_xlfn.AGGREGATE(9,6,BV292:CG292)+12</f>
        <v>257</v>
      </c>
      <c r="BD292" s="2" t="s">
        <v>1377</v>
      </c>
      <c r="BE292" s="3" t="s">
        <v>1375</v>
      </c>
      <c r="BF292" s="119">
        <v>4.74</v>
      </c>
      <c r="BG292" s="49" t="s">
        <v>1</v>
      </c>
      <c r="BH292" s="49" t="s">
        <v>1</v>
      </c>
      <c r="BI292" s="1"/>
      <c r="BJ292" s="70" t="s">
        <v>1288</v>
      </c>
      <c r="BK292" s="57" t="s">
        <v>1288</v>
      </c>
      <c r="BL292" s="57" t="s">
        <v>1288</v>
      </c>
      <c r="BM292" s="57" t="s">
        <v>1288</v>
      </c>
      <c r="BN292" s="57" t="s">
        <v>1288</v>
      </c>
      <c r="BO292" s="57" t="s">
        <v>1288</v>
      </c>
      <c r="BP292" s="57" t="s">
        <v>1288</v>
      </c>
      <c r="BQ292" s="57" t="s">
        <v>1288</v>
      </c>
      <c r="BR292" s="57" t="s">
        <v>1288</v>
      </c>
      <c r="BS292" s="57" t="s">
        <v>1288</v>
      </c>
      <c r="BT292" s="57" t="s">
        <v>1288</v>
      </c>
      <c r="BU292" s="57" t="s">
        <v>1288</v>
      </c>
      <c r="BV292" s="70">
        <f t="shared" ref="BV292" si="1625">E292</f>
        <v>32</v>
      </c>
      <c r="BW292" s="71" t="str">
        <f t="shared" ref="BW292" si="1626">I292</f>
        <v>-</v>
      </c>
      <c r="BX292" s="72">
        <f t="shared" ref="BX292" si="1627">M292</f>
        <v>64</v>
      </c>
      <c r="BY292" s="71">
        <f t="shared" ref="BY292" si="1628">Q292</f>
        <v>96</v>
      </c>
      <c r="BZ292" s="72">
        <f t="shared" ref="BZ292" si="1629">U292</f>
        <v>101</v>
      </c>
      <c r="CA292" s="71">
        <f t="shared" ref="CA292" si="1630">Y292</f>
        <v>136</v>
      </c>
      <c r="CB292" s="72">
        <f t="shared" ref="CB292" si="1631">AC292</f>
        <v>144</v>
      </c>
      <c r="CC292" s="71">
        <f t="shared" ref="CC292" si="1632">AG292</f>
        <v>182</v>
      </c>
      <c r="CD292" s="72">
        <f t="shared" ref="CD292" si="1633">AK292</f>
        <v>194</v>
      </c>
      <c r="CE292" s="71">
        <f t="shared" ref="CE292" si="1634">AO292</f>
        <v>2244</v>
      </c>
      <c r="CF292" s="72">
        <f t="shared" ref="CF292" si="1635">AS292</f>
        <v>2278</v>
      </c>
      <c r="CG292" s="71">
        <f t="shared" ref="CG292" si="1636">AW292</f>
        <v>2308</v>
      </c>
      <c r="CH292" s="70">
        <f t="shared" ref="CH292" si="1637">G292</f>
        <v>60</v>
      </c>
      <c r="CI292" s="71" t="str">
        <f t="shared" ref="CI292" si="1638">K292</f>
        <v>-</v>
      </c>
      <c r="CJ292" s="72">
        <f t="shared" ref="CJ292" si="1639">O292</f>
        <v>94</v>
      </c>
      <c r="CK292" s="72">
        <f t="shared" ref="CK292" si="1640">S292</f>
        <v>99</v>
      </c>
      <c r="CL292" s="72">
        <f t="shared" ref="CL292" si="1641">W292</f>
        <v>135</v>
      </c>
      <c r="CM292" s="72">
        <f t="shared" ref="CM292" si="1642">AA292</f>
        <v>143</v>
      </c>
      <c r="CN292" s="72">
        <f t="shared" ref="CN292" si="1643">AE292</f>
        <v>170</v>
      </c>
      <c r="CO292" s="72">
        <f t="shared" ref="CO292" si="1644">AI292</f>
        <v>184</v>
      </c>
      <c r="CP292" s="72">
        <f t="shared" ref="CP292" si="1645">AM292</f>
        <v>236</v>
      </c>
      <c r="CQ292" s="72">
        <f t="shared" ref="CQ292" si="1646">AQ292</f>
        <v>2271</v>
      </c>
      <c r="CR292" s="72">
        <f t="shared" ref="CR292" si="1647">AU292</f>
        <v>2307</v>
      </c>
      <c r="CS292" s="72">
        <f t="shared" ref="CS292" si="1648">AY292</f>
        <v>2325</v>
      </c>
      <c r="CT292" s="23" t="e">
        <f t="shared" ref="CT292" si="1649">M292-K292</f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s="12" customFormat="1" x14ac:dyDescent="0.2">
      <c r="A293" s="9" t="str">
        <f t="shared" ref="A293:A295" si="1650">CONCATENATE(B293,"_",C293)</f>
        <v>pe2r3_human__wt</v>
      </c>
      <c r="B293" s="9" t="s">
        <v>363</v>
      </c>
      <c r="C293" s="9" t="s">
        <v>100</v>
      </c>
      <c r="D293" s="9" t="str">
        <f>IFERROR(MID(VLOOKUP($B293,Seqs!$A:$B,2,0),E293,1),"")</f>
        <v>V</v>
      </c>
      <c r="E293" s="9">
        <v>52</v>
      </c>
      <c r="F293" s="9" t="str">
        <f>IFERROR(MID(VLOOKUP($B293,Seqs!$A:$B,2,0),G293,1),"")</f>
        <v>R</v>
      </c>
      <c r="G293" s="9">
        <v>78</v>
      </c>
      <c r="H293" s="9" t="str">
        <f>IFERROR(MID(VLOOKUP($B293,Seqs!$A:$B,2,0),I293,1),"")</f>
        <v/>
      </c>
      <c r="I293" s="109" t="s">
        <v>23</v>
      </c>
      <c r="J293" s="9" t="str">
        <f>IFERROR(MID(VLOOKUP($B293,Seqs!$A:$B,2,0),K293,1),"")</f>
        <v/>
      </c>
      <c r="K293" s="109" t="s">
        <v>23</v>
      </c>
      <c r="L293" s="9" t="str">
        <f>IFERROR(MID(VLOOKUP($B293,Seqs!$A:$B,2,0),M293,1),"")</f>
        <v>K</v>
      </c>
      <c r="M293" s="9">
        <v>85</v>
      </c>
      <c r="N293" s="9" t="str">
        <f>IFERROR(MID(VLOOKUP($B293,Seqs!$A:$B,2,0),O293,1),"")</f>
        <v>K</v>
      </c>
      <c r="O293" s="9">
        <v>117</v>
      </c>
      <c r="P293" s="9" t="str">
        <f>IFERROR(MID(VLOOKUP($B293,Seqs!$A:$B,2,0),Q293,1),"")</f>
        <v>Q</v>
      </c>
      <c r="Q293" s="9">
        <v>118</v>
      </c>
      <c r="R293" s="9" t="str">
        <f>IFERROR(MID(VLOOKUP($B293,Seqs!$A:$B,2,0),S293,1),"")</f>
        <v>S</v>
      </c>
      <c r="S293" s="9">
        <v>126</v>
      </c>
      <c r="T293" s="9" t="str">
        <f>IFERROR(MID(VLOOKUP($B293,Seqs!$A:$B,2,0),U293,1),"")</f>
        <v>G</v>
      </c>
      <c r="U293" s="9">
        <v>127</v>
      </c>
      <c r="V293" s="9" t="str">
        <f>IFERROR(MID(VLOOKUP($B293,Seqs!$A:$B,2,0),W293,1),"")</f>
        <v>A</v>
      </c>
      <c r="W293" s="9">
        <v>161</v>
      </c>
      <c r="X293" s="9" t="str">
        <f>IFERROR(MID(VLOOKUP($B293,Seqs!$A:$B,2,0),Y293,1),"")</f>
        <v>P</v>
      </c>
      <c r="Y293" s="9">
        <v>162</v>
      </c>
      <c r="Z293" s="9" t="str">
        <f>IFERROR(MID(VLOOKUP($B293,Seqs!$A:$B,2,0),AA293,1),"")</f>
        <v>M</v>
      </c>
      <c r="AA293" s="9">
        <v>169</v>
      </c>
      <c r="AB293" s="9" t="str">
        <f>IFERROR(MID(VLOOKUP($B293,Seqs!$A:$B,2,0),AC293,1),"")</f>
        <v>K</v>
      </c>
      <c r="AC293" s="9">
        <v>170</v>
      </c>
      <c r="AD293" s="9" t="str">
        <f>IFERROR(MID(VLOOKUP($B293,Seqs!$A:$B,2,0),AE293,1),"")</f>
        <v>G</v>
      </c>
      <c r="AE293" s="9">
        <v>195</v>
      </c>
      <c r="AF293" s="9" t="str">
        <f>IFERROR(MID(VLOOKUP($B293,Seqs!$A:$B,2,0),AG293,1),"")</f>
        <v>C</v>
      </c>
      <c r="AG293" s="9">
        <v>208</v>
      </c>
      <c r="AH293" s="9" t="str">
        <f>IFERROR(MID(VLOOKUP($B293,Seqs!$A:$B,2,0),AI293,1),"")</f>
        <v>I</v>
      </c>
      <c r="AI293" s="9">
        <v>210</v>
      </c>
      <c r="AJ293" s="9" t="str">
        <f>IFERROR(MID(VLOOKUP($B293,Seqs!$A:$B,2,0),AK293,1),"")</f>
        <v>W</v>
      </c>
      <c r="AK293" s="9">
        <v>225</v>
      </c>
      <c r="AL293" s="9" t="str">
        <f>IFERROR(MID(VLOOKUP($B293,Seqs!$A:$B,2,0),AM293,1),"")</f>
        <v>T</v>
      </c>
      <c r="AM293" s="9">
        <v>265</v>
      </c>
      <c r="AN293" s="9" t="str">
        <f>IFERROR(MID(VLOOKUP($B293,Seqs!$A:$B,2,0),AO293,1),"")</f>
        <v>A</v>
      </c>
      <c r="AO293" s="9">
        <v>271</v>
      </c>
      <c r="AP293" s="9" t="str">
        <f>IFERROR(MID(VLOOKUP($B293,Seqs!$A:$B,2,0),AQ293,1),"")</f>
        <v>S</v>
      </c>
      <c r="AQ293" s="9">
        <v>311</v>
      </c>
      <c r="AR293" s="9" t="str">
        <f>IFERROR(MID(VLOOKUP($B293,Seqs!$A:$B,2,0),AS293,1),"")</f>
        <v>T</v>
      </c>
      <c r="AS293" s="9">
        <v>317</v>
      </c>
      <c r="AT293" s="9" t="str">
        <f>IFERROR(MID(VLOOKUP($B293,Seqs!$A:$B,2,0),AU293,1),"")</f>
        <v>Y</v>
      </c>
      <c r="AU293" s="9">
        <v>346</v>
      </c>
      <c r="AV293" s="9" t="str">
        <f>IFERROR(MID(VLOOKUP($B293,Seqs!$A:$B,2,0),AW293,1),"")</f>
        <v>L</v>
      </c>
      <c r="AW293" s="9">
        <v>347</v>
      </c>
      <c r="AX293" s="9" t="str">
        <f>IFERROR(MID(VLOOKUP($B293,Seqs!$A:$B,2,0),AY293,1),"")</f>
        <v>S</v>
      </c>
      <c r="AY293" s="9">
        <v>369</v>
      </c>
      <c r="AZ293" s="110" t="str">
        <f>VLOOKUP(B293,Classification!A:D,2,0)</f>
        <v>A</v>
      </c>
      <c r="BA293" s="98" t="str">
        <f>VLOOKUP(B293,Classification!A:D,4,0)</f>
        <v>Prostanoid</v>
      </c>
      <c r="BB293" s="36" t="b">
        <f t="shared" ref="BB293:BB295" si="1651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109">
        <f t="shared" ref="BC293:BC295" si="1652">_xlfn.AGGREGATE(9,6,CH293:CS293)-_xlfn.AGGREGATE(9,6,BV293:CG293)+12</f>
        <v>277</v>
      </c>
      <c r="BD293" s="40" t="s">
        <v>23</v>
      </c>
      <c r="BE293" s="9" t="s">
        <v>23</v>
      </c>
      <c r="BF293" s="120" t="s">
        <v>23</v>
      </c>
      <c r="BG293" s="51" t="s">
        <v>23</v>
      </c>
      <c r="BH293" s="51" t="s">
        <v>23</v>
      </c>
      <c r="BJ293" s="111" t="s">
        <v>1288</v>
      </c>
      <c r="BK293" s="112" t="s">
        <v>1288</v>
      </c>
      <c r="BL293" s="112" t="s">
        <v>1288</v>
      </c>
      <c r="BM293" s="112" t="s">
        <v>1288</v>
      </c>
      <c r="BN293" s="112" t="s">
        <v>1288</v>
      </c>
      <c r="BO293" s="112" t="s">
        <v>1288</v>
      </c>
      <c r="BP293" s="112" t="s">
        <v>1288</v>
      </c>
      <c r="BQ293" s="112" t="s">
        <v>1288</v>
      </c>
      <c r="BR293" s="112" t="s">
        <v>1288</v>
      </c>
      <c r="BS293" s="112" t="s">
        <v>1288</v>
      </c>
      <c r="BT293" s="112" t="s">
        <v>1288</v>
      </c>
      <c r="BU293" s="112" t="s">
        <v>1288</v>
      </c>
      <c r="BV293" s="111">
        <f t="shared" ref="BV293:BV295" si="1653">E293</f>
        <v>52</v>
      </c>
      <c r="BW293" s="113" t="str">
        <f t="shared" ref="BW293:BW295" si="1654">I293</f>
        <v>-</v>
      </c>
      <c r="BX293" s="114">
        <f t="shared" ref="BX293:BX295" si="1655">M293</f>
        <v>85</v>
      </c>
      <c r="BY293" s="113">
        <f t="shared" ref="BY293:BY295" si="1656">Q293</f>
        <v>118</v>
      </c>
      <c r="BZ293" s="114">
        <f t="shared" ref="BZ293:BZ295" si="1657">U293</f>
        <v>127</v>
      </c>
      <c r="CA293" s="113">
        <f t="shared" ref="CA293:CA295" si="1658">Y293</f>
        <v>162</v>
      </c>
      <c r="CB293" s="114">
        <f t="shared" ref="CB293:CB295" si="1659">AC293</f>
        <v>170</v>
      </c>
      <c r="CC293" s="113">
        <f t="shared" ref="CC293:CC295" si="1660">AG293</f>
        <v>208</v>
      </c>
      <c r="CD293" s="114">
        <f t="shared" ref="CD293:CD295" si="1661">AK293</f>
        <v>225</v>
      </c>
      <c r="CE293" s="113">
        <f t="shared" ref="CE293:CE295" si="1662">AO293</f>
        <v>271</v>
      </c>
      <c r="CF293" s="114">
        <f t="shared" ref="CF293:CF295" si="1663">AS293</f>
        <v>317</v>
      </c>
      <c r="CG293" s="113">
        <f t="shared" ref="CG293:CG295" si="1664">AW293</f>
        <v>347</v>
      </c>
      <c r="CH293" s="111">
        <f t="shared" ref="CH293:CH295" si="1665">G293</f>
        <v>78</v>
      </c>
      <c r="CI293" s="113" t="str">
        <f t="shared" ref="CI293:CI295" si="1666">K293</f>
        <v>-</v>
      </c>
      <c r="CJ293" s="114">
        <f t="shared" ref="CJ293:CJ295" si="1667">O293</f>
        <v>117</v>
      </c>
      <c r="CK293" s="114">
        <f t="shared" ref="CK293:CK295" si="1668">S293</f>
        <v>126</v>
      </c>
      <c r="CL293" s="114">
        <f t="shared" ref="CL293:CL295" si="1669">W293</f>
        <v>161</v>
      </c>
      <c r="CM293" s="114">
        <f t="shared" ref="CM293:CM295" si="1670">AA293</f>
        <v>169</v>
      </c>
      <c r="CN293" s="114">
        <f t="shared" ref="CN293:CN295" si="1671">AE293</f>
        <v>195</v>
      </c>
      <c r="CO293" s="114">
        <f t="shared" ref="CO293:CO295" si="1672">AI293</f>
        <v>210</v>
      </c>
      <c r="CP293" s="114">
        <f t="shared" ref="CP293:CP295" si="1673">AM293</f>
        <v>265</v>
      </c>
      <c r="CQ293" s="114">
        <f t="shared" ref="CQ293:CQ295" si="1674">AQ293</f>
        <v>311</v>
      </c>
      <c r="CR293" s="114">
        <f t="shared" ref="CR293:CR295" si="1675">AU293</f>
        <v>346</v>
      </c>
      <c r="CS293" s="114">
        <f t="shared" ref="CS293:CS295" si="1676">AY293</f>
        <v>369</v>
      </c>
      <c r="CT293" s="109" t="e">
        <f t="shared" ref="CT293:CT295" si="1677">M293-K293</f>
        <v>#VALUE!</v>
      </c>
    </row>
    <row r="294" spans="1:1029" s="12" customFormat="1" x14ac:dyDescent="0.2">
      <c r="A294" s="9" t="str">
        <f t="shared" ref="A294" si="1678">CONCATENATE(B294,"_",C294)</f>
        <v>pe2r3_human_6AK3</v>
      </c>
      <c r="B294" s="9" t="s">
        <v>363</v>
      </c>
      <c r="C294" s="9" t="s">
        <v>1540</v>
      </c>
      <c r="D294" s="9" t="str">
        <f>IFERROR(MID(VLOOKUP($B294,Seqs!$A:$B,2,0),E294,1),"")</f>
        <v>V</v>
      </c>
      <c r="E294" s="9">
        <v>52</v>
      </c>
      <c r="F294" s="9" t="str">
        <f>IFERROR(MID(VLOOKUP($B294,Seqs!$A:$B,2,0),G294,1),"")</f>
        <v>Y</v>
      </c>
      <c r="G294" s="9">
        <v>77</v>
      </c>
      <c r="H294" s="9" t="str">
        <f>IFERROR(MID(VLOOKUP($B294,Seqs!$A:$B,2,0),I294,1),"")</f>
        <v/>
      </c>
      <c r="I294" s="109" t="s">
        <v>23</v>
      </c>
      <c r="J294" s="9" t="str">
        <f>IFERROR(MID(VLOOKUP($B294,Seqs!$A:$B,2,0),K294,1),"")</f>
        <v/>
      </c>
      <c r="K294" s="109" t="s">
        <v>23</v>
      </c>
      <c r="L294" s="9" t="str">
        <f>IFERROR(MID(VLOOKUP($B294,Seqs!$A:$B,2,0),M294,1),"")</f>
        <v>K</v>
      </c>
      <c r="M294" s="9">
        <v>86</v>
      </c>
      <c r="N294" s="9" t="str">
        <f>IFERROR(MID(VLOOKUP($B294,Seqs!$A:$B,2,0),O294,1),"")</f>
        <v>K</v>
      </c>
      <c r="O294" s="9">
        <v>117</v>
      </c>
      <c r="P294" s="9" t="str">
        <f>IFERROR(MID(VLOOKUP($B294,Seqs!$A:$B,2,0),Q294,1),"")</f>
        <v/>
      </c>
      <c r="Q294" s="9" t="s">
        <v>23</v>
      </c>
      <c r="R294" s="9" t="str">
        <f>IFERROR(MID(VLOOKUP($B294,Seqs!$A:$B,2,0),S294,1),"")</f>
        <v/>
      </c>
      <c r="S294" s="9" t="s">
        <v>23</v>
      </c>
      <c r="T294" s="9" t="str">
        <f>IFERROR(MID(VLOOKUP($B294,Seqs!$A:$B,2,0),U294,1),"")</f>
        <v>G</v>
      </c>
      <c r="U294" s="9">
        <v>127</v>
      </c>
      <c r="V294" s="9" t="str">
        <f>IFERROR(MID(VLOOKUP($B294,Seqs!$A:$B,2,0),W294,1),"")</f>
        <v>A</v>
      </c>
      <c r="W294" s="9">
        <v>161</v>
      </c>
      <c r="X294" s="9" t="str">
        <f>IFERROR(MID(VLOOKUP($B294,Seqs!$A:$B,2,0),Y294,1),"")</f>
        <v>P</v>
      </c>
      <c r="Y294" s="9">
        <v>162</v>
      </c>
      <c r="Z294" s="9" t="str">
        <f>IFERROR(MID(VLOOKUP($B294,Seqs!$A:$B,2,0),AA294,1),"")</f>
        <v>M</v>
      </c>
      <c r="AA294" s="9">
        <v>169</v>
      </c>
      <c r="AB294" s="9" t="str">
        <f>IFERROR(MID(VLOOKUP($B294,Seqs!$A:$B,2,0),AC294,1),"")</f>
        <v>K</v>
      </c>
      <c r="AC294" s="9">
        <v>170</v>
      </c>
      <c r="AD294" s="9" t="str">
        <f>IFERROR(MID(VLOOKUP($B294,Seqs!$A:$B,2,0),AE294,1),"")</f>
        <v>G</v>
      </c>
      <c r="AE294" s="9">
        <v>195</v>
      </c>
      <c r="AF294" s="9" t="str">
        <f>IFERROR(MID(VLOOKUP($B294,Seqs!$A:$B,2,0),AG294,1),"")</f>
        <v>C</v>
      </c>
      <c r="AG294" s="9">
        <v>208</v>
      </c>
      <c r="AH294" s="9" t="str">
        <f>IFERROR(MID(VLOOKUP($B294,Seqs!$A:$B,2,0),AI294,1),"")</f>
        <v>I</v>
      </c>
      <c r="AI294" s="9">
        <v>210</v>
      </c>
      <c r="AJ294" s="9" t="str">
        <f>IFERROR(MID(VLOOKUP($B294,Seqs!$A:$B,2,0),AK294,1),"")</f>
        <v>G</v>
      </c>
      <c r="AK294" s="9">
        <v>226</v>
      </c>
      <c r="AL294" s="9" t="str">
        <f>IFERROR(MID(VLOOKUP($B294,Seqs!$A:$B,2,0),AM294,1),"")</f>
        <v>A</v>
      </c>
      <c r="AM294" s="9">
        <v>264</v>
      </c>
      <c r="AN294" s="9" t="str">
        <f>IFERROR(MID(VLOOKUP($B294,Seqs!$A:$B,2,0),AO294,1),"")</f>
        <v>A</v>
      </c>
      <c r="AO294" s="9">
        <v>271</v>
      </c>
      <c r="AP294" s="9" t="str">
        <f>IFERROR(MID(VLOOKUP($B294,Seqs!$A:$B,2,0),AQ294,1),"")</f>
        <v>F</v>
      </c>
      <c r="AQ294" s="9">
        <v>307</v>
      </c>
      <c r="AR294" s="9" t="str">
        <f>IFERROR(MID(VLOOKUP($B294,Seqs!$A:$B,2,0),AS294,1),"")</f>
        <v>K</v>
      </c>
      <c r="AS294" s="9">
        <v>323</v>
      </c>
      <c r="AT294" s="9" t="str">
        <f>IFERROR(MID(VLOOKUP($B294,Seqs!$A:$B,2,0),AU294,1),"")</f>
        <v>Y</v>
      </c>
      <c r="AU294" s="9">
        <v>346</v>
      </c>
      <c r="AV294" s="9" t="str">
        <f>IFERROR(MID(VLOOKUP($B294,Seqs!$A:$B,2,0),AW294,1),"")</f>
        <v>L</v>
      </c>
      <c r="AW294" s="9">
        <v>347</v>
      </c>
      <c r="AX294" s="9" t="str">
        <f>IFERROR(MID(VLOOKUP($B294,Seqs!$A:$B,2,0),AY294,1),"")</f>
        <v>L</v>
      </c>
      <c r="AY294" s="9">
        <v>353</v>
      </c>
      <c r="AZ294" s="110" t="str">
        <f>VLOOKUP(B294,Classification!A:D,2,0)</f>
        <v>A</v>
      </c>
      <c r="BA294" s="98" t="str">
        <f>VLOOKUP(B294,Classification!A:D,4,0)</f>
        <v>Prostanoid</v>
      </c>
      <c r="BB294" s="36" t="b">
        <f t="shared" ref="BB294" si="1679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109">
        <f t="shared" ref="BC294" si="1680">_xlfn.AGGREGATE(9,6,CH294:CS294)-_xlfn.AGGREGATE(9,6,BV294:CG294)+12</f>
        <v>239</v>
      </c>
      <c r="BD294" s="40" t="s">
        <v>1376</v>
      </c>
      <c r="BE294" s="9" t="s">
        <v>1292</v>
      </c>
      <c r="BF294" s="120">
        <v>2.9</v>
      </c>
      <c r="BG294" s="51" t="s">
        <v>1282</v>
      </c>
      <c r="BH294" s="51" t="s">
        <v>1282</v>
      </c>
      <c r="BJ294" s="111" t="s">
        <v>1288</v>
      </c>
      <c r="BK294" s="112" t="s">
        <v>1288</v>
      </c>
      <c r="BL294" s="112" t="s">
        <v>1288</v>
      </c>
      <c r="BM294" s="112" t="s">
        <v>1288</v>
      </c>
      <c r="BN294" s="112" t="s">
        <v>1288</v>
      </c>
      <c r="BO294" s="112" t="s">
        <v>1288</v>
      </c>
      <c r="BP294" s="112" t="s">
        <v>1288</v>
      </c>
      <c r="BQ294" s="112" t="s">
        <v>1288</v>
      </c>
      <c r="BR294" s="112" t="s">
        <v>1288</v>
      </c>
      <c r="BS294" s="112" t="s">
        <v>1288</v>
      </c>
      <c r="BT294" s="112" t="s">
        <v>1288</v>
      </c>
      <c r="BU294" s="112" t="s">
        <v>1288</v>
      </c>
      <c r="BV294" s="111">
        <f t="shared" ref="BV294" si="1681">E294</f>
        <v>52</v>
      </c>
      <c r="BW294" s="113" t="str">
        <f t="shared" ref="BW294" si="1682">I294</f>
        <v>-</v>
      </c>
      <c r="BX294" s="114">
        <f t="shared" ref="BX294" si="1683">M294</f>
        <v>86</v>
      </c>
      <c r="BY294" s="113" t="str">
        <f t="shared" ref="BY294" si="1684">Q294</f>
        <v>-</v>
      </c>
      <c r="BZ294" s="114">
        <f t="shared" ref="BZ294" si="1685">U294</f>
        <v>127</v>
      </c>
      <c r="CA294" s="113">
        <f t="shared" ref="CA294" si="1686">Y294</f>
        <v>162</v>
      </c>
      <c r="CB294" s="114">
        <f t="shared" ref="CB294" si="1687">AC294</f>
        <v>170</v>
      </c>
      <c r="CC294" s="113">
        <f t="shared" ref="CC294" si="1688">AG294</f>
        <v>208</v>
      </c>
      <c r="CD294" s="114">
        <f t="shared" ref="CD294" si="1689">AK294</f>
        <v>226</v>
      </c>
      <c r="CE294" s="113">
        <f t="shared" ref="CE294" si="1690">AO294</f>
        <v>271</v>
      </c>
      <c r="CF294" s="114">
        <f t="shared" ref="CF294" si="1691">AS294</f>
        <v>323</v>
      </c>
      <c r="CG294" s="113">
        <f t="shared" ref="CG294" si="1692">AW294</f>
        <v>347</v>
      </c>
      <c r="CH294" s="111">
        <f t="shared" ref="CH294" si="1693">G294</f>
        <v>77</v>
      </c>
      <c r="CI294" s="113" t="str">
        <f t="shared" ref="CI294" si="1694">K294</f>
        <v>-</v>
      </c>
      <c r="CJ294" s="114">
        <f t="shared" ref="CJ294" si="1695">O294</f>
        <v>117</v>
      </c>
      <c r="CK294" s="114" t="str">
        <f t="shared" ref="CK294" si="1696">S294</f>
        <v>-</v>
      </c>
      <c r="CL294" s="114">
        <f t="shared" ref="CL294" si="1697">W294</f>
        <v>161</v>
      </c>
      <c r="CM294" s="114">
        <f t="shared" ref="CM294" si="1698">AA294</f>
        <v>169</v>
      </c>
      <c r="CN294" s="114">
        <f t="shared" ref="CN294" si="1699">AE294</f>
        <v>195</v>
      </c>
      <c r="CO294" s="114">
        <f t="shared" ref="CO294" si="1700">AI294</f>
        <v>210</v>
      </c>
      <c r="CP294" s="114">
        <f t="shared" ref="CP294" si="1701">AM294</f>
        <v>264</v>
      </c>
      <c r="CQ294" s="114">
        <f t="shared" ref="CQ294" si="1702">AQ294</f>
        <v>307</v>
      </c>
      <c r="CR294" s="114">
        <f t="shared" ref="CR294" si="1703">AU294</f>
        <v>346</v>
      </c>
      <c r="CS294" s="114">
        <f t="shared" ref="CS294" si="1704">AY294</f>
        <v>353</v>
      </c>
      <c r="CT294" s="109" t="e">
        <f t="shared" ref="CT294" si="1705">M294-K294</f>
        <v>#VALUE!</v>
      </c>
    </row>
    <row r="295" spans="1:1029" s="12" customFormat="1" x14ac:dyDescent="0.2">
      <c r="A295" s="9" t="str">
        <f t="shared" si="1650"/>
        <v>pe2r3_human_6M9T</v>
      </c>
      <c r="B295" s="9" t="s">
        <v>363</v>
      </c>
      <c r="C295" s="9" t="s">
        <v>1539</v>
      </c>
      <c r="D295" s="9" t="str">
        <f>IFERROR(MID(VLOOKUP($B295,Seqs!$A:$B,2,0),E295,1),"")</f>
        <v>V</v>
      </c>
      <c r="E295" s="9">
        <v>52</v>
      </c>
      <c r="F295" s="9" t="str">
        <f>IFERROR(MID(VLOOKUP($B295,Seqs!$A:$B,2,0),G295,1),"")</f>
        <v>R</v>
      </c>
      <c r="G295" s="9">
        <v>78</v>
      </c>
      <c r="H295" s="9" t="str">
        <f>IFERROR(MID(VLOOKUP($B295,Seqs!$A:$B,2,0),I295,1),"")</f>
        <v/>
      </c>
      <c r="I295" s="109" t="s">
        <v>23</v>
      </c>
      <c r="J295" s="9" t="str">
        <f>IFERROR(MID(VLOOKUP($B295,Seqs!$A:$B,2,0),K295,1),"")</f>
        <v/>
      </c>
      <c r="K295" s="109" t="s">
        <v>23</v>
      </c>
      <c r="L295" s="9" t="str">
        <f>IFERROR(MID(VLOOKUP($B295,Seqs!$A:$B,2,0),M295,1),"")</f>
        <v>K</v>
      </c>
      <c r="M295" s="9">
        <v>85</v>
      </c>
      <c r="N295" s="9" t="str">
        <f>IFERROR(MID(VLOOKUP($B295,Seqs!$A:$B,2,0),O295,1),"")</f>
        <v>K</v>
      </c>
      <c r="O295" s="9">
        <v>117</v>
      </c>
      <c r="P295" s="9" t="str">
        <f>IFERROR(MID(VLOOKUP($B295,Seqs!$A:$B,2,0),Q295,1),"")</f>
        <v>Q</v>
      </c>
      <c r="Q295" s="9">
        <v>118</v>
      </c>
      <c r="R295" s="9" t="str">
        <f>IFERROR(MID(VLOOKUP($B295,Seqs!$A:$B,2,0),S295,1),"")</f>
        <v>S</v>
      </c>
      <c r="S295" s="9">
        <v>126</v>
      </c>
      <c r="T295" s="9" t="str">
        <f>IFERROR(MID(VLOOKUP($B295,Seqs!$A:$B,2,0),U295,1),"")</f>
        <v>G</v>
      </c>
      <c r="U295" s="9">
        <v>127</v>
      </c>
      <c r="V295" s="9" t="str">
        <f>IFERROR(MID(VLOOKUP($B295,Seqs!$A:$B,2,0),W295,1),"")</f>
        <v>A</v>
      </c>
      <c r="W295" s="9">
        <v>161</v>
      </c>
      <c r="X295" s="9" t="str">
        <f>IFERROR(MID(VLOOKUP($B295,Seqs!$A:$B,2,0),Y295,1),"")</f>
        <v>P</v>
      </c>
      <c r="Y295" s="9">
        <v>162</v>
      </c>
      <c r="Z295" s="9" t="str">
        <f>IFERROR(MID(VLOOKUP($B295,Seqs!$A:$B,2,0),AA295,1),"")</f>
        <v>M</v>
      </c>
      <c r="AA295" s="9">
        <v>169</v>
      </c>
      <c r="AB295" s="9" t="str">
        <f>IFERROR(MID(VLOOKUP($B295,Seqs!$A:$B,2,0),AC295,1),"")</f>
        <v>K</v>
      </c>
      <c r="AC295" s="9">
        <v>170</v>
      </c>
      <c r="AD295" s="9" t="str">
        <f>IFERROR(MID(VLOOKUP($B295,Seqs!$A:$B,2,0),AE295,1),"")</f>
        <v>G</v>
      </c>
      <c r="AE295" s="9">
        <v>195</v>
      </c>
      <c r="AF295" s="9" t="str">
        <f>IFERROR(MID(VLOOKUP($B295,Seqs!$A:$B,2,0),AG295,1),"")</f>
        <v>C</v>
      </c>
      <c r="AG295" s="9">
        <v>208</v>
      </c>
      <c r="AH295" s="9" t="str">
        <f>IFERROR(MID(VLOOKUP($B295,Seqs!$A:$B,2,0),AI295,1),"")</f>
        <v>I</v>
      </c>
      <c r="AI295" s="9">
        <v>210</v>
      </c>
      <c r="AJ295" s="9" t="str">
        <f>IFERROR(MID(VLOOKUP($B295,Seqs!$A:$B,2,0),AK295,1),"")</f>
        <v>W</v>
      </c>
      <c r="AK295" s="9">
        <v>225</v>
      </c>
      <c r="AL295" s="9" t="str">
        <f>IFERROR(MID(VLOOKUP($B295,Seqs!$A:$B,2,0),AM295,1),"")</f>
        <v>S</v>
      </c>
      <c r="AM295" s="9">
        <v>258</v>
      </c>
      <c r="AN295" s="9" t="str">
        <f>IFERROR(MID(VLOOKUP($B295,Seqs!$A:$B,2,0),AO295,1),"")</f>
        <v>R</v>
      </c>
      <c r="AO295" s="9">
        <v>275</v>
      </c>
      <c r="AP295" s="9" t="str">
        <f>IFERROR(MID(VLOOKUP($B295,Seqs!$A:$B,2,0),AQ295,1),"")</f>
        <v>F</v>
      </c>
      <c r="AQ295" s="9">
        <v>307</v>
      </c>
      <c r="AR295" s="9" t="str">
        <f>IFERROR(MID(VLOOKUP($B295,Seqs!$A:$B,2,0),AS295,1),"")</f>
        <v>K</v>
      </c>
      <c r="AS295" s="9">
        <v>323</v>
      </c>
      <c r="AT295" s="9" t="str">
        <f>IFERROR(MID(VLOOKUP($B295,Seqs!$A:$B,2,0),AU295,1),"")</f>
        <v>Y</v>
      </c>
      <c r="AU295" s="9">
        <v>346</v>
      </c>
      <c r="AV295" s="9" t="str">
        <f>IFERROR(MID(VLOOKUP($B295,Seqs!$A:$B,2,0),AW295,1),"")</f>
        <v>L</v>
      </c>
      <c r="AW295" s="9">
        <v>347</v>
      </c>
      <c r="AX295" s="9" t="str">
        <f>IFERROR(MID(VLOOKUP($B295,Seqs!$A:$B,2,0),AY295,1),"")</f>
        <v>L</v>
      </c>
      <c r="AY295" s="9">
        <v>353</v>
      </c>
      <c r="AZ295" s="110" t="str">
        <f>VLOOKUP(B295,Classification!A:D,2,0)</f>
        <v>A</v>
      </c>
      <c r="BA295" s="98" t="str">
        <f>VLOOKUP(B295,Classification!A:D,4,0)</f>
        <v>Prostanoid</v>
      </c>
      <c r="BB295" s="36" t="b">
        <f t="shared" si="1651"/>
        <v>1</v>
      </c>
      <c r="BC295" s="109">
        <f t="shared" si="1652"/>
        <v>240</v>
      </c>
      <c r="BD295" s="40" t="s">
        <v>1430</v>
      </c>
      <c r="BE295" s="9" t="s">
        <v>1472</v>
      </c>
      <c r="BF295" s="120">
        <v>2.5</v>
      </c>
      <c r="BG295" s="51" t="s">
        <v>1</v>
      </c>
      <c r="BH295" s="51" t="s">
        <v>1</v>
      </c>
      <c r="BJ295" s="111" t="s">
        <v>1288</v>
      </c>
      <c r="BK295" s="112" t="s">
        <v>1288</v>
      </c>
      <c r="BL295" s="112" t="s">
        <v>1288</v>
      </c>
      <c r="BM295" s="112" t="s">
        <v>1288</v>
      </c>
      <c r="BN295" s="112" t="s">
        <v>1288</v>
      </c>
      <c r="BO295" s="112" t="s">
        <v>1288</v>
      </c>
      <c r="BP295" s="112" t="s">
        <v>1288</v>
      </c>
      <c r="BQ295" s="112" t="s">
        <v>1288</v>
      </c>
      <c r="BR295" s="112" t="s">
        <v>1288</v>
      </c>
      <c r="BS295" s="112" t="s">
        <v>1288</v>
      </c>
      <c r="BT295" s="112" t="s">
        <v>1288</v>
      </c>
      <c r="BU295" s="112" t="s">
        <v>1288</v>
      </c>
      <c r="BV295" s="111">
        <f t="shared" si="1653"/>
        <v>52</v>
      </c>
      <c r="BW295" s="113" t="str">
        <f t="shared" si="1654"/>
        <v>-</v>
      </c>
      <c r="BX295" s="114">
        <f t="shared" si="1655"/>
        <v>85</v>
      </c>
      <c r="BY295" s="113">
        <f t="shared" si="1656"/>
        <v>118</v>
      </c>
      <c r="BZ295" s="114">
        <f t="shared" si="1657"/>
        <v>127</v>
      </c>
      <c r="CA295" s="113">
        <f t="shared" si="1658"/>
        <v>162</v>
      </c>
      <c r="CB295" s="114">
        <f t="shared" si="1659"/>
        <v>170</v>
      </c>
      <c r="CC295" s="113">
        <f t="shared" si="1660"/>
        <v>208</v>
      </c>
      <c r="CD295" s="114">
        <f t="shared" si="1661"/>
        <v>225</v>
      </c>
      <c r="CE295" s="113">
        <f t="shared" si="1662"/>
        <v>275</v>
      </c>
      <c r="CF295" s="114">
        <f t="shared" si="1663"/>
        <v>323</v>
      </c>
      <c r="CG295" s="113">
        <f t="shared" si="1664"/>
        <v>347</v>
      </c>
      <c r="CH295" s="111">
        <f t="shared" si="1665"/>
        <v>78</v>
      </c>
      <c r="CI295" s="113" t="str">
        <f t="shared" si="1666"/>
        <v>-</v>
      </c>
      <c r="CJ295" s="114">
        <f t="shared" si="1667"/>
        <v>117</v>
      </c>
      <c r="CK295" s="114">
        <f t="shared" si="1668"/>
        <v>126</v>
      </c>
      <c r="CL295" s="114">
        <f t="shared" si="1669"/>
        <v>161</v>
      </c>
      <c r="CM295" s="114">
        <f t="shared" si="1670"/>
        <v>169</v>
      </c>
      <c r="CN295" s="114">
        <f t="shared" si="1671"/>
        <v>195</v>
      </c>
      <c r="CO295" s="114">
        <f t="shared" si="1672"/>
        <v>210</v>
      </c>
      <c r="CP295" s="114">
        <f t="shared" si="1673"/>
        <v>258</v>
      </c>
      <c r="CQ295" s="114">
        <f t="shared" si="1674"/>
        <v>307</v>
      </c>
      <c r="CR295" s="114">
        <f t="shared" si="1675"/>
        <v>346</v>
      </c>
      <c r="CS295" s="114">
        <f t="shared" si="1676"/>
        <v>353</v>
      </c>
      <c r="CT295" s="109" t="e">
        <f t="shared" si="1677"/>
        <v>#VALUE!</v>
      </c>
    </row>
    <row r="296" spans="1:1029" x14ac:dyDescent="0.2">
      <c r="A296" s="9" t="str">
        <f t="shared" ref="A296" si="1706">CONCATENATE(B296,"_",C296)</f>
        <v>pe2r4_human__wt</v>
      </c>
      <c r="B296" s="9" t="s">
        <v>364</v>
      </c>
      <c r="C296" s="9" t="s">
        <v>100</v>
      </c>
      <c r="D296" s="9" t="str">
        <f>IFERROR(MID(VLOOKUP($B296,Seqs!$A:$B,2,0),E296,1),"")</f>
        <v>N</v>
      </c>
      <c r="E296" s="9">
        <v>18</v>
      </c>
      <c r="F296" s="9" t="str">
        <f>IFERROR(MID(VLOOKUP($B296,Seqs!$A:$B,2,0),G296,1),"")</f>
        <v>C</v>
      </c>
      <c r="G296" s="9">
        <v>43</v>
      </c>
      <c r="H296" s="9" t="str">
        <f>IFERROR(MID(VLOOKUP($B296,Seqs!$A:$B,2,0),I296,1),"")</f>
        <v/>
      </c>
      <c r="I296" s="109" t="s">
        <v>23</v>
      </c>
      <c r="J296" s="9" t="str">
        <f>IFERROR(MID(VLOOKUP($B296,Seqs!$A:$B,2,0),K296,1),"")</f>
        <v/>
      </c>
      <c r="K296" s="109" t="s">
        <v>23</v>
      </c>
      <c r="L296" s="9" t="str">
        <f>IFERROR(MID(VLOOKUP($B296,Seqs!$A:$B,2,0),M296,1),"")</f>
        <v>E</v>
      </c>
      <c r="M296" s="9">
        <v>51</v>
      </c>
      <c r="N296" s="9" t="str">
        <f>IFERROR(MID(VLOOKUP($B296,Seqs!$A:$B,2,0),O296,1),"")</f>
        <v>K</v>
      </c>
      <c r="O296" s="9">
        <v>82</v>
      </c>
      <c r="P296" s="9" t="str">
        <f>IFERROR(MID(VLOOKUP($B296,Seqs!$A:$B,2,0),Q296,1),"")</f>
        <v>Q</v>
      </c>
      <c r="Q296" s="9">
        <v>84</v>
      </c>
      <c r="R296" s="9" t="str">
        <f>IFERROR(MID(VLOOKUP($B296,Seqs!$A:$B,2,0),S296,1),"")</f>
        <v>G</v>
      </c>
      <c r="S296" s="9">
        <v>87</v>
      </c>
      <c r="T296" s="9" t="str">
        <f>IFERROR(MID(VLOOKUP($B296,Seqs!$A:$B,2,0),U296,1),"")</f>
        <v>G</v>
      </c>
      <c r="U296" s="9">
        <v>88</v>
      </c>
      <c r="V296" s="9" t="str">
        <f>IFERROR(MID(VLOOKUP($B296,Seqs!$A:$B,2,0),W296,1),"")</f>
        <v>H</v>
      </c>
      <c r="W296" s="9">
        <v>123</v>
      </c>
      <c r="X296" s="9" t="str">
        <f>IFERROR(MID(VLOOKUP($B296,Seqs!$A:$B,2,0),Y296,1),"")</f>
        <v>A</v>
      </c>
      <c r="Y296" s="9">
        <v>124</v>
      </c>
      <c r="Z296" s="9" t="str">
        <f>IFERROR(MID(VLOOKUP($B296,Seqs!$A:$B,2,0),AA296,1),"")</f>
        <v>V</v>
      </c>
      <c r="AA296" s="9">
        <v>131</v>
      </c>
      <c r="AB296" s="9" t="str">
        <f>IFERROR(MID(VLOOKUP($B296,Seqs!$A:$B,2,0),AC296,1),"")</f>
        <v>D</v>
      </c>
      <c r="AC296" s="9">
        <v>132</v>
      </c>
      <c r="AD296" s="9" t="str">
        <f>IFERROR(MID(VLOOKUP($B296,Seqs!$A:$B,2,0),AE296,1),"")</f>
        <v>G</v>
      </c>
      <c r="AE296" s="9">
        <v>157</v>
      </c>
      <c r="AF296" s="9" t="str">
        <f>IFERROR(MID(VLOOKUP($B296,Seqs!$A:$B,2,0),AG296,1),"")</f>
        <v>C</v>
      </c>
      <c r="AG296" s="9">
        <v>170</v>
      </c>
      <c r="AH296" s="9" t="str">
        <f>IFERROR(MID(VLOOKUP($B296,Seqs!$A:$B,2,0),AI296,1),"")</f>
        <v>I</v>
      </c>
      <c r="AI296" s="9">
        <v>172</v>
      </c>
      <c r="AJ296" s="9" t="str">
        <f>IFERROR(MID(VLOOKUP($B296,Seqs!$A:$B,2,0),AK296,1),"")</f>
        <v>V</v>
      </c>
      <c r="AK296" s="9">
        <v>178</v>
      </c>
      <c r="AL296" s="9" t="str">
        <f>IFERROR(MID(VLOOKUP($B296,Seqs!$A:$B,2,0),AM296,1),"")</f>
        <v>L</v>
      </c>
      <c r="AM296" s="9">
        <v>223</v>
      </c>
      <c r="AN296" s="9" t="str">
        <f>IFERROR(MID(VLOOKUP($B296,Seqs!$A:$B,2,0),AO296,1),"")</f>
        <v>R</v>
      </c>
      <c r="AO296" s="9">
        <v>261</v>
      </c>
      <c r="AP296" s="9" t="str">
        <f>IFERROR(MID(VLOOKUP($B296,Seqs!$A:$B,2,0),AQ296,1),"")</f>
        <v>Y</v>
      </c>
      <c r="AQ296" s="9">
        <v>298</v>
      </c>
      <c r="AR296" s="9" t="str">
        <f>IFERROR(MID(VLOOKUP($B296,Seqs!$A:$B,2,0),AS296,1),"")</f>
        <v>N</v>
      </c>
      <c r="AS296" s="9">
        <v>309</v>
      </c>
      <c r="AT296" s="9" t="str">
        <f>IFERROR(MID(VLOOKUP($B296,Seqs!$A:$B,2,0),AU296,1),"")</f>
        <v>L</v>
      </c>
      <c r="AU296" s="9">
        <v>332</v>
      </c>
      <c r="AV296" s="9" t="str">
        <f>IFERROR(MID(VLOOKUP($B296,Seqs!$A:$B,2,0),AW296,1),"")</f>
        <v>R</v>
      </c>
      <c r="AW296" s="9">
        <v>333</v>
      </c>
      <c r="AX296" s="9" t="str">
        <f>IFERROR(MID(VLOOKUP($B296,Seqs!$A:$B,2,0),AY296,1),"")</f>
        <v>C</v>
      </c>
      <c r="AY296" s="9">
        <v>346</v>
      </c>
      <c r="AZ296" s="110" t="str">
        <f>VLOOKUP(B296,Classification!A:D,2,0)</f>
        <v>A</v>
      </c>
      <c r="BA296" s="98" t="str">
        <f>VLOOKUP(B296,Classification!A:D,4,0)</f>
        <v>Prostanoid</v>
      </c>
      <c r="BB296" s="36" t="b">
        <f t="shared" ref="BB296" si="1707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109">
        <f t="shared" ref="BC296" si="1708">_xlfn.AGGREGATE(9,6,CH296:CS296)-_xlfn.AGGREGATE(9,6,BV296:CG296)+12</f>
        <v>258</v>
      </c>
      <c r="BD296" s="40" t="s">
        <v>23</v>
      </c>
      <c r="BE296" s="9" t="s">
        <v>23</v>
      </c>
      <c r="BF296" s="120" t="s">
        <v>23</v>
      </c>
      <c r="BG296" s="51" t="s">
        <v>23</v>
      </c>
      <c r="BH296" s="51" t="s">
        <v>23</v>
      </c>
      <c r="BI296" s="12"/>
      <c r="BJ296" s="111" t="s">
        <v>1288</v>
      </c>
      <c r="BK296" s="112" t="s">
        <v>1288</v>
      </c>
      <c r="BL296" s="112" t="s">
        <v>1288</v>
      </c>
      <c r="BM296" s="112" t="s">
        <v>1288</v>
      </c>
      <c r="BN296" s="112" t="s">
        <v>1288</v>
      </c>
      <c r="BO296" s="112" t="s">
        <v>1288</v>
      </c>
      <c r="BP296" s="112" t="s">
        <v>1288</v>
      </c>
      <c r="BQ296" s="112" t="s">
        <v>1288</v>
      </c>
      <c r="BR296" s="112" t="s">
        <v>1288</v>
      </c>
      <c r="BS296" s="112" t="s">
        <v>1288</v>
      </c>
      <c r="BT296" s="112" t="s">
        <v>1288</v>
      </c>
      <c r="BU296" s="112" t="s">
        <v>1288</v>
      </c>
      <c r="BV296" s="111">
        <f t="shared" ref="BV296" si="1709">E296</f>
        <v>18</v>
      </c>
      <c r="BW296" s="113" t="str">
        <f t="shared" ref="BW296" si="1710">I296</f>
        <v>-</v>
      </c>
      <c r="BX296" s="114">
        <f t="shared" ref="BX296" si="1711">M296</f>
        <v>51</v>
      </c>
      <c r="BY296" s="113">
        <f t="shared" ref="BY296" si="1712">Q296</f>
        <v>84</v>
      </c>
      <c r="BZ296" s="114">
        <f t="shared" ref="BZ296" si="1713">U296</f>
        <v>88</v>
      </c>
      <c r="CA296" s="113">
        <f t="shared" ref="CA296" si="1714">Y296</f>
        <v>124</v>
      </c>
      <c r="CB296" s="114">
        <f t="shared" ref="CB296" si="1715">AC296</f>
        <v>132</v>
      </c>
      <c r="CC296" s="113">
        <f t="shared" ref="CC296" si="1716">AG296</f>
        <v>170</v>
      </c>
      <c r="CD296" s="114">
        <f t="shared" ref="CD296" si="1717">AK296</f>
        <v>178</v>
      </c>
      <c r="CE296" s="113">
        <f t="shared" ref="CE296" si="1718">AO296</f>
        <v>261</v>
      </c>
      <c r="CF296" s="114">
        <f t="shared" ref="CF296" si="1719">AS296</f>
        <v>309</v>
      </c>
      <c r="CG296" s="113">
        <f t="shared" ref="CG296" si="1720">AW296</f>
        <v>333</v>
      </c>
      <c r="CH296" s="111">
        <f t="shared" ref="CH296" si="1721">G296</f>
        <v>43</v>
      </c>
      <c r="CI296" s="113" t="str">
        <f t="shared" ref="CI296" si="1722">K296</f>
        <v>-</v>
      </c>
      <c r="CJ296" s="114">
        <f t="shared" ref="CJ296" si="1723">O296</f>
        <v>82</v>
      </c>
      <c r="CK296" s="114">
        <f t="shared" ref="CK296" si="1724">S296</f>
        <v>87</v>
      </c>
      <c r="CL296" s="114">
        <f t="shared" ref="CL296" si="1725">W296</f>
        <v>123</v>
      </c>
      <c r="CM296" s="114">
        <f t="shared" ref="CM296" si="1726">AA296</f>
        <v>131</v>
      </c>
      <c r="CN296" s="114">
        <f t="shared" ref="CN296" si="1727">AE296</f>
        <v>157</v>
      </c>
      <c r="CO296" s="114">
        <f t="shared" ref="CO296" si="1728">AI296</f>
        <v>172</v>
      </c>
      <c r="CP296" s="114">
        <f t="shared" ref="CP296" si="1729">AM296</f>
        <v>223</v>
      </c>
      <c r="CQ296" s="114">
        <f t="shared" ref="CQ296" si="1730">AQ296</f>
        <v>298</v>
      </c>
      <c r="CR296" s="114">
        <f t="shared" ref="CR296" si="1731">AU296</f>
        <v>332</v>
      </c>
      <c r="CS296" s="114">
        <f t="shared" ref="CS296" si="1732">AY296</f>
        <v>346</v>
      </c>
      <c r="CT296" s="109" t="e">
        <f t="shared" ref="CT296" si="1733">M296-K296</f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9" t="str">
        <f>CONCATENATE(B297,"_",C297)</f>
        <v>pe2r4_human_5YWY</v>
      </c>
      <c r="B297" s="9" t="s">
        <v>364</v>
      </c>
      <c r="C297" s="9" t="s">
        <v>1537</v>
      </c>
      <c r="D297" s="9" t="str">
        <f>IFERROR(MID(VLOOKUP($B297,Seqs!$A:$B,2,0),E297,1),"")</f>
        <v>N</v>
      </c>
      <c r="E297" s="9">
        <v>18</v>
      </c>
      <c r="F297" s="9" t="str">
        <f>IFERROR(MID(VLOOKUP($B297,Seqs!$A:$B,2,0),G297,1),"")</f>
        <v>C</v>
      </c>
      <c r="G297" s="9">
        <v>43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E</v>
      </c>
      <c r="M297" s="9">
        <v>51</v>
      </c>
      <c r="N297" s="9" t="str">
        <f>IFERROR(MID(VLOOKUP($B297,Seqs!$A:$B,2,0),O297,1),"")</f>
        <v>K</v>
      </c>
      <c r="O297" s="9">
        <v>82</v>
      </c>
      <c r="P297" s="9" t="str">
        <f>IFERROR(MID(VLOOKUP($B297,Seqs!$A:$B,2,0),Q297,1),"")</f>
        <v>Q</v>
      </c>
      <c r="Q297" s="9">
        <v>84</v>
      </c>
      <c r="R297" s="9" t="str">
        <f>IFERROR(MID(VLOOKUP($B297,Seqs!$A:$B,2,0),S297,1),"")</f>
        <v>G</v>
      </c>
      <c r="S297" s="9">
        <v>87</v>
      </c>
      <c r="T297" s="9" t="str">
        <f>IFERROR(MID(VLOOKUP($B297,Seqs!$A:$B,2,0),U297,1),"")</f>
        <v>G</v>
      </c>
      <c r="U297" s="9">
        <v>88</v>
      </c>
      <c r="V297" s="9" t="str">
        <f>IFERROR(MID(VLOOKUP($B297,Seqs!$A:$B,2,0),W297,1),"")</f>
        <v>H</v>
      </c>
      <c r="W297" s="9">
        <v>123</v>
      </c>
      <c r="X297" s="9" t="str">
        <f>IFERROR(MID(VLOOKUP($B297,Seqs!$A:$B,2,0),Y297,1),"")</f>
        <v>A</v>
      </c>
      <c r="Y297" s="9">
        <v>124</v>
      </c>
      <c r="Z297" s="9" t="str">
        <f>IFERROR(MID(VLOOKUP($B297,Seqs!$A:$B,2,0),AA297,1),"")</f>
        <v>V</v>
      </c>
      <c r="AA297" s="9">
        <v>131</v>
      </c>
      <c r="AB297" s="9" t="str">
        <f>IFERROR(MID(VLOOKUP($B297,Seqs!$A:$B,2,0),AC297,1),"")</f>
        <v>D</v>
      </c>
      <c r="AC297" s="9">
        <v>132</v>
      </c>
      <c r="AD297" s="9" t="str">
        <f>IFERROR(MID(VLOOKUP($B297,Seqs!$A:$B,2,0),AE297,1),"")</f>
        <v>G</v>
      </c>
      <c r="AE297" s="9">
        <v>157</v>
      </c>
      <c r="AF297" s="9" t="str">
        <f>IFERROR(MID(VLOOKUP($B297,Seqs!$A:$B,2,0),AG297,1),"")</f>
        <v>C</v>
      </c>
      <c r="AG297" s="9">
        <v>170</v>
      </c>
      <c r="AH297" s="9" t="str">
        <f>IFERROR(MID(VLOOKUP($B297,Seqs!$A:$B,2,0),AI297,1),"")</f>
        <v>I</v>
      </c>
      <c r="AI297" s="9">
        <v>172</v>
      </c>
      <c r="AJ297" s="9" t="str">
        <f>IFERROR(MID(VLOOKUP($B297,Seqs!$A:$B,2,0),AK297,1),"")</f>
        <v>V</v>
      </c>
      <c r="AK297" s="9">
        <v>178</v>
      </c>
      <c r="AL297" s="9" t="str">
        <f>IFERROR(MID(VLOOKUP($B297,Seqs!$A:$B,2,0),AM297,1),"")</f>
        <v>H</v>
      </c>
      <c r="AM297" s="9">
        <v>214</v>
      </c>
      <c r="AN297" s="9" t="str">
        <f>IFERROR(MID(VLOOKUP($B297,Seqs!$A:$B,2,0),AO297,1),"")</f>
        <v>A</v>
      </c>
      <c r="AO297" s="9">
        <v>266</v>
      </c>
      <c r="AP297" s="9" t="str">
        <f>IFERROR(MID(VLOOKUP($B297,Seqs!$A:$B,2,0),AQ297,1),"")</f>
        <v>Y</v>
      </c>
      <c r="AQ297" s="9">
        <v>298</v>
      </c>
      <c r="AR297" s="9" t="str">
        <f>IFERROR(MID(VLOOKUP($B297,Seqs!$A:$B,2,0),AS297,1),"")</f>
        <v>N</v>
      </c>
      <c r="AS297" s="9">
        <v>309</v>
      </c>
      <c r="AT297" s="9" t="str">
        <f>IFERROR(MID(VLOOKUP($B297,Seqs!$A:$B,2,0),AU297,1),"")</f>
        <v>L</v>
      </c>
      <c r="AU297" s="9">
        <v>332</v>
      </c>
      <c r="AV297" s="9" t="str">
        <f>IFERROR(MID(VLOOKUP($B297,Seqs!$A:$B,2,0),AW297,1),"")</f>
        <v>R</v>
      </c>
      <c r="AW297" s="9">
        <v>333</v>
      </c>
      <c r="AX297" s="9" t="str">
        <f>IFERROR(MID(VLOOKUP($B297,Seqs!$A:$B,2,0),AY297,1),"")</f>
        <v>I</v>
      </c>
      <c r="AY297" s="9">
        <v>344</v>
      </c>
      <c r="AZ297" s="110" t="str">
        <f>VLOOKUP(B297,Classification!A:D,2,0)</f>
        <v>A</v>
      </c>
      <c r="BA297" s="98" t="str">
        <f>VLOOKUP(B297,Classification!A:D,4,0)</f>
        <v>Prostanoid</v>
      </c>
      <c r="BB297" s="36" t="b">
        <f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>_xlfn.AGGREGATE(9,6,CH297:CS297)-_xlfn.AGGREGATE(9,6,BV297:CG297)+12</f>
        <v>242</v>
      </c>
      <c r="BD297" s="40" t="s">
        <v>1377</v>
      </c>
      <c r="BE297" s="9" t="s">
        <v>1375</v>
      </c>
      <c r="BF297" s="120">
        <v>3.2</v>
      </c>
      <c r="BG297" s="51" t="s">
        <v>1</v>
      </c>
      <c r="BH297" s="51" t="s">
        <v>1</v>
      </c>
      <c r="BI297" s="12"/>
      <c r="BJ297" s="111" t="s">
        <v>1288</v>
      </c>
      <c r="BK297" s="112" t="s">
        <v>1288</v>
      </c>
      <c r="BL297" s="112" t="s">
        <v>1288</v>
      </c>
      <c r="BM297" s="112" t="s">
        <v>1288</v>
      </c>
      <c r="BN297" s="112" t="s">
        <v>1288</v>
      </c>
      <c r="BO297" s="112" t="s">
        <v>1288</v>
      </c>
      <c r="BP297" s="112" t="s">
        <v>1288</v>
      </c>
      <c r="BQ297" s="112" t="s">
        <v>1288</v>
      </c>
      <c r="BR297" s="112" t="s">
        <v>1288</v>
      </c>
      <c r="BS297" s="112" t="s">
        <v>1288</v>
      </c>
      <c r="BT297" s="112" t="s">
        <v>1288</v>
      </c>
      <c r="BU297" s="112" t="s">
        <v>1288</v>
      </c>
      <c r="BV297" s="111">
        <f>E297</f>
        <v>18</v>
      </c>
      <c r="BW297" s="113" t="str">
        <f>I297</f>
        <v>-</v>
      </c>
      <c r="BX297" s="114">
        <f>M297</f>
        <v>51</v>
      </c>
      <c r="BY297" s="113">
        <f>Q297</f>
        <v>84</v>
      </c>
      <c r="BZ297" s="114">
        <f>U297</f>
        <v>88</v>
      </c>
      <c r="CA297" s="113">
        <f>Y297</f>
        <v>124</v>
      </c>
      <c r="CB297" s="114">
        <f>AC297</f>
        <v>132</v>
      </c>
      <c r="CC297" s="113">
        <f>AG297</f>
        <v>170</v>
      </c>
      <c r="CD297" s="114">
        <f>AK297</f>
        <v>178</v>
      </c>
      <c r="CE297" s="113">
        <f>AO297</f>
        <v>266</v>
      </c>
      <c r="CF297" s="114">
        <f>AS297</f>
        <v>309</v>
      </c>
      <c r="CG297" s="113">
        <f>AW297</f>
        <v>333</v>
      </c>
      <c r="CH297" s="111">
        <f>G297</f>
        <v>43</v>
      </c>
      <c r="CI297" s="113" t="str">
        <f>K297</f>
        <v>-</v>
      </c>
      <c r="CJ297" s="114">
        <f>O297</f>
        <v>82</v>
      </c>
      <c r="CK297" s="114">
        <f>S297</f>
        <v>87</v>
      </c>
      <c r="CL297" s="114">
        <f>W297</f>
        <v>123</v>
      </c>
      <c r="CM297" s="114">
        <f>AA297</f>
        <v>131</v>
      </c>
      <c r="CN297" s="114">
        <f>AE297</f>
        <v>157</v>
      </c>
      <c r="CO297" s="114">
        <f>AI297</f>
        <v>172</v>
      </c>
      <c r="CP297" s="114">
        <f>AM297</f>
        <v>214</v>
      </c>
      <c r="CQ297" s="114">
        <f>AQ297</f>
        <v>298</v>
      </c>
      <c r="CR297" s="114">
        <f>AU297</f>
        <v>332</v>
      </c>
      <c r="CS297" s="114">
        <f>AY297</f>
        <v>344</v>
      </c>
      <c r="CT297" s="109" t="e">
        <f>M297-K297</f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9" t="str">
        <f>CONCATENATE(B298,"_",C298)</f>
        <v>pe2r4_human_5YHL</v>
      </c>
      <c r="B298" s="9" t="s">
        <v>364</v>
      </c>
      <c r="C298" s="9" t="s">
        <v>1538</v>
      </c>
      <c r="D298" s="9" t="str">
        <f>IFERROR(MID(VLOOKUP($B298,Seqs!$A:$B,2,0),E298,1),"")</f>
        <v>N</v>
      </c>
      <c r="E298" s="9">
        <v>18</v>
      </c>
      <c r="F298" s="9" t="str">
        <f>IFERROR(MID(VLOOKUP($B298,Seqs!$A:$B,2,0),G298,1),"")</f>
        <v>C</v>
      </c>
      <c r="G298" s="9">
        <v>43</v>
      </c>
      <c r="H298" s="9" t="str">
        <f>IFERROR(MID(VLOOKUP($B298,Seqs!$A:$B,2,0),I298,1),"")</f>
        <v/>
      </c>
      <c r="I298" s="109" t="s">
        <v>23</v>
      </c>
      <c r="J298" s="9" t="str">
        <f>IFERROR(MID(VLOOKUP($B298,Seqs!$A:$B,2,0),K298,1),"")</f>
        <v/>
      </c>
      <c r="K298" s="109" t="s">
        <v>23</v>
      </c>
      <c r="L298" s="9" t="str">
        <f>IFERROR(MID(VLOOKUP($B298,Seqs!$A:$B,2,0),M298,1),"")</f>
        <v>E</v>
      </c>
      <c r="M298" s="9">
        <v>51</v>
      </c>
      <c r="N298" s="9" t="str">
        <f>IFERROR(MID(VLOOKUP($B298,Seqs!$A:$B,2,0),O298,1),"")</f>
        <v>K</v>
      </c>
      <c r="O298" s="9">
        <v>82</v>
      </c>
      <c r="P298" s="9" t="str">
        <f>IFERROR(MID(VLOOKUP($B298,Seqs!$A:$B,2,0),Q298,1),"")</f>
        <v>Q</v>
      </c>
      <c r="Q298" s="9">
        <v>84</v>
      </c>
      <c r="R298" s="9" t="str">
        <f>IFERROR(MID(VLOOKUP($B298,Seqs!$A:$B,2,0),S298,1),"")</f>
        <v>G</v>
      </c>
      <c r="S298" s="9">
        <v>87</v>
      </c>
      <c r="T298" s="9" t="str">
        <f>IFERROR(MID(VLOOKUP($B298,Seqs!$A:$B,2,0),U298,1),"")</f>
        <v>G</v>
      </c>
      <c r="U298" s="9">
        <v>88</v>
      </c>
      <c r="V298" s="9" t="str">
        <f>IFERROR(MID(VLOOKUP($B298,Seqs!$A:$B,2,0),W298,1),"")</f>
        <v>H</v>
      </c>
      <c r="W298" s="9">
        <v>123</v>
      </c>
      <c r="X298" s="9" t="str">
        <f>IFERROR(MID(VLOOKUP($B298,Seqs!$A:$B,2,0),Y298,1),"")</f>
        <v>A</v>
      </c>
      <c r="Y298" s="9">
        <v>124</v>
      </c>
      <c r="Z298" s="9" t="str">
        <f>IFERROR(MID(VLOOKUP($B298,Seqs!$A:$B,2,0),AA298,1),"")</f>
        <v>V</v>
      </c>
      <c r="AA298" s="9">
        <v>131</v>
      </c>
      <c r="AB298" s="9" t="str">
        <f>IFERROR(MID(VLOOKUP($B298,Seqs!$A:$B,2,0),AC298,1),"")</f>
        <v>D</v>
      </c>
      <c r="AC298" s="9">
        <v>132</v>
      </c>
      <c r="AD298" s="9" t="str">
        <f>IFERROR(MID(VLOOKUP($B298,Seqs!$A:$B,2,0),AE298,1),"")</f>
        <v>G</v>
      </c>
      <c r="AE298" s="9">
        <v>157</v>
      </c>
      <c r="AF298" s="9" t="str">
        <f>IFERROR(MID(VLOOKUP($B298,Seqs!$A:$B,2,0),AG298,1),"")</f>
        <v>C</v>
      </c>
      <c r="AG298" s="9">
        <v>170</v>
      </c>
      <c r="AH298" s="9" t="str">
        <f>IFERROR(MID(VLOOKUP($B298,Seqs!$A:$B,2,0),AI298,1),"")</f>
        <v>I</v>
      </c>
      <c r="AI298" s="9">
        <v>172</v>
      </c>
      <c r="AJ298" s="9" t="str">
        <f>IFERROR(MID(VLOOKUP($B298,Seqs!$A:$B,2,0),AK298,1),"")</f>
        <v>V</v>
      </c>
      <c r="AK298" s="9">
        <v>178</v>
      </c>
      <c r="AL298" s="9" t="str">
        <f>IFERROR(MID(VLOOKUP($B298,Seqs!$A:$B,2,0),AM298,1),"")</f>
        <v>H</v>
      </c>
      <c r="AM298" s="9">
        <v>214</v>
      </c>
      <c r="AN298" s="9" t="str">
        <f>IFERROR(MID(VLOOKUP($B298,Seqs!$A:$B,2,0),AO298,1),"")</f>
        <v>A</v>
      </c>
      <c r="AO298" s="9">
        <v>266</v>
      </c>
      <c r="AP298" s="9" t="str">
        <f>IFERROR(MID(VLOOKUP($B298,Seqs!$A:$B,2,0),AQ298,1),"")</f>
        <v>Y</v>
      </c>
      <c r="AQ298" s="9">
        <v>298</v>
      </c>
      <c r="AR298" s="9" t="str">
        <f>IFERROR(MID(VLOOKUP($B298,Seqs!$A:$B,2,0),AS298,1),"")</f>
        <v>N</v>
      </c>
      <c r="AS298" s="9">
        <v>309</v>
      </c>
      <c r="AT298" s="9" t="str">
        <f>IFERROR(MID(VLOOKUP($B298,Seqs!$A:$B,2,0),AU298,1),"")</f>
        <v>L</v>
      </c>
      <c r="AU298" s="9">
        <v>332</v>
      </c>
      <c r="AV298" s="9" t="str">
        <f>IFERROR(MID(VLOOKUP($B298,Seqs!$A:$B,2,0),AW298,1),"")</f>
        <v>R</v>
      </c>
      <c r="AW298" s="9">
        <v>333</v>
      </c>
      <c r="AX298" s="9" t="str">
        <f>IFERROR(MID(VLOOKUP($B298,Seqs!$A:$B,2,0),AY298,1),"")</f>
        <v>I</v>
      </c>
      <c r="AY298" s="9">
        <v>344</v>
      </c>
      <c r="AZ298" s="110" t="str">
        <f>VLOOKUP(B298,Classification!A:D,2,0)</f>
        <v>A</v>
      </c>
      <c r="BA298" s="98" t="str">
        <f>VLOOKUP(B298,Classification!A:D,4,0)</f>
        <v>Prostanoid</v>
      </c>
      <c r="BB298" s="36" t="b">
        <f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109">
        <f>_xlfn.AGGREGATE(9,6,CH298:CS298)-_xlfn.AGGREGATE(9,6,BV298:CG298)+12</f>
        <v>242</v>
      </c>
      <c r="BD298" s="40" t="s">
        <v>23</v>
      </c>
      <c r="BE298" s="9" t="s">
        <v>1375</v>
      </c>
      <c r="BF298" s="120">
        <v>4.2</v>
      </c>
      <c r="BG298" s="51" t="s">
        <v>1</v>
      </c>
      <c r="BH298" s="51" t="s">
        <v>1</v>
      </c>
      <c r="BI298" s="12"/>
      <c r="BJ298" s="111" t="s">
        <v>1288</v>
      </c>
      <c r="BK298" s="112" t="s">
        <v>1288</v>
      </c>
      <c r="BL298" s="112" t="s">
        <v>1288</v>
      </c>
      <c r="BM298" s="112" t="s">
        <v>1288</v>
      </c>
      <c r="BN298" s="112" t="s">
        <v>1288</v>
      </c>
      <c r="BO298" s="112" t="s">
        <v>1288</v>
      </c>
      <c r="BP298" s="112" t="s">
        <v>1288</v>
      </c>
      <c r="BQ298" s="112" t="s">
        <v>1288</v>
      </c>
      <c r="BR298" s="112" t="s">
        <v>1288</v>
      </c>
      <c r="BS298" s="112" t="s">
        <v>1288</v>
      </c>
      <c r="BT298" s="112" t="s">
        <v>1288</v>
      </c>
      <c r="BU298" s="112" t="s">
        <v>1288</v>
      </c>
      <c r="BV298" s="111">
        <f>E298</f>
        <v>18</v>
      </c>
      <c r="BW298" s="113" t="str">
        <f>I298</f>
        <v>-</v>
      </c>
      <c r="BX298" s="114">
        <f>M298</f>
        <v>51</v>
      </c>
      <c r="BY298" s="113">
        <f>Q298</f>
        <v>84</v>
      </c>
      <c r="BZ298" s="114">
        <f>U298</f>
        <v>88</v>
      </c>
      <c r="CA298" s="113">
        <f>Y298</f>
        <v>124</v>
      </c>
      <c r="CB298" s="114">
        <f>AC298</f>
        <v>132</v>
      </c>
      <c r="CC298" s="113">
        <f>AG298</f>
        <v>170</v>
      </c>
      <c r="CD298" s="114">
        <f>AK298</f>
        <v>178</v>
      </c>
      <c r="CE298" s="113">
        <f>AO298</f>
        <v>266</v>
      </c>
      <c r="CF298" s="114">
        <f>AS298</f>
        <v>309</v>
      </c>
      <c r="CG298" s="113">
        <f>AW298</f>
        <v>333</v>
      </c>
      <c r="CH298" s="111">
        <f>G298</f>
        <v>43</v>
      </c>
      <c r="CI298" s="113" t="str">
        <f>K298</f>
        <v>-</v>
      </c>
      <c r="CJ298" s="114">
        <f>O298</f>
        <v>82</v>
      </c>
      <c r="CK298" s="114">
        <f>S298</f>
        <v>87</v>
      </c>
      <c r="CL298" s="114">
        <f>W298</f>
        <v>123</v>
      </c>
      <c r="CM298" s="114">
        <f>AA298</f>
        <v>131</v>
      </c>
      <c r="CN298" s="114">
        <f>AE298</f>
        <v>157</v>
      </c>
      <c r="CO298" s="114">
        <f>AI298</f>
        <v>172</v>
      </c>
      <c r="CP298" s="114">
        <f>AM298</f>
        <v>214</v>
      </c>
      <c r="CQ298" s="114">
        <f>AQ298</f>
        <v>298</v>
      </c>
      <c r="CR298" s="114">
        <f>AU298</f>
        <v>332</v>
      </c>
      <c r="CS298" s="114">
        <f>AY298</f>
        <v>344</v>
      </c>
      <c r="CT298" s="109" t="e">
        <f>M298-K298</f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>CONCATENATE(B299,"_",C299)</f>
        <v>ptafr_human__wt</v>
      </c>
      <c r="B299" s="3" t="s">
        <v>371</v>
      </c>
      <c r="C299" s="3" t="s">
        <v>100</v>
      </c>
      <c r="D299" s="3" t="str">
        <f>IFERROR(MID(VLOOKUP($B299,Seqs!$A:$B,2,0),E299,1),"")</f>
        <v>D</v>
      </c>
      <c r="E299" s="3">
        <v>10</v>
      </c>
      <c r="F299" s="3" t="str">
        <f>IFERROR(MID(VLOOKUP($B299,Seqs!$A:$B,2,0),G299,1),"")</f>
        <v>Y</v>
      </c>
      <c r="G299" s="3">
        <v>44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F</v>
      </c>
      <c r="M299" s="3">
        <v>49</v>
      </c>
      <c r="N299" s="3" t="str">
        <f>IFERROR(MID(VLOOKUP($B299,Seqs!$A:$B,2,0),O299,1),"")</f>
        <v>Q</v>
      </c>
      <c r="O299" s="3">
        <v>80</v>
      </c>
      <c r="P299" s="3" t="str">
        <f>IFERROR(MID(VLOOKUP($B299,Seqs!$A:$B,2,0),Q299,1),"")</f>
        <v>N</v>
      </c>
      <c r="Q299" s="3">
        <v>82</v>
      </c>
      <c r="R299" s="3" t="str">
        <f>IFERROR(MID(VLOOKUP($B299,Seqs!$A:$B,2,0),S299,1),"")</f>
        <v>L</v>
      </c>
      <c r="S299" s="3">
        <v>85</v>
      </c>
      <c r="T299" s="3" t="str">
        <f>IFERROR(MID(VLOOKUP($B299,Seqs!$A:$B,2,0),U299,1),"")</f>
        <v>P</v>
      </c>
      <c r="U299" s="3">
        <v>86</v>
      </c>
      <c r="V299" s="3" t="str">
        <f>IFERROR(MID(VLOOKUP($B299,Seqs!$A:$B,2,0),W299,1),"")</f>
        <v>R</v>
      </c>
      <c r="W299" s="3">
        <v>121</v>
      </c>
      <c r="X299" s="3" t="str">
        <f>IFERROR(MID(VLOOKUP($B299,Seqs!$A:$B,2,0),Y299,1),"")</f>
        <v>P</v>
      </c>
      <c r="Y299" s="3">
        <v>122</v>
      </c>
      <c r="Z299" s="3" t="str">
        <f>IFERROR(MID(VLOOKUP($B299,Seqs!$A:$B,2,0),AA299,1),"")</f>
        <v>N</v>
      </c>
      <c r="AA299" s="3">
        <v>129</v>
      </c>
      <c r="AB299" s="3" t="str">
        <f>IFERROR(MID(VLOOKUP($B299,Seqs!$A:$B,2,0),AC299,1),"")</f>
        <v>T</v>
      </c>
      <c r="AC299" s="3">
        <v>130</v>
      </c>
      <c r="AD299" s="3" t="str">
        <f>IFERROR(MID(VLOOKUP($B299,Seqs!$A:$B,2,0),AE299,1),"")</f>
        <v>L</v>
      </c>
      <c r="AE299" s="3">
        <v>155</v>
      </c>
      <c r="AF299" s="3" t="str">
        <f>IFERROR(MID(VLOOKUP($B299,Seqs!$A:$B,2,0),AG299,1),"")</f>
        <v>C</v>
      </c>
      <c r="AG299" s="3">
        <v>173</v>
      </c>
      <c r="AH299" s="3" t="str">
        <f>IFERROR(MID(VLOOKUP($B299,Seqs!$A:$B,2,0),AI299,1),"")</f>
        <v>E</v>
      </c>
      <c r="AI299" s="3">
        <v>175</v>
      </c>
      <c r="AJ299" s="3" t="str">
        <f>IFERROR(MID(VLOOKUP($B299,Seqs!$A:$B,2,0),AK299,1),"")</f>
        <v>S</v>
      </c>
      <c r="AK299" s="3">
        <v>181</v>
      </c>
      <c r="AL299" s="3" t="str">
        <f>IFERROR(MID(VLOOKUP($B299,Seqs!$A:$B,2,0),AM299,1),"")</f>
        <v>Q</v>
      </c>
      <c r="AM299" s="3">
        <v>216</v>
      </c>
      <c r="AN299" s="3" t="str">
        <f>IFERROR(MID(VLOOKUP($B299,Seqs!$A:$B,2,0),AO299,1),"")</f>
        <v>Q</v>
      </c>
      <c r="AO299" s="3">
        <v>221</v>
      </c>
      <c r="AP299" s="3" t="str">
        <f>IFERROR(MID(VLOOKUP($B299,Seqs!$A:$B,2,0),AQ299,1),"")</f>
        <v>G</v>
      </c>
      <c r="AQ299" s="3">
        <v>261</v>
      </c>
      <c r="AR299" s="3" t="str">
        <f>IFERROR(MID(VLOOKUP($B299,Seqs!$A:$B,2,0),AS299,1),"")</f>
        <v>D</v>
      </c>
      <c r="AS299" s="3">
        <v>264</v>
      </c>
      <c r="AT299" s="3" t="str">
        <f>IFERROR(MID(VLOOKUP($B299,Seqs!$A:$B,2,0),AU299,1),"")</f>
        <v>K</v>
      </c>
      <c r="AU299" s="3">
        <v>299</v>
      </c>
      <c r="AV299" s="3" t="str">
        <f>IFERROR(MID(VLOOKUP($B299,Seqs!$A:$B,2,0),AW299,1),"")</f>
        <v>F</v>
      </c>
      <c r="AW299" s="3">
        <v>300</v>
      </c>
      <c r="AX299" s="3" t="str">
        <f>IFERROR(MID(VLOOKUP($B299,Seqs!$A:$B,2,0),AY299,1),"")</f>
        <v>S</v>
      </c>
      <c r="AY299" s="3">
        <v>313</v>
      </c>
      <c r="AZ299" s="77" t="str">
        <f>VLOOKUP(B299,Classification!A:D,2,0)</f>
        <v>A</v>
      </c>
      <c r="BA299" s="94" t="str">
        <f>VLOOKUP(B299,Classification!A:D,4,0)</f>
        <v>Platelet-activatingfactor</v>
      </c>
      <c r="BB299" s="27" t="b">
        <f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>_xlfn.AGGREGATE(9,6,CH299:CS299)-_xlfn.AGGREGATE(9,6,BV299:CG299)+12</f>
        <v>272</v>
      </c>
      <c r="BD299" s="2" t="s">
        <v>23</v>
      </c>
      <c r="BE299" s="3" t="s">
        <v>23</v>
      </c>
      <c r="BF299" s="119" t="s">
        <v>23</v>
      </c>
      <c r="BG299" s="49" t="s">
        <v>1378</v>
      </c>
      <c r="BH299" s="49" t="s">
        <v>1378</v>
      </c>
      <c r="BI299" s="1"/>
      <c r="BJ299" s="70" t="s">
        <v>1288</v>
      </c>
      <c r="BK299" s="57" t="s">
        <v>1288</v>
      </c>
      <c r="BL299" s="57" t="s">
        <v>1288</v>
      </c>
      <c r="BM299" s="57" t="s">
        <v>1288</v>
      </c>
      <c r="BN299" s="57" t="s">
        <v>1288</v>
      </c>
      <c r="BO299" s="57" t="s">
        <v>1288</v>
      </c>
      <c r="BP299" s="57" t="s">
        <v>1288</v>
      </c>
      <c r="BQ299" s="57" t="s">
        <v>1288</v>
      </c>
      <c r="BR299" s="57" t="s">
        <v>1288</v>
      </c>
      <c r="BS299" s="57" t="s">
        <v>1288</v>
      </c>
      <c r="BT299" s="57" t="s">
        <v>1288</v>
      </c>
      <c r="BU299" s="57" t="s">
        <v>1288</v>
      </c>
      <c r="BV299" s="70">
        <f>E299</f>
        <v>10</v>
      </c>
      <c r="BW299" s="71" t="str">
        <f>I299</f>
        <v>-</v>
      </c>
      <c r="BX299" s="72">
        <f>M299</f>
        <v>49</v>
      </c>
      <c r="BY299" s="71">
        <f>Q299</f>
        <v>82</v>
      </c>
      <c r="BZ299" s="72">
        <f>U299</f>
        <v>86</v>
      </c>
      <c r="CA299" s="71">
        <f>Y299</f>
        <v>122</v>
      </c>
      <c r="CB299" s="72">
        <f>AC299</f>
        <v>130</v>
      </c>
      <c r="CC299" s="71">
        <f>AG299</f>
        <v>173</v>
      </c>
      <c r="CD299" s="72">
        <f>AK299</f>
        <v>181</v>
      </c>
      <c r="CE299" s="71">
        <f>AO299</f>
        <v>221</v>
      </c>
      <c r="CF299" s="72">
        <f>AS299</f>
        <v>264</v>
      </c>
      <c r="CG299" s="71">
        <f>AW299</f>
        <v>300</v>
      </c>
      <c r="CH299" s="70">
        <f>G299</f>
        <v>44</v>
      </c>
      <c r="CI299" s="71" t="str">
        <f>K299</f>
        <v>-</v>
      </c>
      <c r="CJ299" s="72">
        <f>O299</f>
        <v>80</v>
      </c>
      <c r="CK299" s="72">
        <f>S299</f>
        <v>85</v>
      </c>
      <c r="CL299" s="72">
        <f>W299</f>
        <v>121</v>
      </c>
      <c r="CM299" s="72">
        <f>AA299</f>
        <v>129</v>
      </c>
      <c r="CN299" s="72">
        <f>AE299</f>
        <v>155</v>
      </c>
      <c r="CO299" s="72">
        <f>AI299</f>
        <v>175</v>
      </c>
      <c r="CP299" s="72">
        <f>AM299</f>
        <v>216</v>
      </c>
      <c r="CQ299" s="72">
        <f>AQ299</f>
        <v>261</v>
      </c>
      <c r="CR299" s="72">
        <f>AU299</f>
        <v>299</v>
      </c>
      <c r="CS299" s="72">
        <f>AY299</f>
        <v>313</v>
      </c>
      <c r="CT299" s="23" t="e">
        <f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>CONCATENATE(B300,"_",C300)</f>
        <v>ptafr_human_5ZKP</v>
      </c>
      <c r="B300" s="3" t="s">
        <v>371</v>
      </c>
      <c r="C300" s="3" t="s">
        <v>1506</v>
      </c>
      <c r="D300" s="3" t="str">
        <f>IFERROR(MID(VLOOKUP($B300,Seqs!$A:$B,2,0),E300,1),"")</f>
        <v>S</v>
      </c>
      <c r="E300" s="3">
        <v>11</v>
      </c>
      <c r="F300" s="3" t="str">
        <f>IFERROR(MID(VLOOKUP($B300,Seqs!$A:$B,2,0),G300,1),"")</f>
        <v>Y</v>
      </c>
      <c r="G300" s="3">
        <v>44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F</v>
      </c>
      <c r="M300" s="3">
        <v>49</v>
      </c>
      <c r="N300" s="3" t="str">
        <f>IFERROR(MID(VLOOKUP($B300,Seqs!$A:$B,2,0),O300,1),"")</f>
        <v>Q</v>
      </c>
      <c r="O300" s="3">
        <v>80</v>
      </c>
      <c r="P300" s="3" t="str">
        <f>IFERROR(MID(VLOOKUP($B300,Seqs!$A:$B,2,0),Q300,1),"")</f>
        <v>N</v>
      </c>
      <c r="Q300" s="3">
        <v>82</v>
      </c>
      <c r="R300" s="3" t="str">
        <f>IFERROR(MID(VLOOKUP($B300,Seqs!$A:$B,2,0),S300,1),"")</f>
        <v>L</v>
      </c>
      <c r="S300" s="3">
        <v>85</v>
      </c>
      <c r="T300" s="3" t="str">
        <f>IFERROR(MID(VLOOKUP($B300,Seqs!$A:$B,2,0),U300,1),"")</f>
        <v>P</v>
      </c>
      <c r="U300" s="3">
        <v>86</v>
      </c>
      <c r="V300" s="3" t="str">
        <f>IFERROR(MID(VLOOKUP($B300,Seqs!$A:$B,2,0),W300,1),"")</f>
        <v>T</v>
      </c>
      <c r="W300" s="3">
        <v>120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I</v>
      </c>
      <c r="AC300" s="3">
        <v>141</v>
      </c>
      <c r="AD300" s="3" t="str">
        <f>IFERROR(MID(VLOOKUP($B300,Seqs!$A:$B,2,0),AE300,1),"")</f>
        <v>L</v>
      </c>
      <c r="AE300" s="3">
        <v>155</v>
      </c>
      <c r="AF300" s="3" t="str">
        <f>IFERROR(MID(VLOOKUP($B300,Seqs!$A:$B,2,0),AG300,1),"")</f>
        <v>C</v>
      </c>
      <c r="AG300" s="3">
        <v>173</v>
      </c>
      <c r="AH300" s="3" t="str">
        <f>IFERROR(MID(VLOOKUP($B300,Seqs!$A:$B,2,0),AI300,1),"")</f>
        <v>E</v>
      </c>
      <c r="AI300" s="3">
        <v>175</v>
      </c>
      <c r="AJ300" s="3" t="str">
        <f>IFERROR(MID(VLOOKUP($B300,Seqs!$A:$B,2,0),AK300,1),"")</f>
        <v>P</v>
      </c>
      <c r="AK300" s="3">
        <v>183</v>
      </c>
      <c r="AL300" s="3" t="str">
        <f>IFERROR(MID(VLOOKUP($B300,Seqs!$A:$B,2,0),AM300,1),"")</f>
        <v>L</v>
      </c>
      <c r="AM300" s="3">
        <v>214</v>
      </c>
      <c r="AN300" s="3" t="str">
        <f>IFERROR(MID(VLOOKUP($B300,Seqs!$A:$B,2,0),AO300,1),"")</f>
        <v>A</v>
      </c>
      <c r="AO300" s="3">
        <v>224</v>
      </c>
      <c r="AP300" s="3" t="str">
        <f>IFERROR(MID(VLOOKUP($B300,Seqs!$A:$B,2,0),AQ300,1),"")</f>
        <v>G</v>
      </c>
      <c r="AQ300" s="3">
        <v>261</v>
      </c>
      <c r="AR300" s="3" t="str">
        <f>IFERROR(MID(VLOOKUP($B300,Seqs!$A:$B,2,0),AS300,1),"")</f>
        <v>D</v>
      </c>
      <c r="AS300" s="3">
        <v>264</v>
      </c>
      <c r="AT300" s="3" t="str">
        <f>IFERROR(MID(VLOOKUP($B300,Seqs!$A:$B,2,0),AU300,1),"")</f>
        <v>K</v>
      </c>
      <c r="AU300" s="3">
        <v>299</v>
      </c>
      <c r="AV300" s="3" t="str">
        <f>IFERROR(MID(VLOOKUP($B300,Seqs!$A:$B,2,0),AW300,1),"")</f>
        <v>F</v>
      </c>
      <c r="AW300" s="3">
        <v>300</v>
      </c>
      <c r="AX300" s="3" t="str">
        <f>IFERROR(MID(VLOOKUP($B300,Seqs!$A:$B,2,0),AY300,1),"")</f>
        <v>S</v>
      </c>
      <c r="AY300" s="3">
        <v>313</v>
      </c>
      <c r="AZ300" s="77" t="str">
        <f>VLOOKUP(B300,Classification!A:D,2,0)</f>
        <v>A</v>
      </c>
      <c r="BA300" s="94" t="str">
        <f>VLOOKUP(B300,Classification!A:D,4,0)</f>
        <v>Platelet-activatingfactor</v>
      </c>
      <c r="BB300" s="27" t="b">
        <f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>_xlfn.AGGREGATE(9,6,CH300:CS300)-_xlfn.AGGREGATE(9,6,BV300:CG300)+12</f>
        <v>245</v>
      </c>
      <c r="BD300" s="2" t="s">
        <v>1376</v>
      </c>
      <c r="BE300" s="3" t="s">
        <v>1292</v>
      </c>
      <c r="BF300" s="119">
        <v>2.81</v>
      </c>
      <c r="BG300" s="49" t="s">
        <v>1</v>
      </c>
      <c r="BH300" s="49" t="s">
        <v>1</v>
      </c>
      <c r="BI300" s="1"/>
      <c r="BJ300" s="70" t="s">
        <v>1288</v>
      </c>
      <c r="BK300" s="57" t="s">
        <v>1288</v>
      </c>
      <c r="BL300" s="57" t="s">
        <v>1288</v>
      </c>
      <c r="BM300" s="57" t="s">
        <v>1288</v>
      </c>
      <c r="BN300" s="57" t="s">
        <v>1288</v>
      </c>
      <c r="BO300" s="57" t="s">
        <v>1288</v>
      </c>
      <c r="BP300" s="57" t="s">
        <v>1288</v>
      </c>
      <c r="BQ300" s="57" t="s">
        <v>1288</v>
      </c>
      <c r="BR300" s="57" t="s">
        <v>1288</v>
      </c>
      <c r="BS300" s="57" t="s">
        <v>1288</v>
      </c>
      <c r="BT300" s="57" t="s">
        <v>1288</v>
      </c>
      <c r="BU300" s="57" t="s">
        <v>1288</v>
      </c>
      <c r="BV300" s="70">
        <f>E300</f>
        <v>11</v>
      </c>
      <c r="BW300" s="71" t="str">
        <f>I300</f>
        <v>-</v>
      </c>
      <c r="BX300" s="72">
        <f>M300</f>
        <v>49</v>
      </c>
      <c r="BY300" s="71">
        <f>Q300</f>
        <v>82</v>
      </c>
      <c r="BZ300" s="72">
        <f>U300</f>
        <v>86</v>
      </c>
      <c r="CA300" s="71" t="str">
        <f>Y300</f>
        <v>-</v>
      </c>
      <c r="CB300" s="72">
        <f>AC300</f>
        <v>141</v>
      </c>
      <c r="CC300" s="71">
        <f>AG300</f>
        <v>173</v>
      </c>
      <c r="CD300" s="72">
        <f>AK300</f>
        <v>183</v>
      </c>
      <c r="CE300" s="71">
        <f>AO300</f>
        <v>224</v>
      </c>
      <c r="CF300" s="72">
        <f>AS300</f>
        <v>264</v>
      </c>
      <c r="CG300" s="71">
        <f>AW300</f>
        <v>300</v>
      </c>
      <c r="CH300" s="70">
        <f>G300</f>
        <v>44</v>
      </c>
      <c r="CI300" s="71" t="str">
        <f>K300</f>
        <v>-</v>
      </c>
      <c r="CJ300" s="72">
        <f>O300</f>
        <v>80</v>
      </c>
      <c r="CK300" s="72">
        <f>S300</f>
        <v>85</v>
      </c>
      <c r="CL300" s="72">
        <f>W300</f>
        <v>120</v>
      </c>
      <c r="CM300" s="72" t="str">
        <f>AA300</f>
        <v>-</v>
      </c>
      <c r="CN300" s="72">
        <f>AE300</f>
        <v>155</v>
      </c>
      <c r="CO300" s="72">
        <f>AI300</f>
        <v>175</v>
      </c>
      <c r="CP300" s="72">
        <f>AM300</f>
        <v>214</v>
      </c>
      <c r="CQ300" s="72">
        <f>AQ300</f>
        <v>261</v>
      </c>
      <c r="CR300" s="72">
        <f>AU300</f>
        <v>299</v>
      </c>
      <c r="CS300" s="72">
        <f>AY300</f>
        <v>313</v>
      </c>
      <c r="CT300" s="23" t="e">
        <f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>CONCATENATE(B301,"_",C301)</f>
        <v>ptafr_human_5ZKQ</v>
      </c>
      <c r="B301" s="3" t="s">
        <v>371</v>
      </c>
      <c r="C301" s="3" t="s">
        <v>1507</v>
      </c>
      <c r="D301" s="3" t="str">
        <f>IFERROR(MID(VLOOKUP($B301,Seqs!$A:$B,2,0),E301,1),"")</f>
        <v>D</v>
      </c>
      <c r="E301" s="3">
        <v>10</v>
      </c>
      <c r="F301" s="3" t="str">
        <f>IFERROR(MID(VLOOKUP($B301,Seqs!$A:$B,2,0),G301,1),"")</f>
        <v>L</v>
      </c>
      <c r="G301" s="3">
        <v>43</v>
      </c>
      <c r="H301" s="3" t="str">
        <f>IFERROR(MID(VLOOKUP($B301,Seqs!$A:$B,2,0),I301,1),"")</f>
        <v/>
      </c>
      <c r="I301" s="23" t="s">
        <v>23</v>
      </c>
      <c r="J301" s="3" t="str">
        <f>IFERROR(MID(VLOOKUP($B301,Seqs!$A:$B,2,0),K301,1),"")</f>
        <v/>
      </c>
      <c r="K301" s="23" t="s">
        <v>23</v>
      </c>
      <c r="L301" s="3" t="str">
        <f>IFERROR(MID(VLOOKUP($B301,Seqs!$A:$B,2,0),M301,1),"")</f>
        <v>F</v>
      </c>
      <c r="M301" s="3">
        <v>49</v>
      </c>
      <c r="N301" s="3" t="str">
        <f>IFERROR(MID(VLOOKUP($B301,Seqs!$A:$B,2,0),O301,1),"")</f>
        <v>Q</v>
      </c>
      <c r="O301" s="3">
        <v>80</v>
      </c>
      <c r="P301" s="3" t="str">
        <f>IFERROR(MID(VLOOKUP($B301,Seqs!$A:$B,2,0),Q301,1),"")</f>
        <v>N</v>
      </c>
      <c r="Q301" s="3">
        <v>82</v>
      </c>
      <c r="R301" s="3" t="str">
        <f>IFERROR(MID(VLOOKUP($B301,Seqs!$A:$B,2,0),S301,1),"")</f>
        <v>L</v>
      </c>
      <c r="S301" s="3">
        <v>85</v>
      </c>
      <c r="T301" s="3" t="str">
        <f>IFERROR(MID(VLOOKUP($B301,Seqs!$A:$B,2,0),U301,1),"")</f>
        <v>P</v>
      </c>
      <c r="U301" s="3">
        <v>86</v>
      </c>
      <c r="V301" s="3" t="str">
        <f>IFERROR(MID(VLOOKUP($B301,Seqs!$A:$B,2,0),W301,1),"")</f>
        <v>R</v>
      </c>
      <c r="W301" s="3">
        <v>121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T</v>
      </c>
      <c r="AC301" s="3">
        <v>130</v>
      </c>
      <c r="AD301" s="3" t="str">
        <f>IFERROR(MID(VLOOKUP($B301,Seqs!$A:$B,2,0),AE301,1),"")</f>
        <v>I</v>
      </c>
      <c r="AE301" s="3">
        <v>154</v>
      </c>
      <c r="AF301" s="3" t="str">
        <f>IFERROR(MID(VLOOKUP($B301,Seqs!$A:$B,2,0),AG301,1),"")</f>
        <v>C</v>
      </c>
      <c r="AG301" s="3">
        <v>173</v>
      </c>
      <c r="AH301" s="3" t="str">
        <f>IFERROR(MID(VLOOKUP($B301,Seqs!$A:$B,2,0),AI301,1),"")</f>
        <v>E</v>
      </c>
      <c r="AI301" s="3">
        <v>175</v>
      </c>
      <c r="AJ301" s="3" t="str">
        <f>IFERROR(MID(VLOOKUP($B301,Seqs!$A:$B,2,0),AK301,1),"")</f>
        <v>S</v>
      </c>
      <c r="AK301" s="3">
        <v>181</v>
      </c>
      <c r="AL301" s="3" t="str">
        <f>IFERROR(MID(VLOOKUP($B301,Seqs!$A:$B,2,0),AM301,1),"")</f>
        <v>M</v>
      </c>
      <c r="AM301" s="3">
        <v>215</v>
      </c>
      <c r="AN301" s="3" t="str">
        <f>IFERROR(MID(VLOOKUP($B301,Seqs!$A:$B,2,0),AO301,1),"")</f>
        <v>K</v>
      </c>
      <c r="AO301" s="3">
        <v>227</v>
      </c>
      <c r="AP301" s="3" t="str">
        <f>IFERROR(MID(VLOOKUP($B301,Seqs!$A:$B,2,0),AQ301,1),"")</f>
        <v>G</v>
      </c>
      <c r="AQ301" s="3">
        <v>261</v>
      </c>
      <c r="AR301" s="3" t="str">
        <f>IFERROR(MID(VLOOKUP($B301,Seqs!$A:$B,2,0),AS301,1),"")</f>
        <v>D</v>
      </c>
      <c r="AS301" s="3">
        <v>264</v>
      </c>
      <c r="AT301" s="3" t="str">
        <f>IFERROR(MID(VLOOKUP($B301,Seqs!$A:$B,2,0),AU301,1),"")</f>
        <v>T</v>
      </c>
      <c r="AU301" s="3">
        <v>297</v>
      </c>
      <c r="AV301" s="3" t="str">
        <f>IFERROR(MID(VLOOKUP($B301,Seqs!$A:$B,2,0),AW301,1),"")</f>
        <v/>
      </c>
      <c r="AW301" s="3" t="s">
        <v>23</v>
      </c>
      <c r="AX301" s="3" t="str">
        <f>IFERROR(MID(VLOOKUP($B301,Seqs!$A:$B,2,0),AY301,1),"")</f>
        <v/>
      </c>
      <c r="AY301" s="3" t="s">
        <v>23</v>
      </c>
      <c r="AZ301" s="77" t="str">
        <f>VLOOKUP(B301,Classification!A:D,2,0)</f>
        <v>A</v>
      </c>
      <c r="BA301" s="94" t="str">
        <f>VLOOKUP(B301,Classification!A:D,4,0)</f>
        <v>Platelet-activatingfactor</v>
      </c>
      <c r="BB301" s="27" t="b">
        <f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>_xlfn.AGGREGATE(9,6,CH301:CS301)-_xlfn.AGGREGATE(9,6,BV301:CG301)+12</f>
        <v>241</v>
      </c>
      <c r="BD301" s="2" t="s">
        <v>1430</v>
      </c>
      <c r="BE301" s="3" t="s">
        <v>1429</v>
      </c>
      <c r="BF301" s="119">
        <v>2.9</v>
      </c>
      <c r="BG301" s="49" t="s">
        <v>1282</v>
      </c>
      <c r="BH301" s="49" t="s">
        <v>1282</v>
      </c>
      <c r="BI301" s="1"/>
      <c r="BJ301" s="70" t="s">
        <v>1288</v>
      </c>
      <c r="BK301" s="57" t="s">
        <v>1288</v>
      </c>
      <c r="BL301" s="57" t="s">
        <v>1288</v>
      </c>
      <c r="BM301" s="57" t="s">
        <v>1288</v>
      </c>
      <c r="BN301" s="57" t="s">
        <v>1288</v>
      </c>
      <c r="BO301" s="57" t="s">
        <v>1288</v>
      </c>
      <c r="BP301" s="57" t="s">
        <v>1288</v>
      </c>
      <c r="BQ301" s="57" t="s">
        <v>1288</v>
      </c>
      <c r="BR301" s="57" t="s">
        <v>1288</v>
      </c>
      <c r="BS301" s="57" t="s">
        <v>1288</v>
      </c>
      <c r="BT301" s="57" t="s">
        <v>1288</v>
      </c>
      <c r="BU301" s="57" t="s">
        <v>1288</v>
      </c>
      <c r="BV301" s="70">
        <f>E301</f>
        <v>10</v>
      </c>
      <c r="BW301" s="71" t="str">
        <f>I301</f>
        <v>-</v>
      </c>
      <c r="BX301" s="72">
        <f>M301</f>
        <v>49</v>
      </c>
      <c r="BY301" s="71">
        <f>Q301</f>
        <v>82</v>
      </c>
      <c r="BZ301" s="72">
        <f>U301</f>
        <v>86</v>
      </c>
      <c r="CA301" s="71" t="str">
        <f>Y301</f>
        <v>-</v>
      </c>
      <c r="CB301" s="72">
        <f>AC301</f>
        <v>130</v>
      </c>
      <c r="CC301" s="71">
        <f>AG301</f>
        <v>173</v>
      </c>
      <c r="CD301" s="72">
        <f>AK301</f>
        <v>181</v>
      </c>
      <c r="CE301" s="71">
        <f>AO301</f>
        <v>227</v>
      </c>
      <c r="CF301" s="72">
        <f>AS301</f>
        <v>264</v>
      </c>
      <c r="CG301" s="71" t="str">
        <f>AW301</f>
        <v>-</v>
      </c>
      <c r="CH301" s="70">
        <f>G301</f>
        <v>43</v>
      </c>
      <c r="CI301" s="71" t="str">
        <f>K301</f>
        <v>-</v>
      </c>
      <c r="CJ301" s="72">
        <f>O301</f>
        <v>80</v>
      </c>
      <c r="CK301" s="72">
        <f>S301</f>
        <v>85</v>
      </c>
      <c r="CL301" s="72">
        <f>W301</f>
        <v>121</v>
      </c>
      <c r="CM301" s="72" t="str">
        <f>AA301</f>
        <v>-</v>
      </c>
      <c r="CN301" s="72">
        <f>AE301</f>
        <v>154</v>
      </c>
      <c r="CO301" s="72">
        <f>AI301</f>
        <v>175</v>
      </c>
      <c r="CP301" s="72">
        <f>AM301</f>
        <v>215</v>
      </c>
      <c r="CQ301" s="72">
        <f>AQ301</f>
        <v>261</v>
      </c>
      <c r="CR301" s="72">
        <f>AU301</f>
        <v>297</v>
      </c>
      <c r="CS301" s="72" t="str">
        <f>AY301</f>
        <v>-</v>
      </c>
      <c r="CT301" s="23" t="e">
        <f>M301-K301</f>
        <v>#VALUE!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 t="shared" si="1538"/>
        <v>q08bg4_danre__wt</v>
      </c>
      <c r="B302" s="3" t="s">
        <v>1441</v>
      </c>
      <c r="C302" s="3" t="s">
        <v>100</v>
      </c>
      <c r="D302" s="3" t="str">
        <f>IFERROR(MID(VLOOKUP($B302,Seqs!$A:$B,2,0),E302,1),"")</f>
        <v>K</v>
      </c>
      <c r="E302" s="3">
        <v>26</v>
      </c>
      <c r="F302" s="3" t="str">
        <f>IFERROR(MID(VLOOKUP($B302,Seqs!$A:$B,2,0),G302,1),"")</f>
        <v>S</v>
      </c>
      <c r="G302" s="3">
        <v>55</v>
      </c>
      <c r="H302" s="3" t="str">
        <f>IFERROR(MID(VLOOKUP($B302,Seqs!$A:$B,2,0),I302,1),"")</f>
        <v>L</v>
      </c>
      <c r="I302" s="23">
        <v>56</v>
      </c>
      <c r="J302" s="3" t="str">
        <f>IFERROR(MID(VLOOKUP($B302,Seqs!$A:$B,2,0),K302,1),"")</f>
        <v>R</v>
      </c>
      <c r="K302" s="23">
        <v>59</v>
      </c>
      <c r="L302" s="3" t="str">
        <f>IFERROR(MID(VLOOKUP($B302,Seqs!$A:$B,2,0),M302,1),"")</f>
        <v>N</v>
      </c>
      <c r="M302" s="3">
        <v>60</v>
      </c>
      <c r="N302" s="3" t="str">
        <f>IFERROR(MID(VLOOKUP($B302,Seqs!$A:$B,2,0),O302,1),"")</f>
        <v>Q</v>
      </c>
      <c r="O302" s="3">
        <v>89</v>
      </c>
      <c r="P302" s="3" t="str">
        <f>IFERROR(MID(VLOOKUP($B302,Seqs!$A:$B,2,0),Q302,1),"")</f>
        <v>N</v>
      </c>
      <c r="Q302" s="3">
        <v>91</v>
      </c>
      <c r="R302" s="3" t="str">
        <f>IFERROR(MID(VLOOKUP($B302,Seqs!$A:$B,2,0),S302,1),"")</f>
        <v>F</v>
      </c>
      <c r="S302" s="3">
        <v>94</v>
      </c>
      <c r="T302" s="3" t="str">
        <f>IFERROR(MID(VLOOKUP($B302,Seqs!$A:$B,2,0),U302,1),"")</f>
        <v>G</v>
      </c>
      <c r="U302" s="3">
        <v>95</v>
      </c>
      <c r="V302" s="3" t="str">
        <f>IFERROR(MID(VLOOKUP($B302,Seqs!$A:$B,2,0),W302,1),"")</f>
        <v>Y</v>
      </c>
      <c r="W302" s="3">
        <v>130</v>
      </c>
      <c r="X302" s="3" t="str">
        <f>IFERROR(MID(VLOOKUP($B302,Seqs!$A:$B,2,0),Y302,1),"")</f>
        <v>P</v>
      </c>
      <c r="Y302" s="3">
        <v>131</v>
      </c>
      <c r="Z302" s="3" t="str">
        <f>IFERROR(MID(VLOOKUP($B302,Seqs!$A:$B,2,0),AA302,1),"")</f>
        <v>R</v>
      </c>
      <c r="AA302" s="3">
        <v>138</v>
      </c>
      <c r="AB302" s="3" t="str">
        <f>IFERROR(MID(VLOOKUP($B302,Seqs!$A:$B,2,0),AC302,1),"")</f>
        <v>T</v>
      </c>
      <c r="AC302" s="3">
        <v>139</v>
      </c>
      <c r="AD302" s="3" t="str">
        <f>IFERROR(MID(VLOOKUP($B302,Seqs!$A:$B,2,0),AE302,1),"")</f>
        <v>N</v>
      </c>
      <c r="AE302" s="3">
        <v>166</v>
      </c>
      <c r="AF302" s="3" t="str">
        <f>IFERROR(MID(VLOOKUP($B302,Seqs!$A:$B,2,0),AG302,1),"")</f>
        <v>C</v>
      </c>
      <c r="AG302" s="3">
        <v>178</v>
      </c>
      <c r="AH302" s="3" t="str">
        <f>IFERROR(MID(VLOOKUP($B302,Seqs!$A:$B,2,0),AI302,1),"")</f>
        <v>E</v>
      </c>
      <c r="AI302" s="3">
        <v>180</v>
      </c>
      <c r="AJ302" s="3" t="str">
        <f>IFERROR(MID(VLOOKUP($B302,Seqs!$A:$B,2,0),AK302,1),"")</f>
        <v>W</v>
      </c>
      <c r="AK302" s="3">
        <v>187</v>
      </c>
      <c r="AL302" s="3" t="str">
        <f>IFERROR(MID(VLOOKUP($B302,Seqs!$A:$B,2,0),AM302,1),"")</f>
        <v>P</v>
      </c>
      <c r="AM302" s="3">
        <v>224</v>
      </c>
      <c r="AN302" s="3" t="str">
        <f>IFERROR(MID(VLOOKUP($B302,Seqs!$A:$B,2,0),AO302,1),"")</f>
        <v>R</v>
      </c>
      <c r="AO302" s="3">
        <v>229</v>
      </c>
      <c r="AP302" s="3" t="str">
        <f>IFERROR(MID(VLOOKUP($B302,Seqs!$A:$B,2,0),AQ302,1),"")</f>
        <v>N</v>
      </c>
      <c r="AQ302" s="3">
        <v>269</v>
      </c>
      <c r="AR302" s="3" t="str">
        <f>IFERROR(MID(VLOOKUP($B302,Seqs!$A:$B,2,0),AS302,1),"")</f>
        <v>G</v>
      </c>
      <c r="AS302" s="3">
        <v>273</v>
      </c>
      <c r="AT302" s="3" t="str">
        <f>IFERROR(MID(VLOOKUP($B302,Seqs!$A:$B,2,0),AU302,1),"")</f>
        <v>T</v>
      </c>
      <c r="AU302" s="3">
        <v>305</v>
      </c>
      <c r="AV302" s="3" t="str">
        <f>IFERROR(MID(VLOOKUP($B302,Seqs!$A:$B,2,0),AW302,1),"")</f>
        <v>S</v>
      </c>
      <c r="AW302" s="3">
        <v>306</v>
      </c>
      <c r="AX302" s="3" t="str">
        <f>IFERROR(MID(VLOOKUP($B302,Seqs!$A:$B,2,0),AY302,1),"")</f>
        <v>G</v>
      </c>
      <c r="AY302" s="3">
        <v>320</v>
      </c>
      <c r="AZ302" s="77" t="str">
        <f>VLOOKUP(B302,Classification!A:D,2,0)</f>
        <v>A</v>
      </c>
      <c r="BA302" s="94" t="str">
        <f>VLOOKUP(B302,Classification!A:D,4,0)</f>
        <v>Lysophospholipid(LPA)</v>
      </c>
      <c r="BB302" s="27" t="b">
        <f t="shared" si="1539"/>
        <v>1</v>
      </c>
      <c r="BC302" s="23">
        <f t="shared" si="1540"/>
        <v>270</v>
      </c>
      <c r="BD302" s="2" t="s">
        <v>23</v>
      </c>
      <c r="BE302" s="3" t="s">
        <v>23</v>
      </c>
      <c r="BF302" s="119" t="s">
        <v>23</v>
      </c>
      <c r="BG302" s="49" t="s">
        <v>1</v>
      </c>
      <c r="BH302" s="49" t="s">
        <v>1378</v>
      </c>
      <c r="BI302" s="1"/>
      <c r="BJ302" s="70" t="s">
        <v>1288</v>
      </c>
      <c r="BK302" s="57" t="s">
        <v>1288</v>
      </c>
      <c r="BL302" s="57" t="s">
        <v>1288</v>
      </c>
      <c r="BM302" s="57" t="s">
        <v>1288</v>
      </c>
      <c r="BN302" s="57" t="s">
        <v>1288</v>
      </c>
      <c r="BO302" s="57" t="s">
        <v>1288</v>
      </c>
      <c r="BP302" s="57" t="s">
        <v>1288</v>
      </c>
      <c r="BQ302" s="57" t="s">
        <v>1288</v>
      </c>
      <c r="BR302" s="57" t="s">
        <v>1288</v>
      </c>
      <c r="BS302" s="57" t="s">
        <v>1288</v>
      </c>
      <c r="BT302" s="57" t="s">
        <v>1288</v>
      </c>
      <c r="BU302" s="57" t="s">
        <v>1288</v>
      </c>
      <c r="BV302" s="70">
        <f t="shared" si="1541"/>
        <v>26</v>
      </c>
      <c r="BW302" s="71">
        <f t="shared" si="1542"/>
        <v>56</v>
      </c>
      <c r="BX302" s="72">
        <f t="shared" si="1543"/>
        <v>60</v>
      </c>
      <c r="BY302" s="71">
        <f t="shared" si="1544"/>
        <v>91</v>
      </c>
      <c r="BZ302" s="72">
        <f t="shared" si="1545"/>
        <v>95</v>
      </c>
      <c r="CA302" s="71">
        <f t="shared" si="1546"/>
        <v>131</v>
      </c>
      <c r="CB302" s="72">
        <f t="shared" si="1547"/>
        <v>139</v>
      </c>
      <c r="CC302" s="71">
        <f t="shared" si="1548"/>
        <v>178</v>
      </c>
      <c r="CD302" s="72">
        <f t="shared" si="1549"/>
        <v>187</v>
      </c>
      <c r="CE302" s="71">
        <f t="shared" si="1550"/>
        <v>229</v>
      </c>
      <c r="CF302" s="72">
        <f t="shared" si="1551"/>
        <v>273</v>
      </c>
      <c r="CG302" s="71">
        <f t="shared" si="1552"/>
        <v>306</v>
      </c>
      <c r="CH302" s="70">
        <f t="shared" si="1553"/>
        <v>55</v>
      </c>
      <c r="CI302" s="71">
        <f t="shared" si="1554"/>
        <v>59</v>
      </c>
      <c r="CJ302" s="72">
        <f t="shared" si="1555"/>
        <v>89</v>
      </c>
      <c r="CK302" s="72">
        <f t="shared" si="1556"/>
        <v>94</v>
      </c>
      <c r="CL302" s="72">
        <f t="shared" si="1557"/>
        <v>130</v>
      </c>
      <c r="CM302" s="72">
        <f t="shared" si="1558"/>
        <v>138</v>
      </c>
      <c r="CN302" s="72">
        <f t="shared" si="1559"/>
        <v>166</v>
      </c>
      <c r="CO302" s="72">
        <f t="shared" si="1560"/>
        <v>180</v>
      </c>
      <c r="CP302" s="72">
        <f t="shared" si="1561"/>
        <v>224</v>
      </c>
      <c r="CQ302" s="72">
        <f t="shared" si="1562"/>
        <v>269</v>
      </c>
      <c r="CR302" s="72">
        <f t="shared" si="1563"/>
        <v>305</v>
      </c>
      <c r="CS302" s="72">
        <f t="shared" si="1564"/>
        <v>320</v>
      </c>
      <c r="CT302" s="23">
        <f t="shared" si="1565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 t="shared" si="1538"/>
        <v>q08bg4_danre_5XSZ</v>
      </c>
      <c r="B303" s="3" t="s">
        <v>1441</v>
      </c>
      <c r="C303" s="3" t="s">
        <v>1443</v>
      </c>
      <c r="D303" s="3" t="str">
        <f>IFERROR(MID(VLOOKUP($B303,Seqs!$A:$B,2,0),E303,1),"")</f>
        <v>K</v>
      </c>
      <c r="E303" s="3">
        <v>26</v>
      </c>
      <c r="F303" s="3" t="str">
        <f>IFERROR(MID(VLOOKUP($B303,Seqs!$A:$B,2,0),G303,1),"")</f>
        <v>S</v>
      </c>
      <c r="G303" s="3">
        <v>55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N</v>
      </c>
      <c r="M303" s="3">
        <v>60</v>
      </c>
      <c r="N303" s="3" t="str">
        <f>IFERROR(MID(VLOOKUP($B303,Seqs!$A:$B,2,0),O303,1),"")</f>
        <v>Q</v>
      </c>
      <c r="O303" s="3">
        <v>89</v>
      </c>
      <c r="P303" s="3" t="str">
        <f>IFERROR(MID(VLOOKUP($B303,Seqs!$A:$B,2,0),Q303,1),"")</f>
        <v>N</v>
      </c>
      <c r="Q303" s="3">
        <v>91</v>
      </c>
      <c r="R303" s="3" t="str">
        <f>IFERROR(MID(VLOOKUP($B303,Seqs!$A:$B,2,0),S303,1),"")</f>
        <v>F</v>
      </c>
      <c r="S303" s="3">
        <v>94</v>
      </c>
      <c r="T303" s="3" t="str">
        <f>IFERROR(MID(VLOOKUP($B303,Seqs!$A:$B,2,0),U303,1),"")</f>
        <v>G</v>
      </c>
      <c r="U303" s="3">
        <v>95</v>
      </c>
      <c r="V303" s="3" t="str">
        <f>IFERROR(MID(VLOOKUP($B303,Seqs!$A:$B,2,0),W303,1),"")</f>
        <v>Y</v>
      </c>
      <c r="W303" s="3">
        <v>130</v>
      </c>
      <c r="X303" s="3" t="str">
        <f>IFERROR(MID(VLOOKUP($B303,Seqs!$A:$B,2,0),Y303,1),"")</f>
        <v>P</v>
      </c>
      <c r="Y303" s="3">
        <v>131</v>
      </c>
      <c r="Z303" s="3" t="str">
        <f>IFERROR(MID(VLOOKUP($B303,Seqs!$A:$B,2,0),AA303,1),"")</f>
        <v>R</v>
      </c>
      <c r="AA303" s="3">
        <v>138</v>
      </c>
      <c r="AB303" s="3" t="str">
        <f>IFERROR(MID(VLOOKUP($B303,Seqs!$A:$B,2,0),AC303,1),"")</f>
        <v>T</v>
      </c>
      <c r="AC303" s="3">
        <v>139</v>
      </c>
      <c r="AD303" s="3" t="str">
        <f>IFERROR(MID(VLOOKUP($B303,Seqs!$A:$B,2,0),AE303,1),"")</f>
        <v>N</v>
      </c>
      <c r="AE303" s="3">
        <v>166</v>
      </c>
      <c r="AF303" s="3" t="str">
        <f>IFERROR(MID(VLOOKUP($B303,Seqs!$A:$B,2,0),AG303,1),"")</f>
        <v>C</v>
      </c>
      <c r="AG303" s="3">
        <v>178</v>
      </c>
      <c r="AH303" s="3" t="str">
        <f>IFERROR(MID(VLOOKUP($B303,Seqs!$A:$B,2,0),AI303,1),"")</f>
        <v>F</v>
      </c>
      <c r="AI303" s="3">
        <v>179</v>
      </c>
      <c r="AJ303" s="3" t="str">
        <f>IFERROR(MID(VLOOKUP($B303,Seqs!$A:$B,2,0),AK303,1),"")</f>
        <v>W</v>
      </c>
      <c r="AK303" s="3">
        <v>187</v>
      </c>
      <c r="AL303" s="3" t="str">
        <f>IFERROR(MID(VLOOKUP($B303,Seqs!$A:$B,2,0),AM303,1),"")</f>
        <v>R</v>
      </c>
      <c r="AM303" s="3">
        <v>223</v>
      </c>
      <c r="AN303" s="3" t="str">
        <f>IFERROR(MID(VLOOKUP($B303,Seqs!$A:$B,2,0),AO303,1),"")</f>
        <v>N</v>
      </c>
      <c r="AO303" s="3">
        <v>234</v>
      </c>
      <c r="AP303" s="3" t="str">
        <f>IFERROR(MID(VLOOKUP($B303,Seqs!$A:$B,2,0),AQ303,1),"")</f>
        <v>N</v>
      </c>
      <c r="AQ303" s="3">
        <v>269</v>
      </c>
      <c r="AR303" s="3" t="str">
        <f>IFERROR(MID(VLOOKUP($B303,Seqs!$A:$B,2,0),AS303,1),"")</f>
        <v>G</v>
      </c>
      <c r="AS303" s="3">
        <v>273</v>
      </c>
      <c r="AT303" s="3" t="str">
        <f>IFERROR(MID(VLOOKUP($B303,Seqs!$A:$B,2,0),AU303,1),"")</f>
        <v>T</v>
      </c>
      <c r="AU303" s="3">
        <v>308</v>
      </c>
      <c r="AV303" s="3" t="str">
        <f>IFERROR(MID(VLOOKUP($B303,Seqs!$A:$B,2,0),AW303,1),"")</f>
        <v/>
      </c>
      <c r="AW303" s="3" t="s">
        <v>23</v>
      </c>
      <c r="AX303" s="3" t="str">
        <f>IFERROR(MID(VLOOKUP($B303,Seqs!$A:$B,2,0),AY303,1),"")</f>
        <v/>
      </c>
      <c r="AY303" s="3" t="s">
        <v>23</v>
      </c>
      <c r="AZ303" s="77" t="str">
        <f>VLOOKUP(B303,Classification!A:D,2,0)</f>
        <v>A</v>
      </c>
      <c r="BA303" s="94" t="str">
        <f>VLOOKUP(B303,Classification!A:D,4,0)</f>
        <v>Lysophospholipid(LPA)</v>
      </c>
      <c r="BB303" s="27" t="b">
        <f t="shared" si="1539"/>
        <v>1</v>
      </c>
      <c r="BC303" s="23">
        <f t="shared" si="1540"/>
        <v>249</v>
      </c>
      <c r="BD303" s="2" t="s">
        <v>1376</v>
      </c>
      <c r="BE303" s="3" t="s">
        <v>1292</v>
      </c>
      <c r="BF303" s="119">
        <v>3.2</v>
      </c>
      <c r="BG303" s="49" t="s">
        <v>1</v>
      </c>
      <c r="BH303" s="49" t="s">
        <v>1378</v>
      </c>
      <c r="BI303" s="1"/>
      <c r="BJ303" s="70" t="s">
        <v>1288</v>
      </c>
      <c r="BK303" s="57" t="s">
        <v>1288</v>
      </c>
      <c r="BL303" s="57" t="s">
        <v>1288</v>
      </c>
      <c r="BM303" s="57" t="s">
        <v>1288</v>
      </c>
      <c r="BN303" s="57" t="s">
        <v>1288</v>
      </c>
      <c r="BO303" s="57" t="s">
        <v>1288</v>
      </c>
      <c r="BP303" s="57" t="s">
        <v>1288</v>
      </c>
      <c r="BQ303" s="57" t="s">
        <v>1288</v>
      </c>
      <c r="BR303" s="57" t="s">
        <v>1288</v>
      </c>
      <c r="BS303" s="57" t="s">
        <v>1288</v>
      </c>
      <c r="BT303" s="57" t="s">
        <v>1288</v>
      </c>
      <c r="BU303" s="57" t="s">
        <v>1288</v>
      </c>
      <c r="BV303" s="70">
        <f t="shared" si="1541"/>
        <v>26</v>
      </c>
      <c r="BW303" s="71" t="str">
        <f t="shared" si="1542"/>
        <v>-</v>
      </c>
      <c r="BX303" s="72">
        <f t="shared" si="1543"/>
        <v>60</v>
      </c>
      <c r="BY303" s="71">
        <f t="shared" si="1544"/>
        <v>91</v>
      </c>
      <c r="BZ303" s="72">
        <f t="shared" si="1545"/>
        <v>95</v>
      </c>
      <c r="CA303" s="71">
        <f t="shared" si="1546"/>
        <v>131</v>
      </c>
      <c r="CB303" s="72">
        <f t="shared" si="1547"/>
        <v>139</v>
      </c>
      <c r="CC303" s="71">
        <f t="shared" si="1548"/>
        <v>178</v>
      </c>
      <c r="CD303" s="72">
        <f t="shared" si="1549"/>
        <v>187</v>
      </c>
      <c r="CE303" s="71">
        <f t="shared" si="1550"/>
        <v>234</v>
      </c>
      <c r="CF303" s="72">
        <f t="shared" si="1551"/>
        <v>273</v>
      </c>
      <c r="CG303" s="71" t="str">
        <f t="shared" si="1552"/>
        <v>-</v>
      </c>
      <c r="CH303" s="70">
        <f t="shared" si="1553"/>
        <v>55</v>
      </c>
      <c r="CI303" s="71" t="str">
        <f t="shared" si="1554"/>
        <v>-</v>
      </c>
      <c r="CJ303" s="72">
        <f t="shared" si="1555"/>
        <v>89</v>
      </c>
      <c r="CK303" s="72">
        <f t="shared" si="1556"/>
        <v>94</v>
      </c>
      <c r="CL303" s="72">
        <f t="shared" si="1557"/>
        <v>130</v>
      </c>
      <c r="CM303" s="72">
        <f t="shared" si="1558"/>
        <v>138</v>
      </c>
      <c r="CN303" s="72">
        <f t="shared" si="1559"/>
        <v>166</v>
      </c>
      <c r="CO303" s="72">
        <f t="shared" si="1560"/>
        <v>179</v>
      </c>
      <c r="CP303" s="72">
        <f t="shared" si="1561"/>
        <v>223</v>
      </c>
      <c r="CQ303" s="72">
        <f t="shared" si="1562"/>
        <v>269</v>
      </c>
      <c r="CR303" s="72">
        <f t="shared" si="1563"/>
        <v>308</v>
      </c>
      <c r="CS303" s="72" t="str">
        <f t="shared" si="1564"/>
        <v>-</v>
      </c>
      <c r="CT303" s="23" t="e">
        <f t="shared" si="1565"/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 t="shared" si="1538"/>
        <v>q9wtk1_cavpo__wt</v>
      </c>
      <c r="B304" s="3" t="s">
        <v>1452</v>
      </c>
      <c r="C304" s="3" t="s">
        <v>100</v>
      </c>
      <c r="D304" s="3" t="str">
        <f>IFERROR(MID(VLOOKUP($B304,Seqs!$A:$B,2,0),E304,1),"")</f>
        <v>T</v>
      </c>
      <c r="E304" s="3">
        <v>17</v>
      </c>
      <c r="F304" s="3" t="str">
        <f>IFERROR(MID(VLOOKUP($B304,Seqs!$A:$B,2,0),G304,1),"")</f>
        <v>R</v>
      </c>
      <c r="G304" s="3">
        <v>48</v>
      </c>
      <c r="H304" s="3" t="str">
        <f>IFERROR(MID(VLOOKUP($B304,Seqs!$A:$B,2,0),I304,1),"")</f>
        <v>M</v>
      </c>
      <c r="I304" s="23">
        <v>49</v>
      </c>
      <c r="J304" s="3" t="str">
        <f>IFERROR(MID(VLOOKUP($B304,Seqs!$A:$B,2,0),K304,1),"")</f>
        <v>R</v>
      </c>
      <c r="K304" s="23">
        <v>52</v>
      </c>
      <c r="L304" s="3" t="str">
        <f>IFERROR(MID(VLOOKUP($B304,Seqs!$A:$B,2,0),M304,1),"")</f>
        <v>S</v>
      </c>
      <c r="M304" s="3">
        <v>53</v>
      </c>
      <c r="N304" s="3" t="str">
        <f>IFERROR(MID(VLOOKUP($B304,Seqs!$A:$B,2,0),O304,1),"")</f>
        <v>H</v>
      </c>
      <c r="O304" s="3">
        <v>83</v>
      </c>
      <c r="P304" s="3" t="str">
        <f>IFERROR(MID(VLOOKUP($B304,Seqs!$A:$B,2,0),Q304,1),"")</f>
        <v>T</v>
      </c>
      <c r="Q304" s="3">
        <v>84</v>
      </c>
      <c r="R304" s="3" t="str">
        <f>IFERROR(MID(VLOOKUP($B304,Seqs!$A:$B,2,0),S304,1),"")</f>
        <v>F</v>
      </c>
      <c r="S304" s="3">
        <v>87</v>
      </c>
      <c r="T304" s="3" t="str">
        <f>IFERROR(MID(VLOOKUP($B304,Seqs!$A:$B,2,0),U304,1),"")</f>
        <v>K</v>
      </c>
      <c r="U304" s="3">
        <v>88</v>
      </c>
      <c r="V304" s="3" t="str">
        <f>IFERROR(MID(VLOOKUP($B304,Seqs!$A:$B,2,0),W304,1),"")</f>
        <v>S</v>
      </c>
      <c r="W304" s="3">
        <v>123</v>
      </c>
      <c r="X304" s="3" t="str">
        <f>IFERROR(MID(VLOOKUP($B304,Seqs!$A:$B,2,0),Y304,1),"")</f>
        <v>P</v>
      </c>
      <c r="Y304" s="3">
        <v>124</v>
      </c>
      <c r="Z304" s="3" t="str">
        <f>IFERROR(MID(VLOOKUP($B304,Seqs!$A:$B,2,0),AA304,1),"")</f>
        <v>R</v>
      </c>
      <c r="AA304" s="3">
        <v>131</v>
      </c>
      <c r="AB304" s="3" t="str">
        <f>IFERROR(MID(VLOOKUP($B304,Seqs!$A:$B,2,0),AC304,1),"")</f>
        <v>T</v>
      </c>
      <c r="AC304" s="3">
        <v>132</v>
      </c>
      <c r="AD304" s="3" t="str">
        <f>IFERROR(MID(VLOOKUP($B304,Seqs!$A:$B,2,0),AE304,1),"")</f>
        <v>R</v>
      </c>
      <c r="AE304" s="3">
        <v>158</v>
      </c>
      <c r="AF304" s="3" t="str">
        <f>IFERROR(MID(VLOOKUP($B304,Seqs!$A:$B,2,0),AG304,1),"")</f>
        <v>C</v>
      </c>
      <c r="AG304" s="3">
        <v>170</v>
      </c>
      <c r="AH304" s="3" t="str">
        <f>IFERROR(MID(VLOOKUP($B304,Seqs!$A:$B,2,0),AI304,1),"")</f>
        <v>A</v>
      </c>
      <c r="AI304" s="3">
        <v>172</v>
      </c>
      <c r="AJ304" s="3" t="str">
        <f>IFERROR(MID(VLOOKUP($B304,Seqs!$A:$B,2,0),AK304,1),"")</f>
        <v>S</v>
      </c>
      <c r="AK304" s="3">
        <v>176</v>
      </c>
      <c r="AL304" s="3" t="str">
        <f>IFERROR(MID(VLOOKUP($B304,Seqs!$A:$B,2,0),AM304,1),"")</f>
        <v>R</v>
      </c>
      <c r="AM304" s="3">
        <v>213</v>
      </c>
      <c r="AN304" s="3" t="str">
        <f>IFERROR(MID(VLOOKUP($B304,Seqs!$A:$B,2,0),AO304,1),"")</f>
        <v>R</v>
      </c>
      <c r="AO304" s="3">
        <v>218</v>
      </c>
      <c r="AP304" s="3" t="str">
        <f>IFERROR(MID(VLOOKUP($B304,Seqs!$A:$B,2,0),AQ304,1),"")</f>
        <v>A</v>
      </c>
      <c r="AQ304" s="3">
        <v>252</v>
      </c>
      <c r="AR304" s="3" t="str">
        <f>IFERROR(MID(VLOOKUP($B304,Seqs!$A:$B,2,0),AS304,1),"")</f>
        <v>L</v>
      </c>
      <c r="AS304" s="3">
        <v>255</v>
      </c>
      <c r="AT304" s="3" t="str">
        <f>IFERROR(MID(VLOOKUP($B304,Seqs!$A:$B,2,0),AU304,1),"")</f>
        <v>A</v>
      </c>
      <c r="AU304" s="3">
        <v>287</v>
      </c>
      <c r="AV304" s="3" t="str">
        <f>IFERROR(MID(VLOOKUP($B304,Seqs!$A:$B,2,0),AW304,1),"")</f>
        <v>G</v>
      </c>
      <c r="AW304" s="3">
        <v>288</v>
      </c>
      <c r="AX304" s="3" t="str">
        <f>IFERROR(MID(VLOOKUP($B304,Seqs!$A:$B,2,0),AY304,1),"")</f>
        <v>K</v>
      </c>
      <c r="AY304" s="3">
        <v>302</v>
      </c>
      <c r="AZ304" s="77" t="str">
        <f>VLOOKUP(B304,Classification!A:D,2,0)</f>
        <v>A</v>
      </c>
      <c r="BA304" s="94" t="str">
        <f>VLOOKUP(B304,Classification!A:D,4,0)</f>
        <v>Leukotriene</v>
      </c>
      <c r="BB304" s="27" t="b">
        <f t="shared" si="1539"/>
        <v>1</v>
      </c>
      <c r="BC304" s="23">
        <f t="shared" si="1540"/>
        <v>266</v>
      </c>
      <c r="BD304" s="2" t="s">
        <v>23</v>
      </c>
      <c r="BE304" s="3" t="s">
        <v>23</v>
      </c>
      <c r="BF304" s="119" t="s">
        <v>23</v>
      </c>
      <c r="BG304" s="49" t="s">
        <v>1</v>
      </c>
      <c r="BH304" s="49" t="s">
        <v>1</v>
      </c>
      <c r="BI304" s="1"/>
      <c r="BJ304" s="70" t="s">
        <v>1288</v>
      </c>
      <c r="BK304" s="57" t="s">
        <v>1288</v>
      </c>
      <c r="BL304" s="57" t="s">
        <v>1288</v>
      </c>
      <c r="BM304" s="57" t="s">
        <v>1288</v>
      </c>
      <c r="BN304" s="57" t="s">
        <v>1288</v>
      </c>
      <c r="BO304" s="57" t="s">
        <v>1288</v>
      </c>
      <c r="BP304" s="57" t="s">
        <v>1288</v>
      </c>
      <c r="BQ304" s="57" t="s">
        <v>1288</v>
      </c>
      <c r="BR304" s="57" t="s">
        <v>1288</v>
      </c>
      <c r="BS304" s="57" t="s">
        <v>1288</v>
      </c>
      <c r="BT304" s="57" t="s">
        <v>1288</v>
      </c>
      <c r="BU304" s="57" t="s">
        <v>1288</v>
      </c>
      <c r="BV304" s="70">
        <f t="shared" si="1541"/>
        <v>17</v>
      </c>
      <c r="BW304" s="71">
        <f t="shared" si="1542"/>
        <v>49</v>
      </c>
      <c r="BX304" s="72">
        <f t="shared" si="1543"/>
        <v>53</v>
      </c>
      <c r="BY304" s="71">
        <f t="shared" si="1544"/>
        <v>84</v>
      </c>
      <c r="BZ304" s="72">
        <f t="shared" si="1545"/>
        <v>88</v>
      </c>
      <c r="CA304" s="71">
        <f t="shared" si="1546"/>
        <v>124</v>
      </c>
      <c r="CB304" s="72">
        <f t="shared" si="1547"/>
        <v>132</v>
      </c>
      <c r="CC304" s="71">
        <f t="shared" si="1548"/>
        <v>170</v>
      </c>
      <c r="CD304" s="72">
        <f t="shared" si="1549"/>
        <v>176</v>
      </c>
      <c r="CE304" s="71">
        <f t="shared" si="1550"/>
        <v>218</v>
      </c>
      <c r="CF304" s="72">
        <f t="shared" si="1551"/>
        <v>255</v>
      </c>
      <c r="CG304" s="71">
        <f t="shared" si="1552"/>
        <v>288</v>
      </c>
      <c r="CH304" s="70">
        <f t="shared" si="1553"/>
        <v>48</v>
      </c>
      <c r="CI304" s="71">
        <f t="shared" si="1554"/>
        <v>52</v>
      </c>
      <c r="CJ304" s="72">
        <f t="shared" si="1555"/>
        <v>83</v>
      </c>
      <c r="CK304" s="72">
        <f t="shared" si="1556"/>
        <v>87</v>
      </c>
      <c r="CL304" s="72">
        <f t="shared" si="1557"/>
        <v>123</v>
      </c>
      <c r="CM304" s="72">
        <f t="shared" si="1558"/>
        <v>131</v>
      </c>
      <c r="CN304" s="72">
        <f t="shared" si="1559"/>
        <v>158</v>
      </c>
      <c r="CO304" s="72">
        <f t="shared" si="1560"/>
        <v>172</v>
      </c>
      <c r="CP304" s="72">
        <f t="shared" si="1561"/>
        <v>213</v>
      </c>
      <c r="CQ304" s="72">
        <f t="shared" si="1562"/>
        <v>252</v>
      </c>
      <c r="CR304" s="72">
        <f t="shared" si="1563"/>
        <v>287</v>
      </c>
      <c r="CS304" s="72">
        <f t="shared" si="1564"/>
        <v>302</v>
      </c>
      <c r="CT304" s="23">
        <f t="shared" si="1565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1538"/>
        <v>q9wtk1_cavpo_5X33</v>
      </c>
      <c r="B305" s="3" t="s">
        <v>1452</v>
      </c>
      <c r="C305" s="3" t="s">
        <v>1453</v>
      </c>
      <c r="D305" s="3" t="str">
        <f>IFERROR(MID(VLOOKUP($B305,Seqs!$A:$B,2,0),E305,1),"")</f>
        <v>T</v>
      </c>
      <c r="E305" s="3">
        <v>17</v>
      </c>
      <c r="F305" s="3" t="str">
        <f>IFERROR(MID(VLOOKUP($B305,Seqs!$A:$B,2,0),G305,1),"")</f>
        <v>R</v>
      </c>
      <c r="G305" s="3">
        <v>48</v>
      </c>
      <c r="H305" s="3" t="str">
        <f>IFERROR(MID(VLOOKUP($B305,Seqs!$A:$B,2,0),I305,1),"")</f>
        <v/>
      </c>
      <c r="I305" s="23" t="s">
        <v>23</v>
      </c>
      <c r="J305" s="3" t="str">
        <f>IFERROR(MID(VLOOKUP($B305,Seqs!$A:$B,2,0),K305,1),"")</f>
        <v/>
      </c>
      <c r="K305" s="23" t="s">
        <v>23</v>
      </c>
      <c r="L305" s="3" t="str">
        <f>IFERROR(MID(VLOOKUP($B305,Seqs!$A:$B,2,0),M305,1),"")</f>
        <v>S</v>
      </c>
      <c r="M305" s="3">
        <v>53</v>
      </c>
      <c r="N305" s="3" t="str">
        <f>IFERROR(MID(VLOOKUP($B305,Seqs!$A:$B,2,0),O305,1),"")</f>
        <v>H</v>
      </c>
      <c r="O305" s="3">
        <v>83</v>
      </c>
      <c r="P305" s="3" t="str">
        <f>IFERROR(MID(VLOOKUP($B305,Seqs!$A:$B,2,0),Q305,1),"")</f>
        <v>T</v>
      </c>
      <c r="Q305" s="3">
        <v>84</v>
      </c>
      <c r="R305" s="3" t="str">
        <f>IFERROR(MID(VLOOKUP($B305,Seqs!$A:$B,2,0),S305,1),"")</f>
        <v>F</v>
      </c>
      <c r="S305" s="3">
        <v>87</v>
      </c>
      <c r="T305" s="3" t="str">
        <f>IFERROR(MID(VLOOKUP($B305,Seqs!$A:$B,2,0),U305,1),"")</f>
        <v>K</v>
      </c>
      <c r="U305" s="3">
        <v>88</v>
      </c>
      <c r="V305" s="3" t="str">
        <f>IFERROR(MID(VLOOKUP($B305,Seqs!$A:$B,2,0),W305,1),"")</f>
        <v>S</v>
      </c>
      <c r="W305" s="3">
        <v>123</v>
      </c>
      <c r="X305" s="3" t="str">
        <f>IFERROR(MID(VLOOKUP($B305,Seqs!$A:$B,2,0),Y305,1),"")</f>
        <v>P</v>
      </c>
      <c r="Y305" s="3">
        <v>124</v>
      </c>
      <c r="Z305" s="3" t="str">
        <f>IFERROR(MID(VLOOKUP($B305,Seqs!$A:$B,2,0),AA305,1),"")</f>
        <v>R</v>
      </c>
      <c r="AA305" s="3">
        <v>131</v>
      </c>
      <c r="AB305" s="3" t="str">
        <f>IFERROR(MID(VLOOKUP($B305,Seqs!$A:$B,2,0),AC305,1),"")</f>
        <v>T</v>
      </c>
      <c r="AC305" s="3">
        <v>132</v>
      </c>
      <c r="AD305" s="3" t="str">
        <f>IFERROR(MID(VLOOKUP($B305,Seqs!$A:$B,2,0),AE305,1),"")</f>
        <v>R</v>
      </c>
      <c r="AE305" s="3">
        <v>158</v>
      </c>
      <c r="AF305" s="3" t="str">
        <f>IFERROR(MID(VLOOKUP($B305,Seqs!$A:$B,2,0),AG305,1),"")</f>
        <v>C</v>
      </c>
      <c r="AG305" s="3">
        <v>170</v>
      </c>
      <c r="AH305" s="3" t="str">
        <f>IFERROR(MID(VLOOKUP($B305,Seqs!$A:$B,2,0),AI305,1),"")</f>
        <v>A</v>
      </c>
      <c r="AI305" s="3">
        <v>172</v>
      </c>
      <c r="AJ305" s="3" t="str">
        <f>IFERROR(MID(VLOOKUP($B305,Seqs!$A:$B,2,0),AK305,1),"")</f>
        <v>S</v>
      </c>
      <c r="AK305" s="3">
        <v>176</v>
      </c>
      <c r="AL305" s="3" t="str">
        <f>IFERROR(MID(VLOOKUP($B305,Seqs!$A:$B,2,0),AM305,1),"")</f>
        <v>R</v>
      </c>
      <c r="AM305" s="3">
        <v>213</v>
      </c>
      <c r="AN305" s="3" t="str">
        <f>IFERROR(MID(VLOOKUP($B305,Seqs!$A:$B,2,0),AO305,1),"")</f>
        <v>I</v>
      </c>
      <c r="AO305" s="3">
        <v>227</v>
      </c>
      <c r="AP305" s="3" t="str">
        <f>IFERROR(MID(VLOOKUP($B305,Seqs!$A:$B,2,0),AQ305,1),"")</f>
        <v>R</v>
      </c>
      <c r="AQ305" s="3">
        <v>249</v>
      </c>
      <c r="AR305" s="3" t="str">
        <f>IFERROR(MID(VLOOKUP($B305,Seqs!$A:$B,2,0),AS305,1),"")</f>
        <v>Q</v>
      </c>
      <c r="AS305" s="3">
        <v>261</v>
      </c>
      <c r="AT305" s="3" t="str">
        <f>IFERROR(MID(VLOOKUP($B305,Seqs!$A:$B,2,0),AU305,1),"")</f>
        <v>S</v>
      </c>
      <c r="AU305" s="3">
        <v>278</v>
      </c>
      <c r="AV305" s="3" t="str">
        <f>IFERROR(MID(VLOOKUP($B305,Seqs!$A:$B,2,0),AW305,1),"")</f>
        <v/>
      </c>
      <c r="AW305" s="3" t="s">
        <v>23</v>
      </c>
      <c r="AX305" s="3" t="str">
        <f>IFERROR(MID(VLOOKUP($B305,Seqs!$A:$B,2,0),AY305,1),"")</f>
        <v/>
      </c>
      <c r="AY305" s="3" t="s">
        <v>23</v>
      </c>
      <c r="AZ305" s="77" t="str">
        <f>VLOOKUP(B305,Classification!A:D,2,0)</f>
        <v>A</v>
      </c>
      <c r="BA305" s="94" t="str">
        <f>VLOOKUP(B305,Classification!A:D,4,0)</f>
        <v>Leukotriene</v>
      </c>
      <c r="BB305" s="27" t="b">
        <f t="shared" si="1539"/>
        <v>1</v>
      </c>
      <c r="BC305" s="23">
        <f t="shared" si="1540"/>
        <v>222</v>
      </c>
      <c r="BD305" s="2" t="s">
        <v>1377</v>
      </c>
      <c r="BE305" s="3" t="s">
        <v>1375</v>
      </c>
      <c r="BF305" s="119">
        <v>3.7</v>
      </c>
      <c r="BG305" s="49" t="s">
        <v>1</v>
      </c>
      <c r="BH305" s="49" t="s">
        <v>1378</v>
      </c>
      <c r="BI305" s="1"/>
      <c r="BJ305" s="70" t="s">
        <v>1288</v>
      </c>
      <c r="BK305" s="57" t="s">
        <v>1288</v>
      </c>
      <c r="BL305" s="57" t="s">
        <v>1288</v>
      </c>
      <c r="BM305" s="57" t="s">
        <v>1288</v>
      </c>
      <c r="BN305" s="57" t="s">
        <v>1288</v>
      </c>
      <c r="BO305" s="57" t="s">
        <v>1288</v>
      </c>
      <c r="BP305" s="57" t="s">
        <v>1288</v>
      </c>
      <c r="BQ305" s="57" t="s">
        <v>1288</v>
      </c>
      <c r="BR305" s="57" t="s">
        <v>1288</v>
      </c>
      <c r="BS305" s="57" t="s">
        <v>1288</v>
      </c>
      <c r="BT305" s="57" t="s">
        <v>1288</v>
      </c>
      <c r="BU305" s="57" t="s">
        <v>1288</v>
      </c>
      <c r="BV305" s="70">
        <f t="shared" si="1541"/>
        <v>17</v>
      </c>
      <c r="BW305" s="71" t="str">
        <f t="shared" si="1542"/>
        <v>-</v>
      </c>
      <c r="BX305" s="72">
        <f t="shared" si="1543"/>
        <v>53</v>
      </c>
      <c r="BY305" s="71">
        <f t="shared" si="1544"/>
        <v>84</v>
      </c>
      <c r="BZ305" s="72">
        <f t="shared" si="1545"/>
        <v>88</v>
      </c>
      <c r="CA305" s="71">
        <f t="shared" si="1546"/>
        <v>124</v>
      </c>
      <c r="CB305" s="72">
        <f t="shared" si="1547"/>
        <v>132</v>
      </c>
      <c r="CC305" s="71">
        <f t="shared" si="1548"/>
        <v>170</v>
      </c>
      <c r="CD305" s="72">
        <f t="shared" si="1549"/>
        <v>176</v>
      </c>
      <c r="CE305" s="71">
        <f t="shared" si="1550"/>
        <v>227</v>
      </c>
      <c r="CF305" s="72">
        <f t="shared" si="1551"/>
        <v>261</v>
      </c>
      <c r="CG305" s="71" t="str">
        <f t="shared" si="1552"/>
        <v>-</v>
      </c>
      <c r="CH305" s="70">
        <f t="shared" si="1553"/>
        <v>48</v>
      </c>
      <c r="CI305" s="71" t="str">
        <f t="shared" si="1554"/>
        <v>-</v>
      </c>
      <c r="CJ305" s="72">
        <f t="shared" si="1555"/>
        <v>83</v>
      </c>
      <c r="CK305" s="72">
        <f t="shared" si="1556"/>
        <v>87</v>
      </c>
      <c r="CL305" s="72">
        <f t="shared" si="1557"/>
        <v>123</v>
      </c>
      <c r="CM305" s="72">
        <f t="shared" si="1558"/>
        <v>131</v>
      </c>
      <c r="CN305" s="72">
        <f t="shared" si="1559"/>
        <v>158</v>
      </c>
      <c r="CO305" s="72">
        <f t="shared" si="1560"/>
        <v>172</v>
      </c>
      <c r="CP305" s="72">
        <f t="shared" si="1561"/>
        <v>213</v>
      </c>
      <c r="CQ305" s="72">
        <f t="shared" si="1562"/>
        <v>249</v>
      </c>
      <c r="CR305" s="72">
        <f t="shared" si="1563"/>
        <v>278</v>
      </c>
      <c r="CS305" s="72" t="str">
        <f t="shared" si="1564"/>
        <v>-</v>
      </c>
      <c r="CT305" s="23" t="e">
        <f t="shared" si="1565"/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480"/>
        <v>s1pr1_human__wt</v>
      </c>
      <c r="B306" s="3" t="s">
        <v>104</v>
      </c>
      <c r="C306" s="3" t="s">
        <v>100</v>
      </c>
      <c r="D306" s="3" t="str">
        <f>IFERROR(MID(VLOOKUP($B306,Seqs!$A:$B,2,0),E306,1),"")</f>
        <v>E</v>
      </c>
      <c r="E306" s="3">
        <v>42</v>
      </c>
      <c r="F306" s="3" t="str">
        <f>IFERROR(MID(VLOOKUP($B306,Seqs!$A:$B,2,0),G306,1),"")</f>
        <v>T</v>
      </c>
      <c r="G306" s="3">
        <v>73</v>
      </c>
      <c r="H306" s="3" t="str">
        <f>IFERROR(MID(VLOOKUP($B306,Seqs!$A:$B,2,0),I306,1),"")</f>
        <v>K</v>
      </c>
      <c r="I306" s="23">
        <v>74</v>
      </c>
      <c r="J306" s="3" t="str">
        <f>IFERROR(MID(VLOOKUP($B306,Seqs!$A:$B,2,0),K306,1),"")</f>
        <v>H</v>
      </c>
      <c r="K306" s="23">
        <v>77</v>
      </c>
      <c r="L306" s="3" t="str">
        <f>IFERROR(MID(VLOOKUP($B306,Seqs!$A:$B,2,0),M306,1),"")</f>
        <v>R</v>
      </c>
      <c r="M306" s="3">
        <v>78</v>
      </c>
      <c r="N306" s="3" t="str">
        <f>IFERROR(MID(VLOOKUP($B306,Seqs!$A:$B,2,0),O306,1),"")</f>
        <v>L</v>
      </c>
      <c r="O306" s="3">
        <v>104</v>
      </c>
      <c r="P306" s="3" t="str">
        <f>IFERROR(MID(VLOOKUP($B306,Seqs!$A:$B,2,0),Q306,1),"")</f>
        <v>G</v>
      </c>
      <c r="Q306" s="3">
        <v>106</v>
      </c>
      <c r="R306" s="3" t="str">
        <f>IFERROR(MID(VLOOKUP($B306,Seqs!$A:$B,2,0),S306,1),"")</f>
        <v>L</v>
      </c>
      <c r="S306" s="3">
        <v>112</v>
      </c>
      <c r="T306" s="3" t="str">
        <f>IFERROR(MID(VLOOKUP($B306,Seqs!$A:$B,2,0),U306,1),"")</f>
        <v>T</v>
      </c>
      <c r="U306" s="3">
        <v>113</v>
      </c>
      <c r="V306" s="3" t="str">
        <f>IFERROR(MID(VLOOKUP($B306,Seqs!$A:$B,2,0),W306,1),"")</f>
        <v>K</v>
      </c>
      <c r="W306" s="105">
        <v>148</v>
      </c>
      <c r="X306" s="3" t="str">
        <f>IFERROR(MID(VLOOKUP($B306,Seqs!$A:$B,2,0),Y306,1),"")</f>
        <v>M</v>
      </c>
      <c r="Y306" s="105">
        <v>149</v>
      </c>
      <c r="Z306" s="3" t="str">
        <f>IFERROR(MID(VLOOKUP($B306,Seqs!$A:$B,2,0),AA306,1),"")</f>
        <v>S</v>
      </c>
      <c r="AA306" s="105">
        <v>155</v>
      </c>
      <c r="AB306" s="3" t="str">
        <f>IFERROR(MID(VLOOKUP($B306,Seqs!$A:$B,2,0),AC306,1),"")</f>
        <v>N</v>
      </c>
      <c r="AC306" s="105">
        <v>156</v>
      </c>
      <c r="AD306" s="3" t="str">
        <f>IFERROR(MID(VLOOKUP($B306,Seqs!$A:$B,2,0),AE306,1),"")</f>
        <v>G</v>
      </c>
      <c r="AE306" s="3">
        <v>181</v>
      </c>
      <c r="AF306" s="3" t="str">
        <f>IFERROR(MID(VLOOKUP($B306,Seqs!$A:$B,2,0),AG306,1),"")</f>
        <v/>
      </c>
      <c r="AG306" s="3" t="s">
        <v>23</v>
      </c>
      <c r="AH306" s="3" t="str">
        <f>IFERROR(MID(VLOOKUP($B306,Seqs!$A:$B,2,0),AI306,1),"")</f>
        <v/>
      </c>
      <c r="AI306" s="3" t="s">
        <v>23</v>
      </c>
      <c r="AJ306" s="3" t="str">
        <f>IFERROR(MID(VLOOKUP($B306,Seqs!$A:$B,2,0),AK306,1),"")</f>
        <v>H</v>
      </c>
      <c r="AK306" s="3">
        <v>199</v>
      </c>
      <c r="AL306" s="3" t="str">
        <f>IFERROR(MID(VLOOKUP($B306,Seqs!$A:$B,2,0),AM306,1),"")</f>
        <v>T</v>
      </c>
      <c r="AM306" s="3">
        <v>236</v>
      </c>
      <c r="AN306" s="3" t="str">
        <f>IFERROR(MID(VLOOKUP($B306,Seqs!$A:$B,2,0),AO306,1),"")</f>
        <v>S</v>
      </c>
      <c r="AO306" s="3">
        <v>245</v>
      </c>
      <c r="AP306" s="3" t="str">
        <f>IFERROR(MID(VLOOKUP($B306,Seqs!$A:$B,2,0),AQ306,1),"")</f>
        <v>C</v>
      </c>
      <c r="AQ306" s="3">
        <v>282</v>
      </c>
      <c r="AR306" s="3" t="str">
        <f>IFERROR(MID(VLOOKUP($B306,Seqs!$A:$B,2,0),AS306,1),"")</f>
        <v>D</v>
      </c>
      <c r="AS306" s="3">
        <v>288</v>
      </c>
      <c r="AT306" s="3" t="str">
        <f>IFERROR(MID(VLOOKUP($B306,Seqs!$A:$B,2,0),AU306,1),"")</f>
        <v>T</v>
      </c>
      <c r="AU306" s="3">
        <v>314</v>
      </c>
      <c r="AV306" s="3" t="str">
        <f>IFERROR(MID(VLOOKUP($B306,Seqs!$A:$B,2,0),AW306,1),"")</f>
        <v>N</v>
      </c>
      <c r="AW306" s="3">
        <v>315</v>
      </c>
      <c r="AX306" s="3" t="str">
        <f>IFERROR(MID(VLOOKUP($B306,Seqs!$A:$B,2,0),AY306,1),"")</f>
        <v>S</v>
      </c>
      <c r="AY306" s="3">
        <v>327</v>
      </c>
      <c r="AZ306" s="77" t="str">
        <f>VLOOKUP(B306,Classification!A:D,2,0)</f>
        <v>A</v>
      </c>
      <c r="BA306" s="94" t="str">
        <f>VLOOKUP(B306,Classification!A:D,4,0)</f>
        <v>Lysophospholipid(S1P)</v>
      </c>
      <c r="BB306" s="27" t="b">
        <f t="shared" si="1481"/>
        <v>1</v>
      </c>
      <c r="BC306" s="23">
        <f t="shared" si="1454"/>
        <v>256</v>
      </c>
      <c r="BD306" s="56" t="s">
        <v>23</v>
      </c>
      <c r="BE306" s="3" t="s">
        <v>23</v>
      </c>
      <c r="BF306" s="119" t="s">
        <v>23</v>
      </c>
      <c r="BG306" s="49" t="s">
        <v>1373</v>
      </c>
      <c r="BH306" s="49" t="s">
        <v>1378</v>
      </c>
      <c r="BI306" s="1"/>
      <c r="BJ306" s="70" t="s">
        <v>1288</v>
      </c>
      <c r="BK306" s="57" t="s">
        <v>1288</v>
      </c>
      <c r="BL306" s="57" t="s">
        <v>1288</v>
      </c>
      <c r="BM306" s="57" t="s">
        <v>1288</v>
      </c>
      <c r="BN306" s="57" t="s">
        <v>1288</v>
      </c>
      <c r="BO306" s="57" t="s">
        <v>1288</v>
      </c>
      <c r="BP306" s="57" t="s">
        <v>1288</v>
      </c>
      <c r="BQ306" s="57" t="s">
        <v>1288</v>
      </c>
      <c r="BR306" s="57" t="s">
        <v>1288</v>
      </c>
      <c r="BS306" s="57" t="s">
        <v>1288</v>
      </c>
      <c r="BT306" s="57" t="s">
        <v>1288</v>
      </c>
      <c r="BU306" s="57" t="s">
        <v>1288</v>
      </c>
      <c r="BV306" s="70">
        <f t="shared" si="1455"/>
        <v>42</v>
      </c>
      <c r="BW306" s="71">
        <f t="shared" si="1456"/>
        <v>74</v>
      </c>
      <c r="BX306" s="72">
        <f t="shared" si="1457"/>
        <v>78</v>
      </c>
      <c r="BY306" s="71">
        <f t="shared" si="1458"/>
        <v>106</v>
      </c>
      <c r="BZ306" s="72">
        <f t="shared" si="1459"/>
        <v>113</v>
      </c>
      <c r="CA306" s="71">
        <f t="shared" si="1460"/>
        <v>149</v>
      </c>
      <c r="CB306" s="72">
        <f t="shared" si="1461"/>
        <v>156</v>
      </c>
      <c r="CC306" s="71" t="str">
        <f t="shared" si="1462"/>
        <v>-</v>
      </c>
      <c r="CD306" s="72">
        <f t="shared" si="1463"/>
        <v>199</v>
      </c>
      <c r="CE306" s="71">
        <f t="shared" si="1464"/>
        <v>245</v>
      </c>
      <c r="CF306" s="72">
        <f t="shared" si="1465"/>
        <v>288</v>
      </c>
      <c r="CG306" s="71">
        <f t="shared" si="1466"/>
        <v>315</v>
      </c>
      <c r="CH306" s="70">
        <f t="shared" si="1467"/>
        <v>73</v>
      </c>
      <c r="CI306" s="71">
        <f t="shared" si="1468"/>
        <v>77</v>
      </c>
      <c r="CJ306" s="72">
        <f t="shared" si="1469"/>
        <v>104</v>
      </c>
      <c r="CK306" s="72">
        <f t="shared" si="1470"/>
        <v>112</v>
      </c>
      <c r="CL306" s="72">
        <f t="shared" si="1471"/>
        <v>148</v>
      </c>
      <c r="CM306" s="72">
        <f t="shared" si="1472"/>
        <v>155</v>
      </c>
      <c r="CN306" s="72">
        <f t="shared" si="1473"/>
        <v>181</v>
      </c>
      <c r="CO306" s="72" t="str">
        <f t="shared" si="1474"/>
        <v>-</v>
      </c>
      <c r="CP306" s="72">
        <f t="shared" si="1475"/>
        <v>236</v>
      </c>
      <c r="CQ306" s="72">
        <f t="shared" si="1476"/>
        <v>282</v>
      </c>
      <c r="CR306" s="72">
        <f t="shared" si="1477"/>
        <v>314</v>
      </c>
      <c r="CS306" s="72">
        <f t="shared" si="1478"/>
        <v>327</v>
      </c>
      <c r="CT306" s="23">
        <f t="shared" si="1479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1480"/>
        <v>s1pr1_human_3V2Y</v>
      </c>
      <c r="B307" s="3" t="s">
        <v>104</v>
      </c>
      <c r="C307" s="3" t="s">
        <v>94</v>
      </c>
      <c r="D307" s="3" t="str">
        <f>IFERROR(MID(VLOOKUP($B307,Seqs!$A:$B,2,0),E307,1),"")</f>
        <v>E</v>
      </c>
      <c r="E307" s="3">
        <v>42</v>
      </c>
      <c r="F307" s="3" t="str">
        <f>IFERROR(MID(VLOOKUP($B307,Seqs!$A:$B,2,0),G307,1),"")</f>
        <v>T</v>
      </c>
      <c r="G307" s="3">
        <v>73</v>
      </c>
      <c r="H307" s="3" t="str">
        <f>IFERROR(MID(VLOOKUP($B307,Seqs!$A:$B,2,0),I307,1),"")</f>
        <v>K</v>
      </c>
      <c r="I307" s="23">
        <v>74</v>
      </c>
      <c r="J307" s="3" t="str">
        <f>IFERROR(MID(VLOOKUP($B307,Seqs!$A:$B,2,0),K307,1),"")</f>
        <v>H</v>
      </c>
      <c r="K307" s="23">
        <v>77</v>
      </c>
      <c r="L307" s="3" t="str">
        <f>IFERROR(MID(VLOOKUP($B307,Seqs!$A:$B,2,0),M307,1),"")</f>
        <v>R</v>
      </c>
      <c r="M307" s="3">
        <v>78</v>
      </c>
      <c r="N307" s="3" t="str">
        <f>IFERROR(MID(VLOOKUP($B307,Seqs!$A:$B,2,0),O307,1),"")</f>
        <v>L</v>
      </c>
      <c r="O307" s="3">
        <v>104</v>
      </c>
      <c r="P307" s="3" t="str">
        <f>IFERROR(MID(VLOOKUP($B307,Seqs!$A:$B,2,0),Q307,1),"")</f>
        <v>G</v>
      </c>
      <c r="Q307" s="3">
        <v>106</v>
      </c>
      <c r="R307" s="3" t="str">
        <f>IFERROR(MID(VLOOKUP($B307,Seqs!$A:$B,2,0),S307,1),"")</f>
        <v>L</v>
      </c>
      <c r="S307" s="3">
        <v>112</v>
      </c>
      <c r="T307" s="3" t="str">
        <f>IFERROR(MID(VLOOKUP($B307,Seqs!$A:$B,2,0),U307,1),"")</f>
        <v>T</v>
      </c>
      <c r="U307" s="3">
        <v>113</v>
      </c>
      <c r="V307" s="3" t="str">
        <f>IFERROR(MID(VLOOKUP($B307,Seqs!$A:$B,2,0),W307,1),"")</f>
        <v>T</v>
      </c>
      <c r="W307" s="105">
        <v>145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N</v>
      </c>
      <c r="AC307" s="105">
        <v>156</v>
      </c>
      <c r="AD307" s="3" t="str">
        <f>IFERROR(MID(VLOOKUP($B307,Seqs!$A:$B,2,0),AE307,1),"")</f>
        <v>G</v>
      </c>
      <c r="AE307" s="3">
        <v>181</v>
      </c>
      <c r="AF307" s="3" t="str">
        <f>IFERROR(MID(VLOOKUP($B307,Seqs!$A:$B,2,0),AG307,1),"")</f>
        <v/>
      </c>
      <c r="AG307" s="3" t="s">
        <v>23</v>
      </c>
      <c r="AH307" s="3" t="str">
        <f>IFERROR(MID(VLOOKUP($B307,Seqs!$A:$B,2,0),AI307,1),"")</f>
        <v/>
      </c>
      <c r="AI307" s="3" t="s">
        <v>23</v>
      </c>
      <c r="AJ307" s="3" t="str">
        <f>IFERROR(MID(VLOOKUP($B307,Seqs!$A:$B,2,0),AK307,1),"")</f>
        <v>H</v>
      </c>
      <c r="AK307" s="3">
        <v>199</v>
      </c>
      <c r="AL307" s="3" t="str">
        <f>IFERROR(MID(VLOOKUP($B307,Seqs!$A:$B,2,0),AM307,1),"")</f>
        <v>R</v>
      </c>
      <c r="AM307" s="3">
        <v>231</v>
      </c>
      <c r="AN307" s="3" t="str">
        <f>IFERROR(MID(VLOOKUP($B307,Seqs!$A:$B,2,0),AO307,1),"")</f>
        <v>S</v>
      </c>
      <c r="AO307" s="3">
        <v>251</v>
      </c>
      <c r="AP307" s="3" t="str">
        <f>IFERROR(MID(VLOOKUP($B307,Seqs!$A:$B,2,0),AQ307,1),"")</f>
        <v>C</v>
      </c>
      <c r="AQ307" s="3">
        <v>282</v>
      </c>
      <c r="AR307" s="3" t="str">
        <f>IFERROR(MID(VLOOKUP($B307,Seqs!$A:$B,2,0),AS307,1),"")</f>
        <v>D</v>
      </c>
      <c r="AS307" s="3">
        <v>288</v>
      </c>
      <c r="AT307" s="3" t="str">
        <f>IFERROR(MID(VLOOKUP($B307,Seqs!$A:$B,2,0),AU307,1),"")</f>
        <v>T</v>
      </c>
      <c r="AU307" s="3">
        <v>314</v>
      </c>
      <c r="AV307" s="3" t="str">
        <f>IFERROR(MID(VLOOKUP($B307,Seqs!$A:$B,2,0),AW307,1),"")</f>
        <v>N</v>
      </c>
      <c r="AW307" s="3">
        <v>315</v>
      </c>
      <c r="AX307" s="3" t="str">
        <f>IFERROR(MID(VLOOKUP($B307,Seqs!$A:$B,2,0),AY307,1),"")</f>
        <v>I</v>
      </c>
      <c r="AY307" s="3">
        <v>323</v>
      </c>
      <c r="AZ307" s="77" t="str">
        <f>VLOOKUP(B307,Classification!A:D,2,0)</f>
        <v>A</v>
      </c>
      <c r="BA307" s="94" t="str">
        <f>VLOOKUP(B307,Classification!A:D,4,0)</f>
        <v>Lysophospholipid(S1P)</v>
      </c>
      <c r="BB307" s="27" t="b">
        <f t="shared" si="1481"/>
        <v>1</v>
      </c>
      <c r="BC307" s="23">
        <f t="shared" si="1454"/>
        <v>232</v>
      </c>
      <c r="BD307" s="2" t="s">
        <v>1377</v>
      </c>
      <c r="BE307" s="3" t="s">
        <v>1375</v>
      </c>
      <c r="BF307" s="119">
        <v>2.8</v>
      </c>
      <c r="BG307" s="49" t="s">
        <v>1378</v>
      </c>
      <c r="BH307" s="49" t="s">
        <v>1378</v>
      </c>
      <c r="BI307" s="1"/>
      <c r="BJ307" s="70" t="s">
        <v>1288</v>
      </c>
      <c r="BK307" s="57" t="s">
        <v>1288</v>
      </c>
      <c r="BL307" s="57" t="s">
        <v>1288</v>
      </c>
      <c r="BM307" s="57" t="s">
        <v>1288</v>
      </c>
      <c r="BN307" s="57" t="s">
        <v>1288</v>
      </c>
      <c r="BO307" s="57" t="s">
        <v>1288</v>
      </c>
      <c r="BP307" s="57" t="s">
        <v>1288</v>
      </c>
      <c r="BQ307" s="57" t="s">
        <v>1288</v>
      </c>
      <c r="BR307" s="57" t="s">
        <v>1288</v>
      </c>
      <c r="BS307" s="57" t="s">
        <v>1288</v>
      </c>
      <c r="BT307" s="57" t="s">
        <v>1288</v>
      </c>
      <c r="BU307" s="57" t="s">
        <v>1288</v>
      </c>
      <c r="BV307" s="70">
        <f t="shared" si="1455"/>
        <v>42</v>
      </c>
      <c r="BW307" s="71">
        <f t="shared" si="1456"/>
        <v>74</v>
      </c>
      <c r="BX307" s="72">
        <f t="shared" si="1457"/>
        <v>78</v>
      </c>
      <c r="BY307" s="71">
        <f t="shared" si="1458"/>
        <v>106</v>
      </c>
      <c r="BZ307" s="72">
        <f t="shared" si="1459"/>
        <v>113</v>
      </c>
      <c r="CA307" s="71" t="str">
        <f t="shared" si="1460"/>
        <v>-</v>
      </c>
      <c r="CB307" s="72">
        <f t="shared" si="1461"/>
        <v>156</v>
      </c>
      <c r="CC307" s="71" t="str">
        <f t="shared" si="1462"/>
        <v>-</v>
      </c>
      <c r="CD307" s="72">
        <f t="shared" si="1463"/>
        <v>199</v>
      </c>
      <c r="CE307" s="71">
        <f t="shared" si="1464"/>
        <v>251</v>
      </c>
      <c r="CF307" s="72">
        <f t="shared" si="1465"/>
        <v>288</v>
      </c>
      <c r="CG307" s="71">
        <f t="shared" si="1466"/>
        <v>315</v>
      </c>
      <c r="CH307" s="70">
        <f t="shared" si="1467"/>
        <v>73</v>
      </c>
      <c r="CI307" s="71">
        <f t="shared" si="1468"/>
        <v>77</v>
      </c>
      <c r="CJ307" s="72">
        <f t="shared" si="1469"/>
        <v>104</v>
      </c>
      <c r="CK307" s="72">
        <f t="shared" si="1470"/>
        <v>112</v>
      </c>
      <c r="CL307" s="72">
        <f t="shared" si="1471"/>
        <v>145</v>
      </c>
      <c r="CM307" s="72" t="str">
        <f t="shared" si="1472"/>
        <v>-</v>
      </c>
      <c r="CN307" s="72">
        <f t="shared" si="1473"/>
        <v>181</v>
      </c>
      <c r="CO307" s="72" t="str">
        <f t="shared" si="1474"/>
        <v>-</v>
      </c>
      <c r="CP307" s="72">
        <f t="shared" si="1475"/>
        <v>231</v>
      </c>
      <c r="CQ307" s="72">
        <f t="shared" si="1476"/>
        <v>282</v>
      </c>
      <c r="CR307" s="72">
        <f t="shared" si="1477"/>
        <v>314</v>
      </c>
      <c r="CS307" s="72">
        <f t="shared" si="1478"/>
        <v>323</v>
      </c>
      <c r="CT307" s="23">
        <f t="shared" si="1479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1480"/>
        <v>us28_hcmva__wt</v>
      </c>
      <c r="B308" s="3" t="s">
        <v>924</v>
      </c>
      <c r="C308" s="3" t="s">
        <v>100</v>
      </c>
      <c r="D308" s="3" t="str">
        <f>IFERROR(MID(VLOOKUP($B308,Seqs!$A:$B,2,0),E308,1),"")</f>
        <v>F</v>
      </c>
      <c r="E308" s="105">
        <v>25</v>
      </c>
      <c r="F308" s="3" t="str">
        <f>IFERROR(MID(VLOOKUP($B308,Seqs!$A:$B,2,0),G308,1),"")</f>
        <v>R</v>
      </c>
      <c r="G308" s="3">
        <v>61</v>
      </c>
      <c r="H308" s="3" t="str">
        <f>IFERROR(MID(VLOOKUP($B308,Seqs!$A:$B,2,0),I308,1),"")</f>
        <v>R</v>
      </c>
      <c r="I308" s="23">
        <v>62</v>
      </c>
      <c r="J308" s="3" t="str">
        <f>IFERROR(MID(VLOOKUP($B308,Seqs!$A:$B,2,0),K308,1),"")</f>
        <v>Q</v>
      </c>
      <c r="K308" s="23">
        <v>65</v>
      </c>
      <c r="L308" s="3" t="str">
        <f>IFERROR(MID(VLOOKUP($B308,Seqs!$A:$B,2,0),M308,1),"")</f>
        <v>C</v>
      </c>
      <c r="M308" s="3">
        <v>66</v>
      </c>
      <c r="N308" s="3" t="str">
        <f>IFERROR(MID(VLOOKUP($B308,Seqs!$A:$B,2,0),O308,1),"")</f>
        <v>D</v>
      </c>
      <c r="O308" s="3">
        <v>95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A</v>
      </c>
      <c r="U308" s="105">
        <v>100</v>
      </c>
      <c r="V308" s="3" t="str">
        <f>IFERROR(MID(VLOOKUP($B308,Seqs!$A:$B,2,0),W308,1),"")</f>
        <v>V</v>
      </c>
      <c r="W308" s="105">
        <v>134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P</v>
      </c>
      <c r="AC308" s="9">
        <v>140</v>
      </c>
      <c r="AD308" s="3" t="str">
        <f>IFERROR(MID(VLOOKUP($B308,Seqs!$A:$B,2,0),AE308,1),"")</f>
        <v>M</v>
      </c>
      <c r="AE308" s="105">
        <v>164</v>
      </c>
      <c r="AF308" s="3" t="str">
        <f>IFERROR(MID(VLOOKUP($B308,Seqs!$A:$B,2,0),AG308,1),"")</f>
        <v>C</v>
      </c>
      <c r="AG308" s="3">
        <v>173</v>
      </c>
      <c r="AH308" s="3" t="str">
        <f>IFERROR(MID(VLOOKUP($B308,Seqs!$A:$B,2,0),AI308,1),"")</f>
        <v>T</v>
      </c>
      <c r="AI308" s="3">
        <v>175</v>
      </c>
      <c r="AJ308" s="3" t="str">
        <f>IFERROR(MID(VLOOKUP($B308,Seqs!$A:$B,2,0),AK308,1),"")</f>
        <v>S</v>
      </c>
      <c r="AK308" s="105">
        <v>183</v>
      </c>
      <c r="AL308" s="3" t="str">
        <f>IFERROR(MID(VLOOKUP($B308,Seqs!$A:$B,2,0),AM308,1),"")</f>
        <v>S</v>
      </c>
      <c r="AM308" s="3">
        <v>218</v>
      </c>
      <c r="AN308" s="3" t="str">
        <f>IFERROR(MID(VLOOKUP($B308,Seqs!$A:$B,2,0),AO308,1),"")</f>
        <v>H</v>
      </c>
      <c r="AO308" s="3">
        <v>222</v>
      </c>
      <c r="AP308" s="3" t="str">
        <f>IFERROR(MID(VLOOKUP($B308,Seqs!$A:$B,2,0),AQ308,1),"")</f>
        <v>K</v>
      </c>
      <c r="AQ308" s="3">
        <v>257</v>
      </c>
      <c r="AR308" s="3" t="str">
        <f>IFERROR(MID(VLOOKUP($B308,Seqs!$A:$B,2,0),AS308,1),"")</f>
        <v>S</v>
      </c>
      <c r="AS308" s="3">
        <v>262</v>
      </c>
      <c r="AT308" s="3" t="str">
        <f>IFERROR(MID(VLOOKUP($B308,Seqs!$A:$B,2,0),AU308,1),"")</f>
        <v>V</v>
      </c>
      <c r="AU308" s="3">
        <v>294</v>
      </c>
      <c r="AV308" s="3" t="str">
        <f>IFERROR(MID(VLOOKUP($B308,Seqs!$A:$B,2,0),AW308,1),"")</f>
        <v>G</v>
      </c>
      <c r="AW308" s="3">
        <v>295</v>
      </c>
      <c r="AX308" s="3" t="str">
        <f>IFERROR(MID(VLOOKUP($B308,Seqs!$A:$B,2,0),AY308,1),"")</f>
        <v>R</v>
      </c>
      <c r="AY308" s="3">
        <v>310</v>
      </c>
      <c r="AZ308" s="77" t="str">
        <f>VLOOKUP(B308,Classification!A:D,2,0)</f>
        <v>A</v>
      </c>
      <c r="BA308" s="94" t="str">
        <f>VLOOKUP(B308,Classification!A:D,4,0)</f>
        <v>Chemokine</v>
      </c>
      <c r="BB308" s="27" t="b">
        <f t="shared" si="1481"/>
        <v>1</v>
      </c>
      <c r="BC308" s="23">
        <f t="shared" si="1454"/>
        <v>257</v>
      </c>
      <c r="BD308" s="56" t="s">
        <v>23</v>
      </c>
      <c r="BE308" s="3" t="s">
        <v>23</v>
      </c>
      <c r="BF308" s="119" t="s">
        <v>23</v>
      </c>
      <c r="BG308" s="49" t="s">
        <v>1373</v>
      </c>
      <c r="BH308" s="49" t="s">
        <v>1378</v>
      </c>
      <c r="BI308" s="1"/>
      <c r="BJ308" s="70" t="s">
        <v>1288</v>
      </c>
      <c r="BK308" s="57" t="s">
        <v>1288</v>
      </c>
      <c r="BL308" s="57" t="s">
        <v>1288</v>
      </c>
      <c r="BM308" s="57" t="s">
        <v>1288</v>
      </c>
      <c r="BN308" s="57" t="s">
        <v>1288</v>
      </c>
      <c r="BO308" s="57" t="s">
        <v>1288</v>
      </c>
      <c r="BP308" s="57" t="s">
        <v>1288</v>
      </c>
      <c r="BQ308" s="57" t="s">
        <v>1288</v>
      </c>
      <c r="BR308" s="57" t="s">
        <v>1288</v>
      </c>
      <c r="BS308" s="57" t="s">
        <v>1288</v>
      </c>
      <c r="BT308" s="57" t="s">
        <v>1288</v>
      </c>
      <c r="BU308" s="57" t="s">
        <v>1288</v>
      </c>
      <c r="BV308" s="70">
        <f t="shared" si="1455"/>
        <v>25</v>
      </c>
      <c r="BW308" s="71">
        <f t="shared" si="1456"/>
        <v>62</v>
      </c>
      <c r="BX308" s="72">
        <f t="shared" si="1457"/>
        <v>66</v>
      </c>
      <c r="BY308" s="71" t="str">
        <f t="shared" si="1458"/>
        <v>-</v>
      </c>
      <c r="BZ308" s="72">
        <f t="shared" si="1459"/>
        <v>100</v>
      </c>
      <c r="CA308" s="71" t="str">
        <f t="shared" si="1460"/>
        <v>-</v>
      </c>
      <c r="CB308" s="72">
        <f t="shared" si="1461"/>
        <v>140</v>
      </c>
      <c r="CC308" s="71">
        <f t="shared" si="1462"/>
        <v>173</v>
      </c>
      <c r="CD308" s="72">
        <f t="shared" si="1463"/>
        <v>183</v>
      </c>
      <c r="CE308" s="71">
        <f t="shared" si="1464"/>
        <v>222</v>
      </c>
      <c r="CF308" s="72">
        <f t="shared" si="1465"/>
        <v>262</v>
      </c>
      <c r="CG308" s="71">
        <f t="shared" si="1466"/>
        <v>295</v>
      </c>
      <c r="CH308" s="70">
        <f t="shared" si="1467"/>
        <v>61</v>
      </c>
      <c r="CI308" s="71">
        <f t="shared" si="1468"/>
        <v>65</v>
      </c>
      <c r="CJ308" s="72">
        <f t="shared" si="1469"/>
        <v>95</v>
      </c>
      <c r="CK308" s="72" t="str">
        <f t="shared" si="1470"/>
        <v>-</v>
      </c>
      <c r="CL308" s="72">
        <f t="shared" si="1471"/>
        <v>134</v>
      </c>
      <c r="CM308" s="72" t="str">
        <f t="shared" si="1472"/>
        <v>-</v>
      </c>
      <c r="CN308" s="72">
        <f t="shared" si="1473"/>
        <v>164</v>
      </c>
      <c r="CO308" s="72">
        <f t="shared" si="1474"/>
        <v>175</v>
      </c>
      <c r="CP308" s="72">
        <f t="shared" si="1475"/>
        <v>218</v>
      </c>
      <c r="CQ308" s="72">
        <f t="shared" si="1476"/>
        <v>257</v>
      </c>
      <c r="CR308" s="72">
        <f t="shared" si="1477"/>
        <v>294</v>
      </c>
      <c r="CS308" s="72">
        <f t="shared" si="1478"/>
        <v>310</v>
      </c>
      <c r="CT308" s="23">
        <f t="shared" si="1479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1480"/>
        <v>us28_hcmva_4XT1</v>
      </c>
      <c r="B309" s="3" t="s">
        <v>924</v>
      </c>
      <c r="C309" s="3" t="s">
        <v>1124</v>
      </c>
      <c r="D309" s="3" t="str">
        <f>IFERROR(MID(VLOOKUP($B309,Seqs!$A:$B,2,0),E309,1),"")</f>
        <v>F</v>
      </c>
      <c r="E309" s="105">
        <v>25</v>
      </c>
      <c r="F309" s="3" t="str">
        <f>IFERROR(MID(VLOOKUP($B309,Seqs!$A:$B,2,0),G309,1),"")</f>
        <v>R</v>
      </c>
      <c r="G309" s="3">
        <v>61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C</v>
      </c>
      <c r="M309" s="3">
        <v>66</v>
      </c>
      <c r="N309" s="3" t="str">
        <f>IFERROR(MID(VLOOKUP($B309,Seqs!$A:$B,2,0),O309,1),"")</f>
        <v>D</v>
      </c>
      <c r="O309" s="3">
        <v>95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P</v>
      </c>
      <c r="U309" s="3">
        <v>103</v>
      </c>
      <c r="V309" s="3" t="str">
        <f>IFERROR(MID(VLOOKUP($B309,Seqs!$A:$B,2,0),W309,1),"")</f>
        <v>V</v>
      </c>
      <c r="W309" s="105">
        <v>134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P</v>
      </c>
      <c r="AC309" s="9">
        <v>140</v>
      </c>
      <c r="AD309" s="3" t="str">
        <f>IFERROR(MID(VLOOKUP($B309,Seqs!$A:$B,2,0),AE309,1),"")</f>
        <v>M</v>
      </c>
      <c r="AE309" s="105">
        <v>164</v>
      </c>
      <c r="AF309" s="3" t="str">
        <f>IFERROR(MID(VLOOKUP($B309,Seqs!$A:$B,2,0),AG309,1),"")</f>
        <v>C</v>
      </c>
      <c r="AG309" s="3">
        <v>173</v>
      </c>
      <c r="AH309" s="3" t="str">
        <f>IFERROR(MID(VLOOKUP($B309,Seqs!$A:$B,2,0),AI309,1),"")</f>
        <v>T</v>
      </c>
      <c r="AI309" s="3">
        <v>175</v>
      </c>
      <c r="AJ309" s="3" t="str">
        <f>IFERROR(MID(VLOOKUP($B309,Seqs!$A:$B,2,0),AK309,1),"")</f>
        <v>S</v>
      </c>
      <c r="AK309" s="105">
        <v>183</v>
      </c>
      <c r="AL309" s="3" t="str">
        <f>IFERROR(MID(VLOOKUP($B309,Seqs!$A:$B,2,0),AM309,1),"")</f>
        <v>S</v>
      </c>
      <c r="AM309" s="3">
        <v>218</v>
      </c>
      <c r="AN309" s="3" t="str">
        <f>IFERROR(MID(VLOOKUP($B309,Seqs!$A:$B,2,0),AO309,1),"")</f>
        <v>H</v>
      </c>
      <c r="AO309" s="3">
        <v>222</v>
      </c>
      <c r="AP309" s="3" t="str">
        <f>IFERROR(MID(VLOOKUP($B309,Seqs!$A:$B,2,0),AQ309,1),"")</f>
        <v>K</v>
      </c>
      <c r="AQ309" s="3">
        <v>257</v>
      </c>
      <c r="AR309" s="3" t="str">
        <f>IFERROR(MID(VLOOKUP($B309,Seqs!$A:$B,2,0),AS309,1),"")</f>
        <v>C</v>
      </c>
      <c r="AS309" s="3">
        <v>263</v>
      </c>
      <c r="AT309" s="3" t="str">
        <f>IFERROR(MID(VLOOKUP($B309,Seqs!$A:$B,2,0),AU309,1),"")</f>
        <v>V</v>
      </c>
      <c r="AU309" s="3">
        <v>294</v>
      </c>
      <c r="AV309" s="3" t="str">
        <f>IFERROR(MID(VLOOKUP($B309,Seqs!$A:$B,2,0),AW309,1),"")</f>
        <v>G</v>
      </c>
      <c r="AW309" s="3">
        <v>295</v>
      </c>
      <c r="AX309" s="3" t="str">
        <f>IFERROR(MID(VLOOKUP($B309,Seqs!$A:$B,2,0),AY309,1),"")</f>
        <v>R</v>
      </c>
      <c r="AY309" s="3">
        <v>310</v>
      </c>
      <c r="AZ309" s="77" t="str">
        <f>VLOOKUP(B309,Classification!A:D,2,0)</f>
        <v>A</v>
      </c>
      <c r="BA309" s="94" t="str">
        <f>VLOOKUP(B309,Classification!A:D,4,0)</f>
        <v>Chemokine</v>
      </c>
      <c r="BB309" s="27" t="b">
        <f t="shared" si="1481"/>
        <v>1</v>
      </c>
      <c r="BC309" s="23">
        <f t="shared" si="1454"/>
        <v>250</v>
      </c>
      <c r="BD309" s="4" t="s">
        <v>1376</v>
      </c>
      <c r="BE309" s="3" t="s">
        <v>1292</v>
      </c>
      <c r="BF309" s="119">
        <v>2.89</v>
      </c>
      <c r="BG309" s="49" t="s">
        <v>1378</v>
      </c>
      <c r="BH309" s="49" t="s">
        <v>1378</v>
      </c>
      <c r="BI309" s="1"/>
      <c r="BJ309" s="70" t="s">
        <v>1288</v>
      </c>
      <c r="BK309" s="57" t="s">
        <v>1288</v>
      </c>
      <c r="BL309" s="57" t="s">
        <v>1288</v>
      </c>
      <c r="BM309" s="57" t="s">
        <v>1288</v>
      </c>
      <c r="BN309" s="57" t="s">
        <v>1288</v>
      </c>
      <c r="BO309" s="57" t="s">
        <v>1288</v>
      </c>
      <c r="BP309" s="57" t="s">
        <v>1288</v>
      </c>
      <c r="BQ309" s="57" t="s">
        <v>1288</v>
      </c>
      <c r="BR309" s="57" t="s">
        <v>1288</v>
      </c>
      <c r="BS309" s="57" t="s">
        <v>1288</v>
      </c>
      <c r="BT309" s="57" t="s">
        <v>1288</v>
      </c>
      <c r="BU309" s="57" t="s">
        <v>1288</v>
      </c>
      <c r="BV309" s="70">
        <f t="shared" si="1455"/>
        <v>25</v>
      </c>
      <c r="BW309" s="71" t="str">
        <f t="shared" si="1456"/>
        <v>-</v>
      </c>
      <c r="BX309" s="72">
        <f t="shared" si="1457"/>
        <v>66</v>
      </c>
      <c r="BY309" s="71" t="str">
        <f t="shared" si="1458"/>
        <v>-</v>
      </c>
      <c r="BZ309" s="72">
        <f t="shared" si="1459"/>
        <v>103</v>
      </c>
      <c r="CA309" s="71" t="str">
        <f t="shared" si="1460"/>
        <v>-</v>
      </c>
      <c r="CB309" s="72">
        <f t="shared" si="1461"/>
        <v>140</v>
      </c>
      <c r="CC309" s="71">
        <f t="shared" si="1462"/>
        <v>173</v>
      </c>
      <c r="CD309" s="72">
        <f t="shared" si="1463"/>
        <v>183</v>
      </c>
      <c r="CE309" s="71">
        <f t="shared" si="1464"/>
        <v>222</v>
      </c>
      <c r="CF309" s="72">
        <f t="shared" si="1465"/>
        <v>263</v>
      </c>
      <c r="CG309" s="71">
        <f t="shared" si="1466"/>
        <v>295</v>
      </c>
      <c r="CH309" s="70">
        <f t="shared" si="1467"/>
        <v>61</v>
      </c>
      <c r="CI309" s="71" t="str">
        <f t="shared" si="1468"/>
        <v>-</v>
      </c>
      <c r="CJ309" s="72">
        <f t="shared" si="1469"/>
        <v>95</v>
      </c>
      <c r="CK309" s="72" t="str">
        <f t="shared" si="1470"/>
        <v>-</v>
      </c>
      <c r="CL309" s="72">
        <f t="shared" si="1471"/>
        <v>134</v>
      </c>
      <c r="CM309" s="72" t="str">
        <f t="shared" si="1472"/>
        <v>-</v>
      </c>
      <c r="CN309" s="72">
        <f t="shared" si="1473"/>
        <v>164</v>
      </c>
      <c r="CO309" s="72">
        <f t="shared" si="1474"/>
        <v>175</v>
      </c>
      <c r="CP309" s="72">
        <f t="shared" si="1475"/>
        <v>218</v>
      </c>
      <c r="CQ309" s="72">
        <f t="shared" si="1476"/>
        <v>257</v>
      </c>
      <c r="CR309" s="72">
        <f t="shared" si="1477"/>
        <v>294</v>
      </c>
      <c r="CS309" s="72">
        <f t="shared" si="1478"/>
        <v>310</v>
      </c>
      <c r="CT309" s="23" t="e">
        <f t="shared" si="1479"/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1480"/>
        <v>us28_hcmva_4XT3</v>
      </c>
      <c r="B310" s="2" t="s">
        <v>924</v>
      </c>
      <c r="C310" s="3" t="s">
        <v>1372</v>
      </c>
      <c r="D310" s="3" t="str">
        <f>IFERROR(MID(VLOOKUP($B310,Seqs!$A:$B,2,0),E310,1),"")</f>
        <v>F</v>
      </c>
      <c r="E310" s="105">
        <v>25</v>
      </c>
      <c r="F310" s="3" t="str">
        <f>IFERROR(MID(VLOOKUP($B310,Seqs!$A:$B,2,0),G310,1),"")</f>
        <v>R</v>
      </c>
      <c r="G310" s="105">
        <v>62</v>
      </c>
      <c r="H310" s="3" t="str">
        <f>IFERROR(MID(VLOOKUP($B310,Seqs!$A:$B,2,0),I310,1),"")</f>
        <v/>
      </c>
      <c r="I310" s="23" t="s">
        <v>23</v>
      </c>
      <c r="J310" s="3" t="str">
        <f>IFERROR(MID(VLOOKUP($B310,Seqs!$A:$B,2,0),K310,1),"")</f>
        <v/>
      </c>
      <c r="K310" s="23" t="s">
        <v>23</v>
      </c>
      <c r="L310" s="3" t="str">
        <f>IFERROR(MID(VLOOKUP($B310,Seqs!$A:$B,2,0),M310,1),"")</f>
        <v>C</v>
      </c>
      <c r="M310" s="3">
        <v>66</v>
      </c>
      <c r="N310" s="3" t="str">
        <f>IFERROR(MID(VLOOKUP($B310,Seqs!$A:$B,2,0),O310,1),"")</f>
        <v>D</v>
      </c>
      <c r="O310" s="3">
        <v>95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P</v>
      </c>
      <c r="U310" s="3">
        <v>103</v>
      </c>
      <c r="V310" s="3" t="str">
        <f>IFERROR(MID(VLOOKUP($B310,Seqs!$A:$B,2,0),W310,1),"")</f>
        <v>V</v>
      </c>
      <c r="W310" s="105">
        <v>134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P</v>
      </c>
      <c r="AC310" s="9">
        <v>140</v>
      </c>
      <c r="AD310" s="3" t="str">
        <f>IFERROR(MID(VLOOKUP($B310,Seqs!$A:$B,2,0),AE310,1),"")</f>
        <v>M</v>
      </c>
      <c r="AE310" s="105">
        <v>164</v>
      </c>
      <c r="AF310" s="3" t="str">
        <f>IFERROR(MID(VLOOKUP($B310,Seqs!$A:$B,2,0),AG310,1),"")</f>
        <v>C</v>
      </c>
      <c r="AG310" s="3">
        <v>173</v>
      </c>
      <c r="AH310" s="3" t="str">
        <f>IFERROR(MID(VLOOKUP($B310,Seqs!$A:$B,2,0),AI310,1),"")</f>
        <v>T</v>
      </c>
      <c r="AI310" s="3">
        <v>175</v>
      </c>
      <c r="AJ310" s="3" t="str">
        <f>IFERROR(MID(VLOOKUP($B310,Seqs!$A:$B,2,0),AK310,1),"")</f>
        <v>S</v>
      </c>
      <c r="AK310" s="105">
        <v>183</v>
      </c>
      <c r="AL310" s="3" t="str">
        <f>IFERROR(MID(VLOOKUP($B310,Seqs!$A:$B,2,0),AM310,1),"")</f>
        <v>S</v>
      </c>
      <c r="AM310" s="3">
        <v>218</v>
      </c>
      <c r="AN310" s="3" t="str">
        <f>IFERROR(MID(VLOOKUP($B310,Seqs!$A:$B,2,0),AO310,1),"")</f>
        <v>H</v>
      </c>
      <c r="AO310" s="3">
        <v>222</v>
      </c>
      <c r="AP310" s="3" t="str">
        <f>IFERROR(MID(VLOOKUP($B310,Seqs!$A:$B,2,0),AQ310,1),"")</f>
        <v>K</v>
      </c>
      <c r="AQ310" s="3">
        <v>257</v>
      </c>
      <c r="AR310" s="3" t="str">
        <f>IFERROR(MID(VLOOKUP($B310,Seqs!$A:$B,2,0),AS310,1),"")</f>
        <v>C</v>
      </c>
      <c r="AS310" s="3">
        <v>263</v>
      </c>
      <c r="AT310" s="3" t="str">
        <f>IFERROR(MID(VLOOKUP($B310,Seqs!$A:$B,2,0),AU310,1),"")</f>
        <v>V</v>
      </c>
      <c r="AU310" s="3">
        <v>294</v>
      </c>
      <c r="AV310" s="3" t="str">
        <f>IFERROR(MID(VLOOKUP($B310,Seqs!$A:$B,2,0),AW310,1),"")</f>
        <v/>
      </c>
      <c r="AW310" s="3" t="s">
        <v>23</v>
      </c>
      <c r="AX310" s="3" t="str">
        <f>IFERROR(MID(VLOOKUP($B310,Seqs!$A:$B,2,0),AY310,1),"")</f>
        <v/>
      </c>
      <c r="AY310" s="3" t="s">
        <v>23</v>
      </c>
      <c r="AZ310" s="77" t="str">
        <f>VLOOKUP(B310,Classification!A:D,2,0)</f>
        <v>A</v>
      </c>
      <c r="BA310" s="94" t="str">
        <f>VLOOKUP(B310,Classification!A:D,4,0)</f>
        <v>Chemokine</v>
      </c>
      <c r="BB310" s="27" t="b">
        <f t="shared" ref="BB310:BB318" si="1734"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23">
        <f t="shared" ref="BC310:BC318" si="1735">_xlfn.AGGREGATE(9,6,CH310:CS310)-_xlfn.AGGREGATE(9,6,BV310:CG310)+12</f>
        <v>236</v>
      </c>
      <c r="BD310" s="4" t="s">
        <v>23</v>
      </c>
      <c r="BE310" s="3" t="s">
        <v>1292</v>
      </c>
      <c r="BF310" s="119">
        <v>3.8</v>
      </c>
      <c r="BG310" s="49" t="s">
        <v>1378</v>
      </c>
      <c r="BH310" s="49" t="s">
        <v>1378</v>
      </c>
      <c r="BI310" s="1"/>
      <c r="BJ310" s="70" t="s">
        <v>1288</v>
      </c>
      <c r="BK310" s="57" t="s">
        <v>1288</v>
      </c>
      <c r="BL310" s="57" t="s">
        <v>1288</v>
      </c>
      <c r="BM310" s="57" t="s">
        <v>1288</v>
      </c>
      <c r="BN310" s="57" t="s">
        <v>1288</v>
      </c>
      <c r="BO310" s="57" t="s">
        <v>1288</v>
      </c>
      <c r="BP310" s="57" t="s">
        <v>1288</v>
      </c>
      <c r="BQ310" s="57" t="s">
        <v>1288</v>
      </c>
      <c r="BR310" s="57" t="s">
        <v>1288</v>
      </c>
      <c r="BS310" s="57" t="s">
        <v>1288</v>
      </c>
      <c r="BT310" s="57" t="s">
        <v>1288</v>
      </c>
      <c r="BU310" s="57" t="s">
        <v>1288</v>
      </c>
      <c r="BV310" s="70">
        <f t="shared" ref="BV310:BV318" si="1736">E310</f>
        <v>25</v>
      </c>
      <c r="BW310" s="71" t="str">
        <f t="shared" ref="BW310:BW318" si="1737">I310</f>
        <v>-</v>
      </c>
      <c r="BX310" s="72">
        <f t="shared" ref="BX310:BX318" si="1738">M310</f>
        <v>66</v>
      </c>
      <c r="BY310" s="71" t="str">
        <f t="shared" ref="BY310:BY318" si="1739">Q310</f>
        <v>-</v>
      </c>
      <c r="BZ310" s="72">
        <f t="shared" ref="BZ310:BZ318" si="1740">U310</f>
        <v>103</v>
      </c>
      <c r="CA310" s="71" t="str">
        <f t="shared" ref="CA310:CA318" si="1741">Y310</f>
        <v>-</v>
      </c>
      <c r="CB310" s="72">
        <f t="shared" ref="CB310:CB318" si="1742">AC310</f>
        <v>140</v>
      </c>
      <c r="CC310" s="71">
        <f t="shared" ref="CC310:CC318" si="1743">AG310</f>
        <v>173</v>
      </c>
      <c r="CD310" s="72">
        <f t="shared" ref="CD310:CD318" si="1744">AK310</f>
        <v>183</v>
      </c>
      <c r="CE310" s="71">
        <f t="shared" ref="CE310:CE318" si="1745">AO310</f>
        <v>222</v>
      </c>
      <c r="CF310" s="72">
        <f t="shared" ref="CF310:CF318" si="1746">AS310</f>
        <v>263</v>
      </c>
      <c r="CG310" s="71" t="str">
        <f t="shared" ref="CG310:CG318" si="1747">AW310</f>
        <v>-</v>
      </c>
      <c r="CH310" s="70">
        <f t="shared" ref="CH310:CH318" si="1748">G310</f>
        <v>62</v>
      </c>
      <c r="CI310" s="71" t="str">
        <f t="shared" ref="CI310:CI318" si="1749">K310</f>
        <v>-</v>
      </c>
      <c r="CJ310" s="72">
        <f t="shared" ref="CJ310:CJ318" si="1750">O310</f>
        <v>95</v>
      </c>
      <c r="CK310" s="72" t="str">
        <f t="shared" ref="CK310:CK318" si="1751">S310</f>
        <v>-</v>
      </c>
      <c r="CL310" s="72">
        <f t="shared" ref="CL310:CL318" si="1752">W310</f>
        <v>134</v>
      </c>
      <c r="CM310" s="72" t="str">
        <f t="shared" ref="CM310:CM318" si="1753">AA310</f>
        <v>-</v>
      </c>
      <c r="CN310" s="72">
        <f t="shared" ref="CN310:CN318" si="1754">AE310</f>
        <v>164</v>
      </c>
      <c r="CO310" s="72">
        <f t="shared" ref="CO310:CO318" si="1755">AI310</f>
        <v>175</v>
      </c>
      <c r="CP310" s="72">
        <f t="shared" ref="CP310:CP318" si="1756">AM310</f>
        <v>218</v>
      </c>
      <c r="CQ310" s="72">
        <f t="shared" ref="CQ310:CQ318" si="1757">AQ310</f>
        <v>257</v>
      </c>
      <c r="CR310" s="72">
        <f t="shared" ref="CR310:CR318" si="1758">AU310</f>
        <v>294</v>
      </c>
      <c r="CS310" s="72" t="str">
        <f t="shared" ref="CS310:CS318" si="1759">AY310</f>
        <v>-</v>
      </c>
      <c r="CT310" s="23" t="e">
        <f t="shared" ref="CT310:CT318" si="1760">M310-K310</f>
        <v>#VALUE!</v>
      </c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  <c r="ND310" s="6"/>
      <c r="NE310" s="6"/>
      <c r="NF310" s="6"/>
      <c r="NG310" s="6"/>
      <c r="NH310" s="6"/>
      <c r="NI310" s="6"/>
      <c r="NJ310" s="6"/>
      <c r="NK310" s="6"/>
      <c r="NL310" s="6"/>
      <c r="NM310" s="6"/>
      <c r="NN310" s="6"/>
      <c r="NO310" s="6"/>
      <c r="NP310" s="6"/>
      <c r="NQ310" s="6"/>
      <c r="NR310" s="6"/>
      <c r="NS310" s="6"/>
      <c r="NT310" s="6"/>
      <c r="NU310" s="6"/>
      <c r="NV310" s="6"/>
      <c r="NW310" s="6"/>
      <c r="NX310" s="6"/>
      <c r="NY310" s="6"/>
      <c r="NZ310" s="6"/>
      <c r="OA310" s="6"/>
      <c r="OB310" s="6"/>
      <c r="OC310" s="6"/>
      <c r="OD310" s="6"/>
      <c r="OE310" s="6"/>
      <c r="OF310" s="6"/>
      <c r="OG310" s="6"/>
      <c r="OH310" s="6"/>
      <c r="OI310" s="6"/>
      <c r="OJ310" s="6"/>
      <c r="OK310" s="6"/>
      <c r="OL310" s="6"/>
      <c r="OM310" s="6"/>
      <c r="ON310" s="6"/>
      <c r="OO310" s="6"/>
      <c r="OP310" s="6"/>
      <c r="OQ310" s="6"/>
      <c r="OR310" s="6"/>
      <c r="OS310" s="6"/>
      <c r="OT310" s="6"/>
      <c r="OU310" s="6"/>
      <c r="OV310" s="6"/>
      <c r="OW310" s="6"/>
      <c r="OX310" s="6"/>
      <c r="OY310" s="6"/>
      <c r="OZ310" s="6"/>
      <c r="PA310" s="6"/>
      <c r="PB310" s="6"/>
      <c r="PC310" s="6"/>
      <c r="PD310" s="6"/>
      <c r="PE310" s="6"/>
      <c r="PF310" s="6"/>
      <c r="PG310" s="6"/>
      <c r="PH310" s="6"/>
      <c r="PI310" s="6"/>
      <c r="PJ310" s="6"/>
      <c r="PK310" s="6"/>
      <c r="PL310" s="6"/>
      <c r="PM310" s="6"/>
      <c r="PN310" s="6"/>
      <c r="PO310" s="6"/>
      <c r="PP310" s="6"/>
      <c r="PQ310" s="6"/>
      <c r="PR310" s="6"/>
      <c r="PS310" s="6"/>
      <c r="PT310" s="6"/>
      <c r="PU310" s="6"/>
      <c r="PV310" s="6"/>
      <c r="PW310" s="6"/>
      <c r="PX310" s="6"/>
      <c r="PY310" s="6"/>
      <c r="PZ310" s="6"/>
      <c r="QA310" s="6"/>
      <c r="QB310" s="6"/>
      <c r="QC310" s="6"/>
      <c r="QD310" s="6"/>
      <c r="QE310" s="6"/>
      <c r="QF310" s="6"/>
      <c r="QG310" s="6"/>
      <c r="QH310" s="6"/>
      <c r="QI310" s="6"/>
      <c r="QJ310" s="6"/>
      <c r="QK310" s="6"/>
      <c r="QL310" s="6"/>
      <c r="QM310" s="6"/>
      <c r="QN310" s="6"/>
      <c r="QO310" s="6"/>
      <c r="QP310" s="6"/>
      <c r="QQ310" s="6"/>
      <c r="QR310" s="6"/>
      <c r="QS310" s="6"/>
      <c r="QT310" s="6"/>
      <c r="QU310" s="6"/>
      <c r="QV310" s="6"/>
      <c r="QW310" s="6"/>
      <c r="QX310" s="6"/>
      <c r="QY310" s="6"/>
      <c r="QZ310" s="6"/>
      <c r="RA310" s="6"/>
      <c r="RB310" s="6"/>
      <c r="RC310" s="6"/>
      <c r="RD310" s="6"/>
      <c r="RE310" s="6"/>
      <c r="RF310" s="6"/>
      <c r="RG310" s="6"/>
      <c r="RH310" s="6"/>
      <c r="RI310" s="6"/>
      <c r="RJ310" s="6"/>
      <c r="RK310" s="6"/>
      <c r="RL310" s="6"/>
      <c r="RM310" s="6"/>
      <c r="RN310" s="6"/>
      <c r="RO310" s="6"/>
      <c r="RP310" s="6"/>
      <c r="RQ310" s="6"/>
      <c r="RR310" s="6"/>
      <c r="RS310" s="6"/>
      <c r="RT310" s="6"/>
      <c r="RU310" s="6"/>
      <c r="RV310" s="6"/>
      <c r="RW310" s="6"/>
      <c r="RX310" s="6"/>
      <c r="RY310" s="6"/>
      <c r="RZ310" s="6"/>
      <c r="SA310" s="6"/>
      <c r="SB310" s="6"/>
      <c r="SC310" s="6"/>
      <c r="SD310" s="6"/>
      <c r="SE310" s="6"/>
      <c r="SF310" s="6"/>
      <c r="SG310" s="6"/>
      <c r="SH310" s="6"/>
      <c r="SI310" s="6"/>
      <c r="SJ310" s="6"/>
      <c r="SK310" s="6"/>
      <c r="SL310" s="6"/>
      <c r="SM310" s="6"/>
      <c r="SN310" s="6"/>
      <c r="SO310" s="6"/>
      <c r="SP310" s="6"/>
      <c r="SQ310" s="6"/>
      <c r="SR310" s="6"/>
      <c r="SS310" s="6"/>
      <c r="ST310" s="6"/>
      <c r="SU310" s="6"/>
      <c r="SV310" s="6"/>
      <c r="SW310" s="6"/>
      <c r="SX310" s="6"/>
      <c r="SY310" s="6"/>
      <c r="SZ310" s="6"/>
      <c r="TA310" s="6"/>
      <c r="TB310" s="6"/>
      <c r="TC310" s="6"/>
      <c r="TD310" s="6"/>
      <c r="TE310" s="6"/>
      <c r="TF310" s="6"/>
      <c r="TG310" s="6"/>
      <c r="TH310" s="6"/>
      <c r="TI310" s="6"/>
      <c r="TJ310" s="6"/>
      <c r="TK310" s="6"/>
      <c r="TL310" s="6"/>
      <c r="TM310" s="6"/>
      <c r="TN310" s="6"/>
      <c r="TO310" s="6"/>
      <c r="TP310" s="6"/>
      <c r="TQ310" s="6"/>
      <c r="TR310" s="6"/>
      <c r="TS310" s="6"/>
      <c r="TT310" s="6"/>
      <c r="TU310" s="6"/>
      <c r="TV310" s="6"/>
      <c r="TW310" s="6"/>
      <c r="TX310" s="6"/>
      <c r="TY310" s="6"/>
      <c r="TZ310" s="6"/>
      <c r="UA310" s="6"/>
      <c r="UB310" s="6"/>
      <c r="UC310" s="6"/>
      <c r="UD310" s="6"/>
      <c r="UE310" s="6"/>
      <c r="UF310" s="6"/>
      <c r="UG310" s="6"/>
      <c r="UH310" s="6"/>
      <c r="UI310" s="6"/>
      <c r="UJ310" s="6"/>
      <c r="UK310" s="6"/>
      <c r="UL310" s="6"/>
      <c r="UM310" s="6"/>
      <c r="UN310" s="6"/>
      <c r="UO310" s="6"/>
      <c r="UP310" s="6"/>
      <c r="UQ310" s="6"/>
      <c r="UR310" s="6"/>
      <c r="US310" s="6"/>
      <c r="UT310" s="6"/>
      <c r="UU310" s="6"/>
      <c r="UV310" s="6"/>
      <c r="UW310" s="6"/>
      <c r="UX310" s="6"/>
      <c r="UY310" s="6"/>
      <c r="UZ310" s="6"/>
      <c r="VA310" s="6"/>
      <c r="VB310" s="6"/>
      <c r="VC310" s="6"/>
      <c r="VD310" s="6"/>
      <c r="VE310" s="6"/>
      <c r="VF310" s="6"/>
      <c r="VG310" s="6"/>
      <c r="VH310" s="6"/>
      <c r="VI310" s="6"/>
      <c r="VJ310" s="6"/>
      <c r="VK310" s="6"/>
      <c r="VL310" s="6"/>
      <c r="VM310" s="6"/>
      <c r="VN310" s="6"/>
      <c r="VO310" s="6"/>
      <c r="VP310" s="6"/>
      <c r="VQ310" s="6"/>
      <c r="VR310" s="6"/>
      <c r="VS310" s="6"/>
      <c r="VT310" s="6"/>
      <c r="VU310" s="6"/>
      <c r="VV310" s="6"/>
      <c r="VW310" s="6"/>
      <c r="VX310" s="6"/>
      <c r="VY310" s="6"/>
      <c r="VZ310" s="6"/>
      <c r="WA310" s="6"/>
      <c r="WB310" s="6"/>
      <c r="WC310" s="6"/>
      <c r="WD310" s="6"/>
      <c r="WE310" s="6"/>
      <c r="WF310" s="6"/>
      <c r="WG310" s="6"/>
      <c r="WH310" s="6"/>
      <c r="WI310" s="6"/>
      <c r="WJ310" s="6"/>
      <c r="WK310" s="6"/>
      <c r="WL310" s="6"/>
      <c r="WM310" s="6"/>
      <c r="WN310" s="6"/>
      <c r="WO310" s="6"/>
      <c r="WP310" s="6"/>
      <c r="WQ310" s="6"/>
      <c r="WR310" s="6"/>
      <c r="WS310" s="6"/>
      <c r="WT310" s="6"/>
      <c r="WU310" s="6"/>
      <c r="WV310" s="6"/>
      <c r="WW310" s="6"/>
      <c r="WX310" s="6"/>
      <c r="WY310" s="6"/>
      <c r="WZ310" s="6"/>
      <c r="XA310" s="6"/>
      <c r="XB310" s="6"/>
      <c r="XC310" s="6"/>
      <c r="XD310" s="6"/>
      <c r="XE310" s="6"/>
      <c r="XF310" s="6"/>
      <c r="XG310" s="6"/>
      <c r="XH310" s="6"/>
      <c r="XI310" s="6"/>
      <c r="XJ310" s="6"/>
      <c r="XK310" s="6"/>
      <c r="XL310" s="6"/>
      <c r="XM310" s="6"/>
      <c r="XN310" s="6"/>
      <c r="XO310" s="6"/>
      <c r="XP310" s="6"/>
      <c r="XQ310" s="6"/>
      <c r="XR310" s="6"/>
      <c r="XS310" s="6"/>
      <c r="XT310" s="6"/>
      <c r="XU310" s="6"/>
      <c r="XV310" s="6"/>
      <c r="XW310" s="6"/>
      <c r="XX310" s="6"/>
      <c r="XY310" s="6"/>
      <c r="XZ310" s="6"/>
      <c r="YA310" s="6"/>
      <c r="YB310" s="6"/>
      <c r="YC310" s="6"/>
      <c r="YD310" s="6"/>
      <c r="YE310" s="6"/>
      <c r="YF310" s="6"/>
      <c r="YG310" s="6"/>
      <c r="YH310" s="6"/>
      <c r="YI310" s="6"/>
      <c r="YJ310" s="6"/>
      <c r="YK310" s="6"/>
      <c r="YL310" s="6"/>
      <c r="YM310" s="6"/>
      <c r="YN310" s="6"/>
      <c r="YO310" s="6"/>
      <c r="YP310" s="6"/>
      <c r="YQ310" s="6"/>
      <c r="YR310" s="6"/>
      <c r="YS310" s="6"/>
      <c r="YT310" s="6"/>
      <c r="YU310" s="6"/>
      <c r="YV310" s="6"/>
      <c r="YW310" s="6"/>
      <c r="YX310" s="6"/>
      <c r="YY310" s="6"/>
      <c r="YZ310" s="6"/>
      <c r="ZA310" s="6"/>
      <c r="ZB310" s="6"/>
      <c r="ZC310" s="6"/>
      <c r="ZD310" s="6"/>
      <c r="ZE310" s="6"/>
      <c r="ZF310" s="6"/>
      <c r="ZG310" s="6"/>
      <c r="ZH310" s="6"/>
      <c r="ZI310" s="6"/>
      <c r="ZJ310" s="6"/>
      <c r="ZK310" s="6"/>
      <c r="ZL310" s="6"/>
      <c r="ZM310" s="6"/>
      <c r="ZN310" s="6"/>
      <c r="ZO310" s="6"/>
      <c r="ZP310" s="6"/>
      <c r="ZQ310" s="6"/>
      <c r="ZR310" s="6"/>
      <c r="ZS310" s="6"/>
      <c r="ZT310" s="6"/>
      <c r="ZU310" s="6"/>
      <c r="ZV310" s="6"/>
      <c r="ZW310" s="6"/>
      <c r="ZX310" s="6"/>
      <c r="ZY310" s="6"/>
      <c r="ZZ310" s="6"/>
      <c r="AAA310" s="6"/>
      <c r="AAB310" s="6"/>
      <c r="AAC310" s="6"/>
      <c r="AAD310" s="6"/>
      <c r="AAE310" s="6"/>
      <c r="AAF310" s="6"/>
      <c r="AAG310" s="6"/>
      <c r="AAH310" s="6"/>
      <c r="AAI310" s="6"/>
      <c r="AAJ310" s="6"/>
      <c r="AAK310" s="6"/>
      <c r="AAL310" s="6"/>
      <c r="AAM310" s="6"/>
      <c r="AAN310" s="6"/>
      <c r="AAO310" s="6"/>
      <c r="AAP310" s="6"/>
      <c r="AAQ310" s="6"/>
      <c r="AAR310" s="6"/>
      <c r="AAS310" s="6"/>
      <c r="AAT310" s="6"/>
      <c r="AAU310" s="6"/>
      <c r="AAV310" s="6"/>
      <c r="AAW310" s="6"/>
      <c r="AAX310" s="6"/>
      <c r="AAY310" s="6"/>
      <c r="AAZ310" s="6"/>
      <c r="ABA310" s="6"/>
      <c r="ABB310" s="6"/>
      <c r="ABC310" s="6"/>
      <c r="ABD310" s="6"/>
      <c r="ABE310" s="6"/>
      <c r="ABF310" s="6"/>
      <c r="ABG310" s="6"/>
      <c r="ABH310" s="6"/>
      <c r="ABI310" s="6"/>
      <c r="ABJ310" s="6"/>
      <c r="ABK310" s="6"/>
      <c r="ABL310" s="6"/>
      <c r="ABM310" s="6"/>
      <c r="ABN310" s="6"/>
      <c r="ABO310" s="6"/>
      <c r="ABP310" s="6"/>
      <c r="ABQ310" s="6"/>
      <c r="ABR310" s="6"/>
      <c r="ABS310" s="6"/>
      <c r="ABT310" s="6"/>
      <c r="ABU310" s="6"/>
      <c r="ABV310" s="6"/>
      <c r="ABW310" s="6"/>
      <c r="ABX310" s="6"/>
      <c r="ABY310" s="6"/>
      <c r="ABZ310" s="6"/>
      <c r="ACA310" s="6"/>
      <c r="ACB310" s="6"/>
      <c r="ACC310" s="6"/>
      <c r="ACD310" s="6"/>
      <c r="ACE310" s="6"/>
      <c r="ACF310" s="6"/>
      <c r="ACG310" s="6"/>
      <c r="ACH310" s="6"/>
      <c r="ACI310" s="6"/>
      <c r="ACJ310" s="6"/>
      <c r="ACK310" s="6"/>
      <c r="ACL310" s="6"/>
      <c r="ACM310" s="6"/>
      <c r="ACN310" s="6"/>
      <c r="ACO310" s="6"/>
      <c r="ACP310" s="6"/>
      <c r="ACQ310" s="6"/>
      <c r="ACR310" s="6"/>
      <c r="ACS310" s="6"/>
      <c r="ACT310" s="6"/>
      <c r="ACU310" s="6"/>
      <c r="ACV310" s="6"/>
      <c r="ACW310" s="6"/>
      <c r="ACX310" s="6"/>
      <c r="ACY310" s="6"/>
      <c r="ACZ310" s="6"/>
      <c r="ADA310" s="6"/>
      <c r="ADB310" s="6"/>
      <c r="ADC310" s="6"/>
      <c r="ADD310" s="6"/>
      <c r="ADE310" s="6"/>
      <c r="ADF310" s="6"/>
      <c r="ADG310" s="6"/>
      <c r="ADH310" s="6"/>
      <c r="ADI310" s="6"/>
      <c r="ADJ310" s="6"/>
      <c r="ADK310" s="6"/>
      <c r="ADL310" s="6"/>
      <c r="ADM310" s="6"/>
      <c r="ADN310" s="6"/>
      <c r="ADO310" s="6"/>
      <c r="ADP310" s="6"/>
      <c r="ADQ310" s="6"/>
      <c r="ADR310" s="6"/>
      <c r="ADS310" s="6"/>
      <c r="ADT310" s="6"/>
      <c r="ADU310" s="6"/>
      <c r="ADV310" s="6"/>
      <c r="ADW310" s="6"/>
      <c r="ADX310" s="6"/>
      <c r="ADY310" s="6"/>
      <c r="ADZ310" s="6"/>
      <c r="AEA310" s="6"/>
      <c r="AEB310" s="6"/>
      <c r="AEC310" s="6"/>
      <c r="AED310" s="6"/>
      <c r="AEE310" s="6"/>
      <c r="AEF310" s="6"/>
      <c r="AEG310" s="6"/>
      <c r="AEH310" s="6"/>
      <c r="AEI310" s="6"/>
      <c r="AEJ310" s="6"/>
      <c r="AEK310" s="6"/>
      <c r="AEL310" s="6"/>
      <c r="AEM310" s="6"/>
      <c r="AEN310" s="6"/>
      <c r="AEO310" s="6"/>
      <c r="AEP310" s="6"/>
      <c r="AEQ310" s="6"/>
      <c r="AER310" s="6"/>
      <c r="AES310" s="6"/>
      <c r="AET310" s="6"/>
      <c r="AEU310" s="6"/>
      <c r="AEV310" s="6"/>
      <c r="AEW310" s="6"/>
      <c r="AEX310" s="6"/>
      <c r="AEY310" s="6"/>
      <c r="AEZ310" s="6"/>
      <c r="AFA310" s="6"/>
      <c r="AFB310" s="6"/>
      <c r="AFC310" s="6"/>
      <c r="AFD310" s="6"/>
      <c r="AFE310" s="6"/>
      <c r="AFF310" s="6"/>
      <c r="AFG310" s="6"/>
      <c r="AFH310" s="6"/>
      <c r="AFI310" s="6"/>
      <c r="AFJ310" s="6"/>
      <c r="AFK310" s="6"/>
      <c r="AFL310" s="6"/>
      <c r="AFM310" s="6"/>
      <c r="AFN310" s="6"/>
      <c r="AFO310" s="6"/>
      <c r="AFP310" s="6"/>
      <c r="AFQ310" s="6"/>
      <c r="AFR310" s="6"/>
      <c r="AFS310" s="6"/>
      <c r="AFT310" s="6"/>
      <c r="AFU310" s="6"/>
      <c r="AFV310" s="6"/>
      <c r="AFW310" s="6"/>
      <c r="AFX310" s="6"/>
      <c r="AFY310" s="6"/>
      <c r="AFZ310" s="6"/>
      <c r="AGA310" s="6"/>
      <c r="AGB310" s="6"/>
      <c r="AGC310" s="6"/>
      <c r="AGD310" s="6"/>
      <c r="AGE310" s="6"/>
      <c r="AGF310" s="6"/>
      <c r="AGG310" s="6"/>
      <c r="AGH310" s="6"/>
      <c r="AGI310" s="6"/>
      <c r="AGJ310" s="6"/>
      <c r="AGK310" s="6"/>
      <c r="AGL310" s="6"/>
      <c r="AGM310" s="6"/>
      <c r="AGN310" s="6"/>
      <c r="AGO310" s="6"/>
      <c r="AGP310" s="6"/>
      <c r="AGQ310" s="6"/>
      <c r="AGR310" s="6"/>
      <c r="AGS310" s="6"/>
      <c r="AGT310" s="6"/>
      <c r="AGU310" s="6"/>
      <c r="AGV310" s="6"/>
      <c r="AGW310" s="6"/>
      <c r="AGX310" s="6"/>
      <c r="AGY310" s="6"/>
      <c r="AGZ310" s="6"/>
      <c r="AHA310" s="6"/>
      <c r="AHB310" s="6"/>
      <c r="AHC310" s="6"/>
      <c r="AHD310" s="6"/>
      <c r="AHE310" s="6"/>
      <c r="AHF310" s="6"/>
      <c r="AHG310" s="6"/>
      <c r="AHH310" s="6"/>
      <c r="AHI310" s="6"/>
      <c r="AHJ310" s="6"/>
      <c r="AHK310" s="6"/>
      <c r="AHL310" s="6"/>
      <c r="AHM310" s="6"/>
      <c r="AHN310" s="6"/>
      <c r="AHO310" s="6"/>
      <c r="AHP310" s="6"/>
      <c r="AHQ310" s="6"/>
      <c r="AHR310" s="6"/>
      <c r="AHS310" s="6"/>
      <c r="AHT310" s="6"/>
      <c r="AHU310" s="6"/>
      <c r="AHV310" s="6"/>
      <c r="AHW310" s="6"/>
      <c r="AHX310" s="6"/>
      <c r="AHY310" s="6"/>
      <c r="AHZ310" s="6"/>
      <c r="AIA310" s="6"/>
      <c r="AIB310" s="6"/>
      <c r="AIC310" s="6"/>
      <c r="AID310" s="6"/>
      <c r="AIE310" s="6"/>
      <c r="AIF310" s="6"/>
      <c r="AIG310" s="6"/>
      <c r="AIH310" s="6"/>
      <c r="AII310" s="6"/>
      <c r="AIJ310" s="6"/>
      <c r="AIK310" s="6"/>
      <c r="AIL310" s="6"/>
      <c r="AIM310" s="6"/>
      <c r="AIN310" s="6"/>
      <c r="AIO310" s="6"/>
      <c r="AIP310" s="6"/>
      <c r="AIQ310" s="6"/>
      <c r="AIR310" s="6"/>
      <c r="AIS310" s="6"/>
      <c r="AIT310" s="6"/>
      <c r="AIU310" s="6"/>
      <c r="AIV310" s="6"/>
      <c r="AIW310" s="6"/>
      <c r="AIX310" s="6"/>
      <c r="AIY310" s="6"/>
      <c r="AIZ310" s="6"/>
      <c r="AJA310" s="6"/>
      <c r="AJB310" s="6"/>
      <c r="AJC310" s="6"/>
      <c r="AJD310" s="6"/>
      <c r="AJE310" s="6"/>
      <c r="AJF310" s="6"/>
      <c r="AJG310" s="6"/>
      <c r="AJH310" s="6"/>
      <c r="AJI310" s="6"/>
      <c r="AJJ310" s="6"/>
      <c r="AJK310" s="6"/>
      <c r="AJL310" s="6"/>
      <c r="AJM310" s="6"/>
      <c r="AJN310" s="6"/>
      <c r="AJO310" s="6"/>
      <c r="AJP310" s="6"/>
      <c r="AJQ310" s="6"/>
      <c r="AJR310" s="6"/>
      <c r="AJS310" s="6"/>
      <c r="AJT310" s="6"/>
      <c r="AJU310" s="6"/>
      <c r="AJV310" s="6"/>
      <c r="AJW310" s="6"/>
      <c r="AJX310" s="6"/>
      <c r="AJY310" s="6"/>
      <c r="AJZ310" s="6"/>
      <c r="AKA310" s="6"/>
      <c r="AKB310" s="6"/>
      <c r="AKC310" s="6"/>
      <c r="AKD310" s="6"/>
      <c r="AKE310" s="6"/>
      <c r="AKF310" s="6"/>
      <c r="AKG310" s="6"/>
      <c r="AKH310" s="6"/>
      <c r="AKI310" s="6"/>
      <c r="AKJ310" s="6"/>
      <c r="AKK310" s="6"/>
      <c r="AKL310" s="6"/>
      <c r="AKM310" s="6"/>
      <c r="AKN310" s="6"/>
      <c r="AKO310" s="6"/>
      <c r="AKP310" s="6"/>
      <c r="AKQ310" s="6"/>
      <c r="AKR310" s="6"/>
      <c r="AKS310" s="6"/>
      <c r="AKT310" s="6"/>
      <c r="AKU310" s="6"/>
      <c r="AKV310" s="6"/>
      <c r="AKW310" s="6"/>
      <c r="AKX310" s="6"/>
      <c r="AKY310" s="6"/>
      <c r="AKZ310" s="6"/>
      <c r="ALA310" s="6"/>
      <c r="ALB310" s="6"/>
      <c r="ALC310" s="6"/>
      <c r="ALD310" s="6"/>
      <c r="ALE310" s="6"/>
      <c r="ALF310" s="6"/>
      <c r="ALG310" s="6"/>
      <c r="ALH310" s="6"/>
      <c r="ALI310" s="6"/>
      <c r="ALJ310" s="6"/>
      <c r="ALK310" s="6"/>
      <c r="ALL310" s="6"/>
      <c r="ALM310" s="6"/>
      <c r="ALN310" s="6"/>
      <c r="ALO310" s="6"/>
      <c r="ALP310" s="6"/>
      <c r="ALQ310" s="6"/>
      <c r="ALR310" s="6"/>
      <c r="ALS310" s="6"/>
      <c r="ALT310" s="6"/>
      <c r="ALU310" s="6"/>
      <c r="ALV310" s="6"/>
      <c r="ALW310" s="6"/>
      <c r="ALX310" s="6"/>
      <c r="ALY310" s="6"/>
      <c r="ALZ310" s="6"/>
      <c r="AMA310" s="6"/>
      <c r="AMB310" s="6"/>
      <c r="AMC310" s="6"/>
      <c r="AMD310" s="6"/>
      <c r="AME310" s="6"/>
      <c r="AMF310" s="6"/>
      <c r="AMG310" s="6"/>
      <c r="AMH310" s="6"/>
      <c r="AMI310" s="6"/>
      <c r="AMJ310" s="6"/>
      <c r="AMK310" s="6"/>
      <c r="AML310" s="6"/>
      <c r="AMM310" s="6"/>
      <c r="AMN310" s="6"/>
      <c r="AMO310" s="6"/>
      <c r="AMP310" s="6"/>
    </row>
    <row r="311" spans="1:1030" x14ac:dyDescent="0.2">
      <c r="A311" s="9" t="str">
        <f t="shared" ref="A311:A321" si="1761">CONCATENATE(B311,"_",C311)</f>
        <v>q80km9_hcmv__wt</v>
      </c>
      <c r="B311" s="40" t="s">
        <v>1508</v>
      </c>
      <c r="C311" s="9" t="s">
        <v>100</v>
      </c>
      <c r="D311" s="9" t="str">
        <f>IFERROR(MID(VLOOKUP($B311,Seqs!$A:$B,2,0),E311,1),"")</f>
        <v>F</v>
      </c>
      <c r="E311" s="9">
        <v>25</v>
      </c>
      <c r="F311" s="9" t="str">
        <f>IFERROR(MID(VLOOKUP($B311,Seqs!$A:$B,2,0),G311,1),"")</f>
        <v>R</v>
      </c>
      <c r="G311" s="9">
        <v>61</v>
      </c>
      <c r="H311" s="9" t="str">
        <f>IFERROR(MID(VLOOKUP($B311,Seqs!$A:$B,2,0),I311,1),"")</f>
        <v>R</v>
      </c>
      <c r="I311" s="109">
        <v>62</v>
      </c>
      <c r="J311" s="9" t="str">
        <f>IFERROR(MID(VLOOKUP($B311,Seqs!$A:$B,2,0),K311,1),"")</f>
        <v>Q</v>
      </c>
      <c r="K311" s="109">
        <v>65</v>
      </c>
      <c r="L311" s="9" t="str">
        <f>IFERROR(MID(VLOOKUP($B311,Seqs!$A:$B,2,0),M311,1),"")</f>
        <v>C</v>
      </c>
      <c r="M311" s="9">
        <v>66</v>
      </c>
      <c r="N311" s="9" t="str">
        <f>IFERROR(MID(VLOOKUP($B311,Seqs!$A:$B,2,0),O311,1),"")</f>
        <v>D</v>
      </c>
      <c r="O311" s="9">
        <v>95</v>
      </c>
      <c r="P311" s="9" t="str">
        <f>IFERROR(MID(VLOOKUP($B311,Seqs!$A:$B,2,0),Q311,1),"")</f>
        <v/>
      </c>
      <c r="Q311" s="9" t="s">
        <v>23</v>
      </c>
      <c r="R311" s="9" t="str">
        <f>IFERROR(MID(VLOOKUP($B311,Seqs!$A:$B,2,0),S311,1),"")</f>
        <v/>
      </c>
      <c r="S311" s="9" t="s">
        <v>23</v>
      </c>
      <c r="T311" s="9" t="str">
        <f>IFERROR(MID(VLOOKUP($B311,Seqs!$A:$B,2,0),U311,1),"")</f>
        <v>A</v>
      </c>
      <c r="U311" s="9">
        <v>100</v>
      </c>
      <c r="V311" s="9" t="str">
        <f>IFERROR(MID(VLOOKUP($B311,Seqs!$A:$B,2,0),W311,1),"")</f>
        <v>V</v>
      </c>
      <c r="W311" s="9">
        <v>134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P</v>
      </c>
      <c r="AC311" s="9">
        <v>140</v>
      </c>
      <c r="AD311" s="9" t="str">
        <f>IFERROR(MID(VLOOKUP($B311,Seqs!$A:$B,2,0),AE311,1),"")</f>
        <v>M</v>
      </c>
      <c r="AE311" s="9">
        <v>164</v>
      </c>
      <c r="AF311" s="9" t="str">
        <f>IFERROR(MID(VLOOKUP($B311,Seqs!$A:$B,2,0),AG311,1),"")</f>
        <v>C</v>
      </c>
      <c r="AG311" s="9">
        <v>173</v>
      </c>
      <c r="AH311" s="9" t="str">
        <f>IFERROR(MID(VLOOKUP($B311,Seqs!$A:$B,2,0),AI311,1),"")</f>
        <v>T</v>
      </c>
      <c r="AI311" s="9">
        <v>175</v>
      </c>
      <c r="AJ311" s="9" t="str">
        <f>IFERROR(MID(VLOOKUP($B311,Seqs!$A:$B,2,0),AK311,1),"")</f>
        <v>S</v>
      </c>
      <c r="AK311" s="9">
        <v>183</v>
      </c>
      <c r="AL311" s="9" t="str">
        <f>IFERROR(MID(VLOOKUP($B311,Seqs!$A:$B,2,0),AM311,1),"")</f>
        <v>S</v>
      </c>
      <c r="AM311" s="9">
        <v>218</v>
      </c>
      <c r="AN311" s="9" t="str">
        <f>IFERROR(MID(VLOOKUP($B311,Seqs!$A:$B,2,0),AO311,1),"")</f>
        <v>H</v>
      </c>
      <c r="AO311" s="9">
        <v>222</v>
      </c>
      <c r="AP311" s="9" t="str">
        <f>IFERROR(MID(VLOOKUP($B311,Seqs!$A:$B,2,0),AQ311,1),"")</f>
        <v>K</v>
      </c>
      <c r="AQ311" s="9">
        <v>257</v>
      </c>
      <c r="AR311" s="9" t="str">
        <f>IFERROR(MID(VLOOKUP($B311,Seqs!$A:$B,2,0),AS311,1),"")</f>
        <v>S</v>
      </c>
      <c r="AS311" s="9">
        <v>262</v>
      </c>
      <c r="AT311" s="9" t="str">
        <f>IFERROR(MID(VLOOKUP($B311,Seqs!$A:$B,2,0),AU311,1),"")</f>
        <v>V</v>
      </c>
      <c r="AU311" s="9">
        <v>294</v>
      </c>
      <c r="AV311" s="9" t="str">
        <f>IFERROR(MID(VLOOKUP($B311,Seqs!$A:$B,2,0),AW311,1),"")</f>
        <v>G</v>
      </c>
      <c r="AW311" s="9">
        <v>295</v>
      </c>
      <c r="AX311" s="9" t="str">
        <f>IFERROR(MID(VLOOKUP($B311,Seqs!$A:$B,2,0),AY311,1),"")</f>
        <v>R</v>
      </c>
      <c r="AY311" s="9">
        <v>310</v>
      </c>
      <c r="AZ311" s="110" t="str">
        <f>VLOOKUP(B311,Classification!A:D,2,0)</f>
        <v>A</v>
      </c>
      <c r="BA311" s="98" t="str">
        <f>VLOOKUP(B311,Classification!A:D,4,0)</f>
        <v>Chemokine</v>
      </c>
      <c r="BB311" s="36" t="b">
        <f t="shared" si="1734"/>
        <v>1</v>
      </c>
      <c r="BC311" s="109">
        <f t="shared" si="1735"/>
        <v>257</v>
      </c>
      <c r="BD311" s="11" t="s">
        <v>23</v>
      </c>
      <c r="BE311" s="9" t="s">
        <v>23</v>
      </c>
      <c r="BF311" s="120" t="s">
        <v>23</v>
      </c>
      <c r="BG311" s="51" t="s">
        <v>1378</v>
      </c>
      <c r="BH311" s="51" t="s">
        <v>1378</v>
      </c>
      <c r="BI311" s="12"/>
      <c r="BJ311" s="111" t="s">
        <v>1288</v>
      </c>
      <c r="BK311" s="112" t="s">
        <v>1288</v>
      </c>
      <c r="BL311" s="112" t="s">
        <v>1288</v>
      </c>
      <c r="BM311" s="112" t="s">
        <v>1288</v>
      </c>
      <c r="BN311" s="112" t="s">
        <v>1288</v>
      </c>
      <c r="BO311" s="112" t="s">
        <v>1288</v>
      </c>
      <c r="BP311" s="112" t="s">
        <v>1288</v>
      </c>
      <c r="BQ311" s="112" t="s">
        <v>1288</v>
      </c>
      <c r="BR311" s="112" t="s">
        <v>1288</v>
      </c>
      <c r="BS311" s="112" t="s">
        <v>1288</v>
      </c>
      <c r="BT311" s="112" t="s">
        <v>1288</v>
      </c>
      <c r="BU311" s="112" t="s">
        <v>1288</v>
      </c>
      <c r="BV311" s="111">
        <f t="shared" si="1736"/>
        <v>25</v>
      </c>
      <c r="BW311" s="113">
        <f t="shared" si="1737"/>
        <v>62</v>
      </c>
      <c r="BX311" s="114">
        <f t="shared" si="1738"/>
        <v>66</v>
      </c>
      <c r="BY311" s="113" t="str">
        <f t="shared" si="1739"/>
        <v>-</v>
      </c>
      <c r="BZ311" s="114">
        <f t="shared" si="1740"/>
        <v>100</v>
      </c>
      <c r="CA311" s="113" t="str">
        <f t="shared" si="1741"/>
        <v>-</v>
      </c>
      <c r="CB311" s="114">
        <f t="shared" si="1742"/>
        <v>140</v>
      </c>
      <c r="CC311" s="113">
        <f t="shared" si="1743"/>
        <v>173</v>
      </c>
      <c r="CD311" s="114">
        <f t="shared" si="1744"/>
        <v>183</v>
      </c>
      <c r="CE311" s="113">
        <f t="shared" si="1745"/>
        <v>222</v>
      </c>
      <c r="CF311" s="114">
        <f t="shared" si="1746"/>
        <v>262</v>
      </c>
      <c r="CG311" s="113">
        <f t="shared" si="1747"/>
        <v>295</v>
      </c>
      <c r="CH311" s="111">
        <f t="shared" si="1748"/>
        <v>61</v>
      </c>
      <c r="CI311" s="113">
        <f t="shared" si="1749"/>
        <v>65</v>
      </c>
      <c r="CJ311" s="114">
        <f t="shared" si="1750"/>
        <v>95</v>
      </c>
      <c r="CK311" s="114" t="str">
        <f t="shared" si="1751"/>
        <v>-</v>
      </c>
      <c r="CL311" s="114">
        <f t="shared" si="1752"/>
        <v>134</v>
      </c>
      <c r="CM311" s="114" t="str">
        <f t="shared" si="1753"/>
        <v>-</v>
      </c>
      <c r="CN311" s="114">
        <f t="shared" si="1754"/>
        <v>164</v>
      </c>
      <c r="CO311" s="114">
        <f t="shared" si="1755"/>
        <v>175</v>
      </c>
      <c r="CP311" s="114">
        <f t="shared" si="1756"/>
        <v>218</v>
      </c>
      <c r="CQ311" s="114">
        <f t="shared" si="1757"/>
        <v>257</v>
      </c>
      <c r="CR311" s="114">
        <f t="shared" si="1758"/>
        <v>294</v>
      </c>
      <c r="CS311" s="114">
        <f t="shared" si="1759"/>
        <v>310</v>
      </c>
      <c r="CT311" s="109">
        <f t="shared" si="1760"/>
        <v>1</v>
      </c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  <c r="ND311" s="6"/>
      <c r="NE311" s="6"/>
      <c r="NF311" s="6"/>
      <c r="NG311" s="6"/>
      <c r="NH311" s="6"/>
      <c r="NI311" s="6"/>
      <c r="NJ311" s="6"/>
      <c r="NK311" s="6"/>
      <c r="NL311" s="6"/>
      <c r="NM311" s="6"/>
      <c r="NN311" s="6"/>
      <c r="NO311" s="6"/>
      <c r="NP311" s="6"/>
      <c r="NQ311" s="6"/>
      <c r="NR311" s="6"/>
      <c r="NS311" s="6"/>
      <c r="NT311" s="6"/>
      <c r="NU311" s="6"/>
      <c r="NV311" s="6"/>
      <c r="NW311" s="6"/>
      <c r="NX311" s="6"/>
      <c r="NY311" s="6"/>
      <c r="NZ311" s="6"/>
      <c r="OA311" s="6"/>
      <c r="OB311" s="6"/>
      <c r="OC311" s="6"/>
      <c r="OD311" s="6"/>
      <c r="OE311" s="6"/>
      <c r="OF311" s="6"/>
      <c r="OG311" s="6"/>
      <c r="OH311" s="6"/>
      <c r="OI311" s="6"/>
      <c r="OJ311" s="6"/>
      <c r="OK311" s="6"/>
      <c r="OL311" s="6"/>
      <c r="OM311" s="6"/>
      <c r="ON311" s="6"/>
      <c r="OO311" s="6"/>
      <c r="OP311" s="6"/>
      <c r="OQ311" s="6"/>
      <c r="OR311" s="6"/>
      <c r="OS311" s="6"/>
      <c r="OT311" s="6"/>
      <c r="OU311" s="6"/>
      <c r="OV311" s="6"/>
      <c r="OW311" s="6"/>
      <c r="OX311" s="6"/>
      <c r="OY311" s="6"/>
      <c r="OZ311" s="6"/>
      <c r="PA311" s="6"/>
      <c r="PB311" s="6"/>
      <c r="PC311" s="6"/>
      <c r="PD311" s="6"/>
      <c r="PE311" s="6"/>
      <c r="PF311" s="6"/>
      <c r="PG311" s="6"/>
      <c r="PH311" s="6"/>
      <c r="PI311" s="6"/>
      <c r="PJ311" s="6"/>
      <c r="PK311" s="6"/>
      <c r="PL311" s="6"/>
      <c r="PM311" s="6"/>
      <c r="PN311" s="6"/>
      <c r="PO311" s="6"/>
      <c r="PP311" s="6"/>
      <c r="PQ311" s="6"/>
      <c r="PR311" s="6"/>
      <c r="PS311" s="6"/>
      <c r="PT311" s="6"/>
      <c r="PU311" s="6"/>
      <c r="PV311" s="6"/>
      <c r="PW311" s="6"/>
      <c r="PX311" s="6"/>
      <c r="PY311" s="6"/>
      <c r="PZ311" s="6"/>
      <c r="QA311" s="6"/>
      <c r="QB311" s="6"/>
      <c r="QC311" s="6"/>
      <c r="QD311" s="6"/>
      <c r="QE311" s="6"/>
      <c r="QF311" s="6"/>
      <c r="QG311" s="6"/>
      <c r="QH311" s="6"/>
      <c r="QI311" s="6"/>
      <c r="QJ311" s="6"/>
      <c r="QK311" s="6"/>
      <c r="QL311" s="6"/>
      <c r="QM311" s="6"/>
      <c r="QN311" s="6"/>
      <c r="QO311" s="6"/>
      <c r="QP311" s="6"/>
      <c r="QQ311" s="6"/>
      <c r="QR311" s="6"/>
      <c r="QS311" s="6"/>
      <c r="QT311" s="6"/>
      <c r="QU311" s="6"/>
      <c r="QV311" s="6"/>
      <c r="QW311" s="6"/>
      <c r="QX311" s="6"/>
      <c r="QY311" s="6"/>
      <c r="QZ311" s="6"/>
      <c r="RA311" s="6"/>
      <c r="RB311" s="6"/>
      <c r="RC311" s="6"/>
      <c r="RD311" s="6"/>
      <c r="RE311" s="6"/>
      <c r="RF311" s="6"/>
      <c r="RG311" s="6"/>
      <c r="RH311" s="6"/>
      <c r="RI311" s="6"/>
      <c r="RJ311" s="6"/>
      <c r="RK311" s="6"/>
      <c r="RL311" s="6"/>
      <c r="RM311" s="6"/>
      <c r="RN311" s="6"/>
      <c r="RO311" s="6"/>
      <c r="RP311" s="6"/>
      <c r="RQ311" s="6"/>
      <c r="RR311" s="6"/>
      <c r="RS311" s="6"/>
      <c r="RT311" s="6"/>
      <c r="RU311" s="6"/>
      <c r="RV311" s="6"/>
      <c r="RW311" s="6"/>
      <c r="RX311" s="6"/>
      <c r="RY311" s="6"/>
      <c r="RZ311" s="6"/>
      <c r="SA311" s="6"/>
      <c r="SB311" s="6"/>
      <c r="SC311" s="6"/>
      <c r="SD311" s="6"/>
      <c r="SE311" s="6"/>
      <c r="SF311" s="6"/>
      <c r="SG311" s="6"/>
      <c r="SH311" s="6"/>
      <c r="SI311" s="6"/>
      <c r="SJ311" s="6"/>
      <c r="SK311" s="6"/>
      <c r="SL311" s="6"/>
      <c r="SM311" s="6"/>
      <c r="SN311" s="6"/>
      <c r="SO311" s="6"/>
      <c r="SP311" s="6"/>
      <c r="SQ311" s="6"/>
      <c r="SR311" s="6"/>
      <c r="SS311" s="6"/>
      <c r="ST311" s="6"/>
      <c r="SU311" s="6"/>
      <c r="SV311" s="6"/>
      <c r="SW311" s="6"/>
      <c r="SX311" s="6"/>
      <c r="SY311" s="6"/>
      <c r="SZ311" s="6"/>
      <c r="TA311" s="6"/>
      <c r="TB311" s="6"/>
      <c r="TC311" s="6"/>
      <c r="TD311" s="6"/>
      <c r="TE311" s="6"/>
      <c r="TF311" s="6"/>
      <c r="TG311" s="6"/>
      <c r="TH311" s="6"/>
      <c r="TI311" s="6"/>
      <c r="TJ311" s="6"/>
      <c r="TK311" s="6"/>
      <c r="TL311" s="6"/>
      <c r="TM311" s="6"/>
      <c r="TN311" s="6"/>
      <c r="TO311" s="6"/>
      <c r="TP311" s="6"/>
      <c r="TQ311" s="6"/>
      <c r="TR311" s="6"/>
      <c r="TS311" s="6"/>
      <c r="TT311" s="6"/>
      <c r="TU311" s="6"/>
      <c r="TV311" s="6"/>
      <c r="TW311" s="6"/>
      <c r="TX311" s="6"/>
      <c r="TY311" s="6"/>
      <c r="TZ311" s="6"/>
      <c r="UA311" s="6"/>
      <c r="UB311" s="6"/>
      <c r="UC311" s="6"/>
      <c r="UD311" s="6"/>
      <c r="UE311" s="6"/>
      <c r="UF311" s="6"/>
      <c r="UG311" s="6"/>
      <c r="UH311" s="6"/>
      <c r="UI311" s="6"/>
      <c r="UJ311" s="6"/>
      <c r="UK311" s="6"/>
      <c r="UL311" s="6"/>
      <c r="UM311" s="6"/>
      <c r="UN311" s="6"/>
      <c r="UO311" s="6"/>
      <c r="UP311" s="6"/>
      <c r="UQ311" s="6"/>
      <c r="UR311" s="6"/>
      <c r="US311" s="6"/>
      <c r="UT311" s="6"/>
      <c r="UU311" s="6"/>
      <c r="UV311" s="6"/>
      <c r="UW311" s="6"/>
      <c r="UX311" s="6"/>
      <c r="UY311" s="6"/>
      <c r="UZ311" s="6"/>
      <c r="VA311" s="6"/>
      <c r="VB311" s="6"/>
      <c r="VC311" s="6"/>
      <c r="VD311" s="6"/>
      <c r="VE311" s="6"/>
      <c r="VF311" s="6"/>
      <c r="VG311" s="6"/>
      <c r="VH311" s="6"/>
      <c r="VI311" s="6"/>
      <c r="VJ311" s="6"/>
      <c r="VK311" s="6"/>
      <c r="VL311" s="6"/>
      <c r="VM311" s="6"/>
      <c r="VN311" s="6"/>
      <c r="VO311" s="6"/>
      <c r="VP311" s="6"/>
      <c r="VQ311" s="6"/>
      <c r="VR311" s="6"/>
      <c r="VS311" s="6"/>
      <c r="VT311" s="6"/>
      <c r="VU311" s="6"/>
      <c r="VV311" s="6"/>
      <c r="VW311" s="6"/>
      <c r="VX311" s="6"/>
      <c r="VY311" s="6"/>
      <c r="VZ311" s="6"/>
      <c r="WA311" s="6"/>
      <c r="WB311" s="6"/>
      <c r="WC311" s="6"/>
      <c r="WD311" s="6"/>
      <c r="WE311" s="6"/>
      <c r="WF311" s="6"/>
      <c r="WG311" s="6"/>
      <c r="WH311" s="6"/>
      <c r="WI311" s="6"/>
      <c r="WJ311" s="6"/>
      <c r="WK311" s="6"/>
      <c r="WL311" s="6"/>
      <c r="WM311" s="6"/>
      <c r="WN311" s="6"/>
      <c r="WO311" s="6"/>
      <c r="WP311" s="6"/>
      <c r="WQ311" s="6"/>
      <c r="WR311" s="6"/>
      <c r="WS311" s="6"/>
      <c r="WT311" s="6"/>
      <c r="WU311" s="6"/>
      <c r="WV311" s="6"/>
      <c r="WW311" s="6"/>
      <c r="WX311" s="6"/>
      <c r="WY311" s="6"/>
      <c r="WZ311" s="6"/>
      <c r="XA311" s="6"/>
      <c r="XB311" s="6"/>
      <c r="XC311" s="6"/>
      <c r="XD311" s="6"/>
      <c r="XE311" s="6"/>
      <c r="XF311" s="6"/>
      <c r="XG311" s="6"/>
      <c r="XH311" s="6"/>
      <c r="XI311" s="6"/>
      <c r="XJ311" s="6"/>
      <c r="XK311" s="6"/>
      <c r="XL311" s="6"/>
      <c r="XM311" s="6"/>
      <c r="XN311" s="6"/>
      <c r="XO311" s="6"/>
      <c r="XP311" s="6"/>
      <c r="XQ311" s="6"/>
      <c r="XR311" s="6"/>
      <c r="XS311" s="6"/>
      <c r="XT311" s="6"/>
      <c r="XU311" s="6"/>
      <c r="XV311" s="6"/>
      <c r="XW311" s="6"/>
      <c r="XX311" s="6"/>
      <c r="XY311" s="6"/>
      <c r="XZ311" s="6"/>
      <c r="YA311" s="6"/>
      <c r="YB311" s="6"/>
      <c r="YC311" s="6"/>
      <c r="YD311" s="6"/>
      <c r="YE311" s="6"/>
      <c r="YF311" s="6"/>
      <c r="YG311" s="6"/>
      <c r="YH311" s="6"/>
      <c r="YI311" s="6"/>
      <c r="YJ311" s="6"/>
      <c r="YK311" s="6"/>
      <c r="YL311" s="6"/>
      <c r="YM311" s="6"/>
      <c r="YN311" s="6"/>
      <c r="YO311" s="6"/>
      <c r="YP311" s="6"/>
      <c r="YQ311" s="6"/>
      <c r="YR311" s="6"/>
      <c r="YS311" s="6"/>
      <c r="YT311" s="6"/>
      <c r="YU311" s="6"/>
      <c r="YV311" s="6"/>
      <c r="YW311" s="6"/>
      <c r="YX311" s="6"/>
      <c r="YY311" s="6"/>
      <c r="YZ311" s="6"/>
      <c r="ZA311" s="6"/>
      <c r="ZB311" s="6"/>
      <c r="ZC311" s="6"/>
      <c r="ZD311" s="6"/>
      <c r="ZE311" s="6"/>
      <c r="ZF311" s="6"/>
      <c r="ZG311" s="6"/>
      <c r="ZH311" s="6"/>
      <c r="ZI311" s="6"/>
      <c r="ZJ311" s="6"/>
      <c r="ZK311" s="6"/>
      <c r="ZL311" s="6"/>
      <c r="ZM311" s="6"/>
      <c r="ZN311" s="6"/>
      <c r="ZO311" s="6"/>
      <c r="ZP311" s="6"/>
      <c r="ZQ311" s="6"/>
      <c r="ZR311" s="6"/>
      <c r="ZS311" s="6"/>
      <c r="ZT311" s="6"/>
      <c r="ZU311" s="6"/>
      <c r="ZV311" s="6"/>
      <c r="ZW311" s="6"/>
      <c r="ZX311" s="6"/>
      <c r="ZY311" s="6"/>
      <c r="ZZ311" s="6"/>
      <c r="AAA311" s="6"/>
      <c r="AAB311" s="6"/>
      <c r="AAC311" s="6"/>
      <c r="AAD311" s="6"/>
      <c r="AAE311" s="6"/>
      <c r="AAF311" s="6"/>
      <c r="AAG311" s="6"/>
      <c r="AAH311" s="6"/>
      <c r="AAI311" s="6"/>
      <c r="AAJ311" s="6"/>
      <c r="AAK311" s="6"/>
      <c r="AAL311" s="6"/>
      <c r="AAM311" s="6"/>
      <c r="AAN311" s="6"/>
      <c r="AAO311" s="6"/>
      <c r="AAP311" s="6"/>
      <c r="AAQ311" s="6"/>
      <c r="AAR311" s="6"/>
      <c r="AAS311" s="6"/>
      <c r="AAT311" s="6"/>
      <c r="AAU311" s="6"/>
      <c r="AAV311" s="6"/>
      <c r="AAW311" s="6"/>
      <c r="AAX311" s="6"/>
      <c r="AAY311" s="6"/>
      <c r="AAZ311" s="6"/>
      <c r="ABA311" s="6"/>
      <c r="ABB311" s="6"/>
      <c r="ABC311" s="6"/>
      <c r="ABD311" s="6"/>
      <c r="ABE311" s="6"/>
      <c r="ABF311" s="6"/>
      <c r="ABG311" s="6"/>
      <c r="ABH311" s="6"/>
      <c r="ABI311" s="6"/>
      <c r="ABJ311" s="6"/>
      <c r="ABK311" s="6"/>
      <c r="ABL311" s="6"/>
      <c r="ABM311" s="6"/>
      <c r="ABN311" s="6"/>
      <c r="ABO311" s="6"/>
      <c r="ABP311" s="6"/>
      <c r="ABQ311" s="6"/>
      <c r="ABR311" s="6"/>
      <c r="ABS311" s="6"/>
      <c r="ABT311" s="6"/>
      <c r="ABU311" s="6"/>
      <c r="ABV311" s="6"/>
      <c r="ABW311" s="6"/>
      <c r="ABX311" s="6"/>
      <c r="ABY311" s="6"/>
      <c r="ABZ311" s="6"/>
      <c r="ACA311" s="6"/>
      <c r="ACB311" s="6"/>
      <c r="ACC311" s="6"/>
      <c r="ACD311" s="6"/>
      <c r="ACE311" s="6"/>
      <c r="ACF311" s="6"/>
      <c r="ACG311" s="6"/>
      <c r="ACH311" s="6"/>
      <c r="ACI311" s="6"/>
      <c r="ACJ311" s="6"/>
      <c r="ACK311" s="6"/>
      <c r="ACL311" s="6"/>
      <c r="ACM311" s="6"/>
      <c r="ACN311" s="6"/>
      <c r="ACO311" s="6"/>
      <c r="ACP311" s="6"/>
      <c r="ACQ311" s="6"/>
      <c r="ACR311" s="6"/>
      <c r="ACS311" s="6"/>
      <c r="ACT311" s="6"/>
      <c r="ACU311" s="6"/>
      <c r="ACV311" s="6"/>
      <c r="ACW311" s="6"/>
      <c r="ACX311" s="6"/>
      <c r="ACY311" s="6"/>
      <c r="ACZ311" s="6"/>
      <c r="ADA311" s="6"/>
      <c r="ADB311" s="6"/>
      <c r="ADC311" s="6"/>
      <c r="ADD311" s="6"/>
      <c r="ADE311" s="6"/>
      <c r="ADF311" s="6"/>
      <c r="ADG311" s="6"/>
      <c r="ADH311" s="6"/>
      <c r="ADI311" s="6"/>
      <c r="ADJ311" s="6"/>
      <c r="ADK311" s="6"/>
      <c r="ADL311" s="6"/>
      <c r="ADM311" s="6"/>
      <c r="ADN311" s="6"/>
      <c r="ADO311" s="6"/>
      <c r="ADP311" s="6"/>
      <c r="ADQ311" s="6"/>
      <c r="ADR311" s="6"/>
      <c r="ADS311" s="6"/>
      <c r="ADT311" s="6"/>
      <c r="ADU311" s="6"/>
      <c r="ADV311" s="6"/>
      <c r="ADW311" s="6"/>
      <c r="ADX311" s="6"/>
      <c r="ADY311" s="6"/>
      <c r="ADZ311" s="6"/>
      <c r="AEA311" s="6"/>
      <c r="AEB311" s="6"/>
      <c r="AEC311" s="6"/>
      <c r="AED311" s="6"/>
      <c r="AEE311" s="6"/>
      <c r="AEF311" s="6"/>
      <c r="AEG311" s="6"/>
      <c r="AEH311" s="6"/>
      <c r="AEI311" s="6"/>
      <c r="AEJ311" s="6"/>
      <c r="AEK311" s="6"/>
      <c r="AEL311" s="6"/>
      <c r="AEM311" s="6"/>
      <c r="AEN311" s="6"/>
      <c r="AEO311" s="6"/>
      <c r="AEP311" s="6"/>
      <c r="AEQ311" s="6"/>
      <c r="AER311" s="6"/>
      <c r="AES311" s="6"/>
      <c r="AET311" s="6"/>
      <c r="AEU311" s="6"/>
      <c r="AEV311" s="6"/>
      <c r="AEW311" s="6"/>
      <c r="AEX311" s="6"/>
      <c r="AEY311" s="6"/>
      <c r="AEZ311" s="6"/>
      <c r="AFA311" s="6"/>
      <c r="AFB311" s="6"/>
      <c r="AFC311" s="6"/>
      <c r="AFD311" s="6"/>
      <c r="AFE311" s="6"/>
      <c r="AFF311" s="6"/>
      <c r="AFG311" s="6"/>
      <c r="AFH311" s="6"/>
      <c r="AFI311" s="6"/>
      <c r="AFJ311" s="6"/>
      <c r="AFK311" s="6"/>
      <c r="AFL311" s="6"/>
      <c r="AFM311" s="6"/>
      <c r="AFN311" s="6"/>
      <c r="AFO311" s="6"/>
      <c r="AFP311" s="6"/>
      <c r="AFQ311" s="6"/>
      <c r="AFR311" s="6"/>
      <c r="AFS311" s="6"/>
      <c r="AFT311" s="6"/>
      <c r="AFU311" s="6"/>
      <c r="AFV311" s="6"/>
      <c r="AFW311" s="6"/>
      <c r="AFX311" s="6"/>
      <c r="AFY311" s="6"/>
      <c r="AFZ311" s="6"/>
      <c r="AGA311" s="6"/>
      <c r="AGB311" s="6"/>
      <c r="AGC311" s="6"/>
      <c r="AGD311" s="6"/>
      <c r="AGE311" s="6"/>
      <c r="AGF311" s="6"/>
      <c r="AGG311" s="6"/>
      <c r="AGH311" s="6"/>
      <c r="AGI311" s="6"/>
      <c r="AGJ311" s="6"/>
      <c r="AGK311" s="6"/>
      <c r="AGL311" s="6"/>
      <c r="AGM311" s="6"/>
      <c r="AGN311" s="6"/>
      <c r="AGO311" s="6"/>
      <c r="AGP311" s="6"/>
      <c r="AGQ311" s="6"/>
      <c r="AGR311" s="6"/>
      <c r="AGS311" s="6"/>
      <c r="AGT311" s="6"/>
      <c r="AGU311" s="6"/>
      <c r="AGV311" s="6"/>
      <c r="AGW311" s="6"/>
      <c r="AGX311" s="6"/>
      <c r="AGY311" s="6"/>
      <c r="AGZ311" s="6"/>
      <c r="AHA311" s="6"/>
      <c r="AHB311" s="6"/>
      <c r="AHC311" s="6"/>
      <c r="AHD311" s="6"/>
      <c r="AHE311" s="6"/>
      <c r="AHF311" s="6"/>
      <c r="AHG311" s="6"/>
      <c r="AHH311" s="6"/>
      <c r="AHI311" s="6"/>
      <c r="AHJ311" s="6"/>
      <c r="AHK311" s="6"/>
      <c r="AHL311" s="6"/>
      <c r="AHM311" s="6"/>
      <c r="AHN311" s="6"/>
      <c r="AHO311" s="6"/>
      <c r="AHP311" s="6"/>
      <c r="AHQ311" s="6"/>
      <c r="AHR311" s="6"/>
      <c r="AHS311" s="6"/>
      <c r="AHT311" s="6"/>
      <c r="AHU311" s="6"/>
      <c r="AHV311" s="6"/>
      <c r="AHW311" s="6"/>
      <c r="AHX311" s="6"/>
      <c r="AHY311" s="6"/>
      <c r="AHZ311" s="6"/>
      <c r="AIA311" s="6"/>
      <c r="AIB311" s="6"/>
      <c r="AIC311" s="6"/>
      <c r="AID311" s="6"/>
      <c r="AIE311" s="6"/>
      <c r="AIF311" s="6"/>
      <c r="AIG311" s="6"/>
      <c r="AIH311" s="6"/>
      <c r="AII311" s="6"/>
      <c r="AIJ311" s="6"/>
      <c r="AIK311" s="6"/>
      <c r="AIL311" s="6"/>
      <c r="AIM311" s="6"/>
      <c r="AIN311" s="6"/>
      <c r="AIO311" s="6"/>
      <c r="AIP311" s="6"/>
      <c r="AIQ311" s="6"/>
      <c r="AIR311" s="6"/>
      <c r="AIS311" s="6"/>
      <c r="AIT311" s="6"/>
      <c r="AIU311" s="6"/>
      <c r="AIV311" s="6"/>
      <c r="AIW311" s="6"/>
      <c r="AIX311" s="6"/>
      <c r="AIY311" s="6"/>
      <c r="AIZ311" s="6"/>
      <c r="AJA311" s="6"/>
      <c r="AJB311" s="6"/>
      <c r="AJC311" s="6"/>
      <c r="AJD311" s="6"/>
      <c r="AJE311" s="6"/>
      <c r="AJF311" s="6"/>
      <c r="AJG311" s="6"/>
      <c r="AJH311" s="6"/>
      <c r="AJI311" s="6"/>
      <c r="AJJ311" s="6"/>
      <c r="AJK311" s="6"/>
      <c r="AJL311" s="6"/>
      <c r="AJM311" s="6"/>
      <c r="AJN311" s="6"/>
      <c r="AJO311" s="6"/>
      <c r="AJP311" s="6"/>
      <c r="AJQ311" s="6"/>
      <c r="AJR311" s="6"/>
      <c r="AJS311" s="6"/>
      <c r="AJT311" s="6"/>
      <c r="AJU311" s="6"/>
      <c r="AJV311" s="6"/>
      <c r="AJW311" s="6"/>
      <c r="AJX311" s="6"/>
      <c r="AJY311" s="6"/>
      <c r="AJZ311" s="6"/>
      <c r="AKA311" s="6"/>
      <c r="AKB311" s="6"/>
      <c r="AKC311" s="6"/>
      <c r="AKD311" s="6"/>
      <c r="AKE311" s="6"/>
      <c r="AKF311" s="6"/>
      <c r="AKG311" s="6"/>
      <c r="AKH311" s="6"/>
      <c r="AKI311" s="6"/>
      <c r="AKJ311" s="6"/>
      <c r="AKK311" s="6"/>
      <c r="AKL311" s="6"/>
      <c r="AKM311" s="6"/>
      <c r="AKN311" s="6"/>
      <c r="AKO311" s="6"/>
      <c r="AKP311" s="6"/>
      <c r="AKQ311" s="6"/>
      <c r="AKR311" s="6"/>
      <c r="AKS311" s="6"/>
      <c r="AKT311" s="6"/>
      <c r="AKU311" s="6"/>
      <c r="AKV311" s="6"/>
      <c r="AKW311" s="6"/>
      <c r="AKX311" s="6"/>
      <c r="AKY311" s="6"/>
      <c r="AKZ311" s="6"/>
      <c r="ALA311" s="6"/>
      <c r="ALB311" s="6"/>
      <c r="ALC311" s="6"/>
      <c r="ALD311" s="6"/>
      <c r="ALE311" s="6"/>
      <c r="ALF311" s="6"/>
      <c r="ALG311" s="6"/>
      <c r="ALH311" s="6"/>
      <c r="ALI311" s="6"/>
      <c r="ALJ311" s="6"/>
      <c r="ALK311" s="6"/>
      <c r="ALL311" s="6"/>
      <c r="ALM311" s="6"/>
      <c r="ALN311" s="6"/>
      <c r="ALO311" s="6"/>
      <c r="ALP311" s="6"/>
      <c r="ALQ311" s="6"/>
      <c r="ALR311" s="6"/>
      <c r="ALS311" s="6"/>
      <c r="ALT311" s="6"/>
      <c r="ALU311" s="6"/>
      <c r="ALV311" s="6"/>
      <c r="ALW311" s="6"/>
      <c r="ALX311" s="6"/>
      <c r="ALY311" s="6"/>
      <c r="ALZ311" s="6"/>
      <c r="AMA311" s="6"/>
      <c r="AMB311" s="6"/>
      <c r="AMC311" s="6"/>
      <c r="AMD311" s="6"/>
      <c r="AME311" s="6"/>
      <c r="AMF311" s="6"/>
      <c r="AMG311" s="6"/>
      <c r="AMH311" s="6"/>
      <c r="AMI311" s="6"/>
      <c r="AMJ311" s="6"/>
      <c r="AMK311" s="6"/>
      <c r="AML311" s="6"/>
      <c r="AMM311" s="6"/>
      <c r="AMN311" s="6"/>
      <c r="AMO311" s="6"/>
      <c r="AMP311" s="6"/>
    </row>
    <row r="312" spans="1:1030" x14ac:dyDescent="0.2">
      <c r="A312" s="9" t="str">
        <f t="shared" si="1761"/>
        <v>q80km9_hcmv_5WB1</v>
      </c>
      <c r="B312" s="40" t="s">
        <v>1508</v>
      </c>
      <c r="C312" s="9" t="s">
        <v>1510</v>
      </c>
      <c r="D312" s="9" t="str">
        <f>IFERROR(MID(VLOOKUP($B312,Seqs!$A:$B,2,0),E312,1),"")</f>
        <v>F</v>
      </c>
      <c r="E312" s="9">
        <v>25</v>
      </c>
      <c r="F312" s="9" t="str">
        <f>IFERROR(MID(VLOOKUP($B312,Seqs!$A:$B,2,0),G312,1),"")</f>
        <v>W</v>
      </c>
      <c r="G312" s="9">
        <v>60</v>
      </c>
      <c r="H312" s="9" t="str">
        <f>IFERROR(MID(VLOOKUP($B312,Seqs!$A:$B,2,0),I312,1),"")</f>
        <v/>
      </c>
      <c r="I312" s="109" t="s">
        <v>23</v>
      </c>
      <c r="J312" s="9" t="str">
        <f>IFERROR(MID(VLOOKUP($B312,Seqs!$A:$B,2,0),K312,1),"")</f>
        <v/>
      </c>
      <c r="K312" s="109" t="s">
        <v>23</v>
      </c>
      <c r="L312" s="9" t="str">
        <f>IFERROR(MID(VLOOKUP($B312,Seqs!$A:$B,2,0),M312,1),"")</f>
        <v>C</v>
      </c>
      <c r="M312" s="9">
        <v>66</v>
      </c>
      <c r="N312" s="9" t="str">
        <f>IFERROR(MID(VLOOKUP($B312,Seqs!$A:$B,2,0),O312,1),"")</f>
        <v>D</v>
      </c>
      <c r="O312" s="9">
        <v>95</v>
      </c>
      <c r="P312" s="9" t="str">
        <f>IFERROR(MID(VLOOKUP($B312,Seqs!$A:$B,2,0),Q312,1),"")</f>
        <v/>
      </c>
      <c r="Q312" s="9" t="s">
        <v>23</v>
      </c>
      <c r="R312" s="9" t="str">
        <f>IFERROR(MID(VLOOKUP($B312,Seqs!$A:$B,2,0),S312,1),"")</f>
        <v/>
      </c>
      <c r="S312" s="9" t="s">
        <v>23</v>
      </c>
      <c r="T312" s="9" t="str">
        <f>IFERROR(MID(VLOOKUP($B312,Seqs!$A:$B,2,0),U312,1),"")</f>
        <v>A</v>
      </c>
      <c r="U312" s="9">
        <v>100</v>
      </c>
      <c r="V312" s="9" t="str">
        <f>IFERROR(MID(VLOOKUP($B312,Seqs!$A:$B,2,0),W312,1),"")</f>
        <v>V</v>
      </c>
      <c r="W312" s="9">
        <v>134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P</v>
      </c>
      <c r="AC312" s="9">
        <v>140</v>
      </c>
      <c r="AD312" s="9" t="str">
        <f>IFERROR(MID(VLOOKUP($B312,Seqs!$A:$B,2,0),AE312,1),"")</f>
        <v>M</v>
      </c>
      <c r="AE312" s="9">
        <v>164</v>
      </c>
      <c r="AF312" s="9" t="str">
        <f>IFERROR(MID(VLOOKUP($B312,Seqs!$A:$B,2,0),AG312,1),"")</f>
        <v>C</v>
      </c>
      <c r="AG312" s="9">
        <v>173</v>
      </c>
      <c r="AH312" s="9" t="str">
        <f>IFERROR(MID(VLOOKUP($B312,Seqs!$A:$B,2,0),AI312,1),"")</f>
        <v>T</v>
      </c>
      <c r="AI312" s="9">
        <v>175</v>
      </c>
      <c r="AJ312" s="9" t="str">
        <f>IFERROR(MID(VLOOKUP($B312,Seqs!$A:$B,2,0),AK312,1),"")</f>
        <v>S</v>
      </c>
      <c r="AK312" s="9">
        <v>183</v>
      </c>
      <c r="AL312" s="9" t="str">
        <f>IFERROR(MID(VLOOKUP($B312,Seqs!$A:$B,2,0),AM312,1),"")</f>
        <v>S</v>
      </c>
      <c r="AM312" s="9">
        <v>218</v>
      </c>
      <c r="AN312" s="9" t="str">
        <f>IFERROR(MID(VLOOKUP($B312,Seqs!$A:$B,2,0),AO312,1),"")</f>
        <v>H</v>
      </c>
      <c r="AO312" s="9">
        <v>222</v>
      </c>
      <c r="AP312" s="9" t="str">
        <f>IFERROR(MID(VLOOKUP($B312,Seqs!$A:$B,2,0),AQ312,1),"")</f>
        <v>K</v>
      </c>
      <c r="AQ312" s="9">
        <v>257</v>
      </c>
      <c r="AR312" s="9" t="str">
        <f>IFERROR(MID(VLOOKUP($B312,Seqs!$A:$B,2,0),AS312,1),"")</f>
        <v>S</v>
      </c>
      <c r="AS312" s="9">
        <v>262</v>
      </c>
      <c r="AT312" s="9" t="str">
        <f>IFERROR(MID(VLOOKUP($B312,Seqs!$A:$B,2,0),AU312,1),"")</f>
        <v>V</v>
      </c>
      <c r="AU312" s="9">
        <v>294</v>
      </c>
      <c r="AV312" s="9" t="str">
        <f>IFERROR(MID(VLOOKUP($B312,Seqs!$A:$B,2,0),AW312,1),"")</f>
        <v>G</v>
      </c>
      <c r="AW312" s="9">
        <v>295</v>
      </c>
      <c r="AX312" s="9" t="str">
        <f>IFERROR(MID(VLOOKUP($B312,Seqs!$A:$B,2,0),AY312,1),"")</f>
        <v>R</v>
      </c>
      <c r="AY312" s="9">
        <v>310</v>
      </c>
      <c r="AZ312" s="110" t="str">
        <f>VLOOKUP(B312,Classification!A:D,2,0)</f>
        <v>A</v>
      </c>
      <c r="BA312" s="98" t="str">
        <f>VLOOKUP(B312,Classification!A:D,4,0)</f>
        <v>Chemokine</v>
      </c>
      <c r="BB312" s="36" t="b">
        <f t="shared" si="1734"/>
        <v>1</v>
      </c>
      <c r="BC312" s="109">
        <f t="shared" si="1735"/>
        <v>253</v>
      </c>
      <c r="BD312" s="11" t="s">
        <v>1376</v>
      </c>
      <c r="BE312" s="9" t="s">
        <v>1292</v>
      </c>
      <c r="BF312" s="120">
        <v>3.51</v>
      </c>
      <c r="BG312" s="51" t="s">
        <v>1</v>
      </c>
      <c r="BH312" s="51" t="s">
        <v>1</v>
      </c>
      <c r="BI312" s="12"/>
      <c r="BJ312" s="111" t="s">
        <v>1288</v>
      </c>
      <c r="BK312" s="112" t="s">
        <v>1288</v>
      </c>
      <c r="BL312" s="112" t="s">
        <v>1288</v>
      </c>
      <c r="BM312" s="112" t="s">
        <v>1288</v>
      </c>
      <c r="BN312" s="112" t="s">
        <v>1288</v>
      </c>
      <c r="BO312" s="112" t="s">
        <v>1288</v>
      </c>
      <c r="BP312" s="112" t="s">
        <v>1288</v>
      </c>
      <c r="BQ312" s="112" t="s">
        <v>1288</v>
      </c>
      <c r="BR312" s="112" t="s">
        <v>1288</v>
      </c>
      <c r="BS312" s="112" t="s">
        <v>1288</v>
      </c>
      <c r="BT312" s="112" t="s">
        <v>1288</v>
      </c>
      <c r="BU312" s="112" t="s">
        <v>1288</v>
      </c>
      <c r="BV312" s="111">
        <f t="shared" si="1736"/>
        <v>25</v>
      </c>
      <c r="BW312" s="113" t="str">
        <f t="shared" si="1737"/>
        <v>-</v>
      </c>
      <c r="BX312" s="114">
        <f t="shared" si="1738"/>
        <v>66</v>
      </c>
      <c r="BY312" s="113" t="str">
        <f t="shared" si="1739"/>
        <v>-</v>
      </c>
      <c r="BZ312" s="114">
        <f t="shared" si="1740"/>
        <v>100</v>
      </c>
      <c r="CA312" s="113" t="str">
        <f t="shared" si="1741"/>
        <v>-</v>
      </c>
      <c r="CB312" s="114">
        <f t="shared" si="1742"/>
        <v>140</v>
      </c>
      <c r="CC312" s="113">
        <f t="shared" si="1743"/>
        <v>173</v>
      </c>
      <c r="CD312" s="114">
        <f t="shared" si="1744"/>
        <v>183</v>
      </c>
      <c r="CE312" s="113">
        <f t="shared" si="1745"/>
        <v>222</v>
      </c>
      <c r="CF312" s="114">
        <f t="shared" si="1746"/>
        <v>262</v>
      </c>
      <c r="CG312" s="113">
        <f t="shared" si="1747"/>
        <v>295</v>
      </c>
      <c r="CH312" s="111">
        <f t="shared" si="1748"/>
        <v>60</v>
      </c>
      <c r="CI312" s="113" t="str">
        <f t="shared" si="1749"/>
        <v>-</v>
      </c>
      <c r="CJ312" s="114">
        <f t="shared" si="1750"/>
        <v>95</v>
      </c>
      <c r="CK312" s="114" t="str">
        <f t="shared" si="1751"/>
        <v>-</v>
      </c>
      <c r="CL312" s="114">
        <f t="shared" si="1752"/>
        <v>134</v>
      </c>
      <c r="CM312" s="114" t="str">
        <f t="shared" si="1753"/>
        <v>-</v>
      </c>
      <c r="CN312" s="114">
        <f t="shared" si="1754"/>
        <v>164</v>
      </c>
      <c r="CO312" s="114">
        <f t="shared" si="1755"/>
        <v>175</v>
      </c>
      <c r="CP312" s="114">
        <f t="shared" si="1756"/>
        <v>218</v>
      </c>
      <c r="CQ312" s="114">
        <f t="shared" si="1757"/>
        <v>257</v>
      </c>
      <c r="CR312" s="114">
        <f t="shared" si="1758"/>
        <v>294</v>
      </c>
      <c r="CS312" s="114">
        <f t="shared" si="1759"/>
        <v>310</v>
      </c>
      <c r="CT312" s="109" t="e">
        <f t="shared" si="1760"/>
        <v>#VALUE!</v>
      </c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"/>
      <c r="PA312" s="6"/>
      <c r="PB312" s="6"/>
      <c r="PC312" s="6"/>
      <c r="PD312" s="6"/>
      <c r="PE312" s="6"/>
      <c r="PF312" s="6"/>
      <c r="PG312" s="6"/>
      <c r="PH312" s="6"/>
      <c r="PI312" s="6"/>
      <c r="PJ312" s="6"/>
      <c r="PK312" s="6"/>
      <c r="PL312" s="6"/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r="RE312" s="6"/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  <c r="SC312" s="6"/>
      <c r="SD312" s="6"/>
      <c r="SE312" s="6"/>
      <c r="SF312" s="6"/>
      <c r="SG312" s="6"/>
      <c r="SH312" s="6"/>
      <c r="SI312" s="6"/>
      <c r="SJ312" s="6"/>
      <c r="SK312" s="6"/>
      <c r="SL312" s="6"/>
      <c r="SM312" s="6"/>
      <c r="SN312" s="6"/>
      <c r="SO312" s="6"/>
      <c r="SP312" s="6"/>
      <c r="SQ312" s="6"/>
      <c r="SR312" s="6"/>
      <c r="SS312" s="6"/>
      <c r="ST312" s="6"/>
      <c r="SU312" s="6"/>
      <c r="SV312" s="6"/>
      <c r="SW312" s="6"/>
      <c r="SX312" s="6"/>
      <c r="SY312" s="6"/>
      <c r="SZ312" s="6"/>
      <c r="TA312" s="6"/>
      <c r="TB312" s="6"/>
      <c r="TC312" s="6"/>
      <c r="TD312" s="6"/>
      <c r="TE312" s="6"/>
      <c r="TF312" s="6"/>
      <c r="TG312" s="6"/>
      <c r="TH312" s="6"/>
      <c r="TI312" s="6"/>
      <c r="TJ312" s="6"/>
      <c r="TK312" s="6"/>
      <c r="TL312" s="6"/>
      <c r="TM312" s="6"/>
      <c r="TN312" s="6"/>
      <c r="TO312" s="6"/>
      <c r="TP312" s="6"/>
      <c r="TQ312" s="6"/>
      <c r="TR312" s="6"/>
      <c r="TS312" s="6"/>
      <c r="TT312" s="6"/>
      <c r="TU312" s="6"/>
      <c r="TV312" s="6"/>
      <c r="TW312" s="6"/>
      <c r="TX312" s="6"/>
      <c r="TY312" s="6"/>
      <c r="TZ312" s="6"/>
      <c r="UA312" s="6"/>
      <c r="UB312" s="6"/>
      <c r="UC312" s="6"/>
      <c r="UD312" s="6"/>
      <c r="UE312" s="6"/>
      <c r="UF312" s="6"/>
      <c r="UG312" s="6"/>
      <c r="UH312" s="6"/>
      <c r="UI312" s="6"/>
      <c r="UJ312" s="6"/>
      <c r="UK312" s="6"/>
      <c r="UL312" s="6"/>
      <c r="UM312" s="6"/>
      <c r="UN312" s="6"/>
      <c r="UO312" s="6"/>
      <c r="UP312" s="6"/>
      <c r="UQ312" s="6"/>
      <c r="UR312" s="6"/>
      <c r="US312" s="6"/>
      <c r="UT312" s="6"/>
      <c r="UU312" s="6"/>
      <c r="UV312" s="6"/>
      <c r="UW312" s="6"/>
      <c r="UX312" s="6"/>
      <c r="UY312" s="6"/>
      <c r="UZ312" s="6"/>
      <c r="VA312" s="6"/>
      <c r="VB312" s="6"/>
      <c r="VC312" s="6"/>
      <c r="VD312" s="6"/>
      <c r="VE312" s="6"/>
      <c r="VF312" s="6"/>
      <c r="VG312" s="6"/>
      <c r="VH312" s="6"/>
      <c r="VI312" s="6"/>
      <c r="VJ312" s="6"/>
      <c r="VK312" s="6"/>
      <c r="VL312" s="6"/>
      <c r="VM312" s="6"/>
      <c r="VN312" s="6"/>
      <c r="VO312" s="6"/>
      <c r="VP312" s="6"/>
      <c r="VQ312" s="6"/>
      <c r="VR312" s="6"/>
      <c r="VS312" s="6"/>
      <c r="VT312" s="6"/>
      <c r="VU312" s="6"/>
      <c r="VV312" s="6"/>
      <c r="VW312" s="6"/>
      <c r="VX312" s="6"/>
      <c r="VY312" s="6"/>
      <c r="VZ312" s="6"/>
      <c r="WA312" s="6"/>
      <c r="WB312" s="6"/>
      <c r="WC312" s="6"/>
      <c r="WD312" s="6"/>
      <c r="WE312" s="6"/>
      <c r="WF312" s="6"/>
      <c r="WG312" s="6"/>
      <c r="WH312" s="6"/>
      <c r="WI312" s="6"/>
      <c r="WJ312" s="6"/>
      <c r="WK312" s="6"/>
      <c r="WL312" s="6"/>
      <c r="WM312" s="6"/>
      <c r="WN312" s="6"/>
      <c r="WO312" s="6"/>
      <c r="WP312" s="6"/>
      <c r="WQ312" s="6"/>
      <c r="WR312" s="6"/>
      <c r="WS312" s="6"/>
      <c r="WT312" s="6"/>
      <c r="WU312" s="6"/>
      <c r="WV312" s="6"/>
      <c r="WW312" s="6"/>
      <c r="WX312" s="6"/>
      <c r="WY312" s="6"/>
      <c r="WZ312" s="6"/>
      <c r="XA312" s="6"/>
      <c r="XB312" s="6"/>
      <c r="XC312" s="6"/>
      <c r="XD312" s="6"/>
      <c r="XE312" s="6"/>
      <c r="XF312" s="6"/>
      <c r="XG312" s="6"/>
      <c r="XH312" s="6"/>
      <c r="XI312" s="6"/>
      <c r="XJ312" s="6"/>
      <c r="XK312" s="6"/>
      <c r="XL312" s="6"/>
      <c r="XM312" s="6"/>
      <c r="XN312" s="6"/>
      <c r="XO312" s="6"/>
      <c r="XP312" s="6"/>
      <c r="XQ312" s="6"/>
      <c r="XR312" s="6"/>
      <c r="XS312" s="6"/>
      <c r="XT312" s="6"/>
      <c r="XU312" s="6"/>
      <c r="XV312" s="6"/>
      <c r="XW312" s="6"/>
      <c r="XX312" s="6"/>
      <c r="XY312" s="6"/>
      <c r="XZ312" s="6"/>
      <c r="YA312" s="6"/>
      <c r="YB312" s="6"/>
      <c r="YC312" s="6"/>
      <c r="YD312" s="6"/>
      <c r="YE312" s="6"/>
      <c r="YF312" s="6"/>
      <c r="YG312" s="6"/>
      <c r="YH312" s="6"/>
      <c r="YI312" s="6"/>
      <c r="YJ312" s="6"/>
      <c r="YK312" s="6"/>
      <c r="YL312" s="6"/>
      <c r="YM312" s="6"/>
      <c r="YN312" s="6"/>
      <c r="YO312" s="6"/>
      <c r="YP312" s="6"/>
      <c r="YQ312" s="6"/>
      <c r="YR312" s="6"/>
      <c r="YS312" s="6"/>
      <c r="YT312" s="6"/>
      <c r="YU312" s="6"/>
      <c r="YV312" s="6"/>
      <c r="YW312" s="6"/>
      <c r="YX312" s="6"/>
      <c r="YY312" s="6"/>
      <c r="YZ312" s="6"/>
      <c r="ZA312" s="6"/>
      <c r="ZB312" s="6"/>
      <c r="ZC312" s="6"/>
      <c r="ZD312" s="6"/>
      <c r="ZE312" s="6"/>
      <c r="ZF312" s="6"/>
      <c r="ZG312" s="6"/>
      <c r="ZH312" s="6"/>
      <c r="ZI312" s="6"/>
      <c r="ZJ312" s="6"/>
      <c r="ZK312" s="6"/>
      <c r="ZL312" s="6"/>
      <c r="ZM312" s="6"/>
      <c r="ZN312" s="6"/>
      <c r="ZO312" s="6"/>
      <c r="ZP312" s="6"/>
      <c r="ZQ312" s="6"/>
      <c r="ZR312" s="6"/>
      <c r="ZS312" s="6"/>
      <c r="ZT312" s="6"/>
      <c r="ZU312" s="6"/>
      <c r="ZV312" s="6"/>
      <c r="ZW312" s="6"/>
      <c r="ZX312" s="6"/>
      <c r="ZY312" s="6"/>
      <c r="ZZ312" s="6"/>
      <c r="AAA312" s="6"/>
      <c r="AAB312" s="6"/>
      <c r="AAC312" s="6"/>
      <c r="AAD312" s="6"/>
      <c r="AAE312" s="6"/>
      <c r="AAF312" s="6"/>
      <c r="AAG312" s="6"/>
      <c r="AAH312" s="6"/>
      <c r="AAI312" s="6"/>
      <c r="AAJ312" s="6"/>
      <c r="AAK312" s="6"/>
      <c r="AAL312" s="6"/>
      <c r="AAM312" s="6"/>
      <c r="AAN312" s="6"/>
      <c r="AAO312" s="6"/>
      <c r="AAP312" s="6"/>
      <c r="AAQ312" s="6"/>
      <c r="AAR312" s="6"/>
      <c r="AAS312" s="6"/>
      <c r="AAT312" s="6"/>
      <c r="AAU312" s="6"/>
      <c r="AAV312" s="6"/>
      <c r="AAW312" s="6"/>
      <c r="AAX312" s="6"/>
      <c r="AAY312" s="6"/>
      <c r="AAZ312" s="6"/>
      <c r="ABA312" s="6"/>
      <c r="ABB312" s="6"/>
      <c r="ABC312" s="6"/>
      <c r="ABD312" s="6"/>
      <c r="ABE312" s="6"/>
      <c r="ABF312" s="6"/>
      <c r="ABG312" s="6"/>
      <c r="ABH312" s="6"/>
      <c r="ABI312" s="6"/>
      <c r="ABJ312" s="6"/>
      <c r="ABK312" s="6"/>
      <c r="ABL312" s="6"/>
      <c r="ABM312" s="6"/>
      <c r="ABN312" s="6"/>
      <c r="ABO312" s="6"/>
      <c r="ABP312" s="6"/>
      <c r="ABQ312" s="6"/>
      <c r="ABR312" s="6"/>
      <c r="ABS312" s="6"/>
      <c r="ABT312" s="6"/>
      <c r="ABU312" s="6"/>
      <c r="ABV312" s="6"/>
      <c r="ABW312" s="6"/>
      <c r="ABX312" s="6"/>
      <c r="ABY312" s="6"/>
      <c r="ABZ312" s="6"/>
      <c r="ACA312" s="6"/>
      <c r="ACB312" s="6"/>
      <c r="ACC312" s="6"/>
      <c r="ACD312" s="6"/>
      <c r="ACE312" s="6"/>
      <c r="ACF312" s="6"/>
      <c r="ACG312" s="6"/>
      <c r="ACH312" s="6"/>
      <c r="ACI312" s="6"/>
      <c r="ACJ312" s="6"/>
      <c r="ACK312" s="6"/>
      <c r="ACL312" s="6"/>
      <c r="ACM312" s="6"/>
      <c r="ACN312" s="6"/>
      <c r="ACO312" s="6"/>
      <c r="ACP312" s="6"/>
      <c r="ACQ312" s="6"/>
      <c r="ACR312" s="6"/>
      <c r="ACS312" s="6"/>
      <c r="ACT312" s="6"/>
      <c r="ACU312" s="6"/>
      <c r="ACV312" s="6"/>
      <c r="ACW312" s="6"/>
      <c r="ACX312" s="6"/>
      <c r="ACY312" s="6"/>
      <c r="ACZ312" s="6"/>
      <c r="ADA312" s="6"/>
      <c r="ADB312" s="6"/>
      <c r="ADC312" s="6"/>
      <c r="ADD312" s="6"/>
      <c r="ADE312" s="6"/>
      <c r="ADF312" s="6"/>
      <c r="ADG312" s="6"/>
      <c r="ADH312" s="6"/>
      <c r="ADI312" s="6"/>
      <c r="ADJ312" s="6"/>
      <c r="ADK312" s="6"/>
      <c r="ADL312" s="6"/>
      <c r="ADM312" s="6"/>
      <c r="ADN312" s="6"/>
      <c r="ADO312" s="6"/>
      <c r="ADP312" s="6"/>
      <c r="ADQ312" s="6"/>
      <c r="ADR312" s="6"/>
      <c r="ADS312" s="6"/>
      <c r="ADT312" s="6"/>
      <c r="ADU312" s="6"/>
      <c r="ADV312" s="6"/>
      <c r="ADW312" s="6"/>
      <c r="ADX312" s="6"/>
      <c r="ADY312" s="6"/>
      <c r="ADZ312" s="6"/>
      <c r="AEA312" s="6"/>
      <c r="AEB312" s="6"/>
      <c r="AEC312" s="6"/>
      <c r="AED312" s="6"/>
      <c r="AEE312" s="6"/>
      <c r="AEF312" s="6"/>
      <c r="AEG312" s="6"/>
      <c r="AEH312" s="6"/>
      <c r="AEI312" s="6"/>
      <c r="AEJ312" s="6"/>
      <c r="AEK312" s="6"/>
      <c r="AEL312" s="6"/>
      <c r="AEM312" s="6"/>
      <c r="AEN312" s="6"/>
      <c r="AEO312" s="6"/>
      <c r="AEP312" s="6"/>
      <c r="AEQ312" s="6"/>
      <c r="AER312" s="6"/>
      <c r="AES312" s="6"/>
      <c r="AET312" s="6"/>
      <c r="AEU312" s="6"/>
      <c r="AEV312" s="6"/>
      <c r="AEW312" s="6"/>
      <c r="AEX312" s="6"/>
      <c r="AEY312" s="6"/>
      <c r="AEZ312" s="6"/>
      <c r="AFA312" s="6"/>
      <c r="AFB312" s="6"/>
      <c r="AFC312" s="6"/>
      <c r="AFD312" s="6"/>
      <c r="AFE312" s="6"/>
      <c r="AFF312" s="6"/>
      <c r="AFG312" s="6"/>
      <c r="AFH312" s="6"/>
      <c r="AFI312" s="6"/>
      <c r="AFJ312" s="6"/>
      <c r="AFK312" s="6"/>
      <c r="AFL312" s="6"/>
      <c r="AFM312" s="6"/>
      <c r="AFN312" s="6"/>
      <c r="AFO312" s="6"/>
      <c r="AFP312" s="6"/>
      <c r="AFQ312" s="6"/>
      <c r="AFR312" s="6"/>
      <c r="AFS312" s="6"/>
      <c r="AFT312" s="6"/>
      <c r="AFU312" s="6"/>
      <c r="AFV312" s="6"/>
      <c r="AFW312" s="6"/>
      <c r="AFX312" s="6"/>
      <c r="AFY312" s="6"/>
      <c r="AFZ312" s="6"/>
      <c r="AGA312" s="6"/>
      <c r="AGB312" s="6"/>
      <c r="AGC312" s="6"/>
      <c r="AGD312" s="6"/>
      <c r="AGE312" s="6"/>
      <c r="AGF312" s="6"/>
      <c r="AGG312" s="6"/>
      <c r="AGH312" s="6"/>
      <c r="AGI312" s="6"/>
      <c r="AGJ312" s="6"/>
      <c r="AGK312" s="6"/>
      <c r="AGL312" s="6"/>
      <c r="AGM312" s="6"/>
      <c r="AGN312" s="6"/>
      <c r="AGO312" s="6"/>
      <c r="AGP312" s="6"/>
      <c r="AGQ312" s="6"/>
      <c r="AGR312" s="6"/>
      <c r="AGS312" s="6"/>
      <c r="AGT312" s="6"/>
      <c r="AGU312" s="6"/>
      <c r="AGV312" s="6"/>
      <c r="AGW312" s="6"/>
      <c r="AGX312" s="6"/>
      <c r="AGY312" s="6"/>
      <c r="AGZ312" s="6"/>
      <c r="AHA312" s="6"/>
      <c r="AHB312" s="6"/>
      <c r="AHC312" s="6"/>
      <c r="AHD312" s="6"/>
      <c r="AHE312" s="6"/>
      <c r="AHF312" s="6"/>
      <c r="AHG312" s="6"/>
      <c r="AHH312" s="6"/>
      <c r="AHI312" s="6"/>
      <c r="AHJ312" s="6"/>
      <c r="AHK312" s="6"/>
      <c r="AHL312" s="6"/>
      <c r="AHM312" s="6"/>
      <c r="AHN312" s="6"/>
      <c r="AHO312" s="6"/>
      <c r="AHP312" s="6"/>
      <c r="AHQ312" s="6"/>
      <c r="AHR312" s="6"/>
      <c r="AHS312" s="6"/>
      <c r="AHT312" s="6"/>
      <c r="AHU312" s="6"/>
      <c r="AHV312" s="6"/>
      <c r="AHW312" s="6"/>
      <c r="AHX312" s="6"/>
      <c r="AHY312" s="6"/>
      <c r="AHZ312" s="6"/>
      <c r="AIA312" s="6"/>
      <c r="AIB312" s="6"/>
      <c r="AIC312" s="6"/>
      <c r="AID312" s="6"/>
      <c r="AIE312" s="6"/>
      <c r="AIF312" s="6"/>
      <c r="AIG312" s="6"/>
      <c r="AIH312" s="6"/>
      <c r="AII312" s="6"/>
      <c r="AIJ312" s="6"/>
      <c r="AIK312" s="6"/>
      <c r="AIL312" s="6"/>
      <c r="AIM312" s="6"/>
      <c r="AIN312" s="6"/>
      <c r="AIO312" s="6"/>
      <c r="AIP312" s="6"/>
      <c r="AIQ312" s="6"/>
      <c r="AIR312" s="6"/>
      <c r="AIS312" s="6"/>
      <c r="AIT312" s="6"/>
      <c r="AIU312" s="6"/>
      <c r="AIV312" s="6"/>
      <c r="AIW312" s="6"/>
      <c r="AIX312" s="6"/>
      <c r="AIY312" s="6"/>
      <c r="AIZ312" s="6"/>
      <c r="AJA312" s="6"/>
      <c r="AJB312" s="6"/>
      <c r="AJC312" s="6"/>
      <c r="AJD312" s="6"/>
      <c r="AJE312" s="6"/>
      <c r="AJF312" s="6"/>
      <c r="AJG312" s="6"/>
      <c r="AJH312" s="6"/>
      <c r="AJI312" s="6"/>
      <c r="AJJ312" s="6"/>
      <c r="AJK312" s="6"/>
      <c r="AJL312" s="6"/>
      <c r="AJM312" s="6"/>
      <c r="AJN312" s="6"/>
      <c r="AJO312" s="6"/>
      <c r="AJP312" s="6"/>
      <c r="AJQ312" s="6"/>
      <c r="AJR312" s="6"/>
      <c r="AJS312" s="6"/>
      <c r="AJT312" s="6"/>
      <c r="AJU312" s="6"/>
      <c r="AJV312" s="6"/>
      <c r="AJW312" s="6"/>
      <c r="AJX312" s="6"/>
      <c r="AJY312" s="6"/>
      <c r="AJZ312" s="6"/>
      <c r="AKA312" s="6"/>
      <c r="AKB312" s="6"/>
      <c r="AKC312" s="6"/>
      <c r="AKD312" s="6"/>
      <c r="AKE312" s="6"/>
      <c r="AKF312" s="6"/>
      <c r="AKG312" s="6"/>
      <c r="AKH312" s="6"/>
      <c r="AKI312" s="6"/>
      <c r="AKJ312" s="6"/>
      <c r="AKK312" s="6"/>
      <c r="AKL312" s="6"/>
      <c r="AKM312" s="6"/>
      <c r="AKN312" s="6"/>
      <c r="AKO312" s="6"/>
      <c r="AKP312" s="6"/>
      <c r="AKQ312" s="6"/>
      <c r="AKR312" s="6"/>
      <c r="AKS312" s="6"/>
      <c r="AKT312" s="6"/>
      <c r="AKU312" s="6"/>
      <c r="AKV312" s="6"/>
      <c r="AKW312" s="6"/>
      <c r="AKX312" s="6"/>
      <c r="AKY312" s="6"/>
      <c r="AKZ312" s="6"/>
      <c r="ALA312" s="6"/>
      <c r="ALB312" s="6"/>
      <c r="ALC312" s="6"/>
      <c r="ALD312" s="6"/>
      <c r="ALE312" s="6"/>
      <c r="ALF312" s="6"/>
      <c r="ALG312" s="6"/>
      <c r="ALH312" s="6"/>
      <c r="ALI312" s="6"/>
      <c r="ALJ312" s="6"/>
      <c r="ALK312" s="6"/>
      <c r="ALL312" s="6"/>
      <c r="ALM312" s="6"/>
      <c r="ALN312" s="6"/>
      <c r="ALO312" s="6"/>
      <c r="ALP312" s="6"/>
      <c r="ALQ312" s="6"/>
      <c r="ALR312" s="6"/>
      <c r="ALS312" s="6"/>
      <c r="ALT312" s="6"/>
      <c r="ALU312" s="6"/>
      <c r="ALV312" s="6"/>
      <c r="ALW312" s="6"/>
      <c r="ALX312" s="6"/>
      <c r="ALY312" s="6"/>
      <c r="ALZ312" s="6"/>
      <c r="AMA312" s="6"/>
      <c r="AMB312" s="6"/>
      <c r="AMC312" s="6"/>
      <c r="AMD312" s="6"/>
      <c r="AME312" s="6"/>
      <c r="AMF312" s="6"/>
      <c r="AMG312" s="6"/>
      <c r="AMH312" s="6"/>
      <c r="AMI312" s="6"/>
      <c r="AMJ312" s="6"/>
      <c r="AMK312" s="6"/>
      <c r="AML312" s="6"/>
      <c r="AMM312" s="6"/>
      <c r="AMN312" s="6"/>
      <c r="AMO312" s="6"/>
      <c r="AMP312" s="6"/>
    </row>
    <row r="313" spans="1:1030" x14ac:dyDescent="0.2">
      <c r="A313" s="9" t="str">
        <f t="shared" si="1761"/>
        <v>q80km9_hcmv_5WB2</v>
      </c>
      <c r="B313" s="40" t="s">
        <v>1508</v>
      </c>
      <c r="C313" s="9" t="s">
        <v>1511</v>
      </c>
      <c r="D313" s="9" t="str">
        <f>IFERROR(MID(VLOOKUP($B313,Seqs!$A:$B,2,0),E313,1),"")</f>
        <v>F</v>
      </c>
      <c r="E313" s="9">
        <v>25</v>
      </c>
      <c r="F313" s="9" t="str">
        <f>IFERROR(MID(VLOOKUP($B313,Seqs!$A:$B,2,0),G313,1),"")</f>
        <v>W</v>
      </c>
      <c r="G313" s="9">
        <v>60</v>
      </c>
      <c r="H313" s="9" t="str">
        <f>IFERROR(MID(VLOOKUP($B313,Seqs!$A:$B,2,0),I313,1),"")</f>
        <v/>
      </c>
      <c r="I313" s="109" t="s">
        <v>23</v>
      </c>
      <c r="J313" s="9" t="str">
        <f>IFERROR(MID(VLOOKUP($B313,Seqs!$A:$B,2,0),K313,1),"")</f>
        <v/>
      </c>
      <c r="K313" s="109" t="s">
        <v>23</v>
      </c>
      <c r="L313" s="9" t="str">
        <f>IFERROR(MID(VLOOKUP($B313,Seqs!$A:$B,2,0),M313,1),"")</f>
        <v>C</v>
      </c>
      <c r="M313" s="9">
        <v>66</v>
      </c>
      <c r="N313" s="9" t="str">
        <f>IFERROR(MID(VLOOKUP($B313,Seqs!$A:$B,2,0),O313,1),"")</f>
        <v>D</v>
      </c>
      <c r="O313" s="9">
        <v>95</v>
      </c>
      <c r="P313" s="9" t="str">
        <f>IFERROR(MID(VLOOKUP($B313,Seqs!$A:$B,2,0),Q313,1),"")</f>
        <v/>
      </c>
      <c r="Q313" s="9" t="s">
        <v>23</v>
      </c>
      <c r="R313" s="9" t="str">
        <f>IFERROR(MID(VLOOKUP($B313,Seqs!$A:$B,2,0),S313,1),"")</f>
        <v/>
      </c>
      <c r="S313" s="9" t="s">
        <v>23</v>
      </c>
      <c r="T313" s="9" t="str">
        <f>IFERROR(MID(VLOOKUP($B313,Seqs!$A:$B,2,0),U313,1),"")</f>
        <v>A</v>
      </c>
      <c r="U313" s="9">
        <v>100</v>
      </c>
      <c r="V313" s="9" t="str">
        <f>IFERROR(MID(VLOOKUP($B313,Seqs!$A:$B,2,0),W313,1),"")</f>
        <v>V</v>
      </c>
      <c r="W313" s="9">
        <v>134</v>
      </c>
      <c r="X313" s="9" t="str">
        <f>IFERROR(MID(VLOOKUP($B313,Seqs!$A:$B,2,0),Y313,1),"")</f>
        <v/>
      </c>
      <c r="Y313" s="9" t="s">
        <v>23</v>
      </c>
      <c r="Z313" s="9" t="str">
        <f>IFERROR(MID(VLOOKUP($B313,Seqs!$A:$B,2,0),AA313,1),"")</f>
        <v/>
      </c>
      <c r="AA313" s="9" t="s">
        <v>23</v>
      </c>
      <c r="AB313" s="9" t="str">
        <f>IFERROR(MID(VLOOKUP($B313,Seqs!$A:$B,2,0),AC313,1),"")</f>
        <v>P</v>
      </c>
      <c r="AC313" s="9">
        <v>140</v>
      </c>
      <c r="AD313" s="9" t="str">
        <f>IFERROR(MID(VLOOKUP($B313,Seqs!$A:$B,2,0),AE313,1),"")</f>
        <v>M</v>
      </c>
      <c r="AE313" s="9">
        <v>164</v>
      </c>
      <c r="AF313" s="9" t="str">
        <f>IFERROR(MID(VLOOKUP($B313,Seqs!$A:$B,2,0),AG313,1),"")</f>
        <v>C</v>
      </c>
      <c r="AG313" s="9">
        <v>173</v>
      </c>
      <c r="AH313" s="9" t="str">
        <f>IFERROR(MID(VLOOKUP($B313,Seqs!$A:$B,2,0),AI313,1),"")</f>
        <v>T</v>
      </c>
      <c r="AI313" s="9">
        <v>175</v>
      </c>
      <c r="AJ313" s="9" t="str">
        <f>IFERROR(MID(VLOOKUP($B313,Seqs!$A:$B,2,0),AK313,1),"")</f>
        <v>S</v>
      </c>
      <c r="AK313" s="9">
        <v>183</v>
      </c>
      <c r="AL313" s="9" t="str">
        <f>IFERROR(MID(VLOOKUP($B313,Seqs!$A:$B,2,0),AM313,1),"")</f>
        <v>S</v>
      </c>
      <c r="AM313" s="9">
        <v>218</v>
      </c>
      <c r="AN313" s="9" t="str">
        <f>IFERROR(MID(VLOOKUP($B313,Seqs!$A:$B,2,0),AO313,1),"")</f>
        <v>H</v>
      </c>
      <c r="AO313" s="9">
        <v>222</v>
      </c>
      <c r="AP313" s="9" t="str">
        <f>IFERROR(MID(VLOOKUP($B313,Seqs!$A:$B,2,0),AQ313,1),"")</f>
        <v>K</v>
      </c>
      <c r="AQ313" s="9">
        <v>257</v>
      </c>
      <c r="AR313" s="9" t="str">
        <f>IFERROR(MID(VLOOKUP($B313,Seqs!$A:$B,2,0),AS313,1),"")</f>
        <v>S</v>
      </c>
      <c r="AS313" s="9">
        <v>262</v>
      </c>
      <c r="AT313" s="9" t="str">
        <f>IFERROR(MID(VLOOKUP($B313,Seqs!$A:$B,2,0),AU313,1),"")</f>
        <v>V</v>
      </c>
      <c r="AU313" s="9">
        <v>294</v>
      </c>
      <c r="AV313" s="9" t="str">
        <f>IFERROR(MID(VLOOKUP($B313,Seqs!$A:$B,2,0),AW313,1),"")</f>
        <v>G</v>
      </c>
      <c r="AW313" s="9">
        <v>295</v>
      </c>
      <c r="AX313" s="9" t="str">
        <f>IFERROR(MID(VLOOKUP($B313,Seqs!$A:$B,2,0),AY313,1),"")</f>
        <v>A</v>
      </c>
      <c r="AY313" s="9">
        <v>307</v>
      </c>
      <c r="AZ313" s="110" t="str">
        <f>VLOOKUP(B313,Classification!A:D,2,0)</f>
        <v>A</v>
      </c>
      <c r="BA313" s="98" t="str">
        <f>VLOOKUP(B313,Classification!A:D,4,0)</f>
        <v>Chemokine</v>
      </c>
      <c r="BB313" s="36" t="b">
        <f t="shared" si="1734"/>
        <v>1</v>
      </c>
      <c r="BC313" s="109">
        <f t="shared" si="1735"/>
        <v>250</v>
      </c>
      <c r="BD313" s="11" t="s">
        <v>23</v>
      </c>
      <c r="BE313" s="9" t="s">
        <v>1292</v>
      </c>
      <c r="BF313" s="120">
        <v>3.5</v>
      </c>
      <c r="BG313" s="51" t="s">
        <v>1</v>
      </c>
      <c r="BH313" s="51" t="s">
        <v>1</v>
      </c>
      <c r="BI313" s="12"/>
      <c r="BJ313" s="111" t="s">
        <v>1288</v>
      </c>
      <c r="BK313" s="112" t="s">
        <v>1288</v>
      </c>
      <c r="BL313" s="112" t="s">
        <v>1288</v>
      </c>
      <c r="BM313" s="112" t="s">
        <v>1288</v>
      </c>
      <c r="BN313" s="112" t="s">
        <v>1288</v>
      </c>
      <c r="BO313" s="112" t="s">
        <v>1288</v>
      </c>
      <c r="BP313" s="112" t="s">
        <v>1288</v>
      </c>
      <c r="BQ313" s="112" t="s">
        <v>1288</v>
      </c>
      <c r="BR313" s="112" t="s">
        <v>1288</v>
      </c>
      <c r="BS313" s="112" t="s">
        <v>1288</v>
      </c>
      <c r="BT313" s="112" t="s">
        <v>1288</v>
      </c>
      <c r="BU313" s="112" t="s">
        <v>1288</v>
      </c>
      <c r="BV313" s="111">
        <f t="shared" si="1736"/>
        <v>25</v>
      </c>
      <c r="BW313" s="113" t="str">
        <f t="shared" si="1737"/>
        <v>-</v>
      </c>
      <c r="BX313" s="114">
        <f t="shared" si="1738"/>
        <v>66</v>
      </c>
      <c r="BY313" s="113" t="str">
        <f t="shared" si="1739"/>
        <v>-</v>
      </c>
      <c r="BZ313" s="114">
        <f t="shared" si="1740"/>
        <v>100</v>
      </c>
      <c r="CA313" s="113" t="str">
        <f t="shared" si="1741"/>
        <v>-</v>
      </c>
      <c r="CB313" s="114">
        <f t="shared" si="1742"/>
        <v>140</v>
      </c>
      <c r="CC313" s="113">
        <f t="shared" si="1743"/>
        <v>173</v>
      </c>
      <c r="CD313" s="114">
        <f t="shared" si="1744"/>
        <v>183</v>
      </c>
      <c r="CE313" s="113">
        <f t="shared" si="1745"/>
        <v>222</v>
      </c>
      <c r="CF313" s="114">
        <f t="shared" si="1746"/>
        <v>262</v>
      </c>
      <c r="CG313" s="113">
        <f t="shared" si="1747"/>
        <v>295</v>
      </c>
      <c r="CH313" s="111">
        <f t="shared" si="1748"/>
        <v>60</v>
      </c>
      <c r="CI313" s="113" t="str">
        <f t="shared" si="1749"/>
        <v>-</v>
      </c>
      <c r="CJ313" s="114">
        <f t="shared" si="1750"/>
        <v>95</v>
      </c>
      <c r="CK313" s="114" t="str">
        <f t="shared" si="1751"/>
        <v>-</v>
      </c>
      <c r="CL313" s="114">
        <f t="shared" si="1752"/>
        <v>134</v>
      </c>
      <c r="CM313" s="114" t="str">
        <f t="shared" si="1753"/>
        <v>-</v>
      </c>
      <c r="CN313" s="114">
        <f t="shared" si="1754"/>
        <v>164</v>
      </c>
      <c r="CO313" s="114">
        <f t="shared" si="1755"/>
        <v>175</v>
      </c>
      <c r="CP313" s="114">
        <f t="shared" si="1756"/>
        <v>218</v>
      </c>
      <c r="CQ313" s="114">
        <f t="shared" si="1757"/>
        <v>257</v>
      </c>
      <c r="CR313" s="114">
        <f t="shared" si="1758"/>
        <v>294</v>
      </c>
      <c r="CS313" s="114">
        <f t="shared" si="1759"/>
        <v>307</v>
      </c>
      <c r="CT313" s="109" t="e">
        <f t="shared" si="1760"/>
        <v>#VALUE!</v>
      </c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  <c r="SC313" s="6"/>
      <c r="SD313" s="6"/>
      <c r="SE313" s="6"/>
      <c r="SF313" s="6"/>
      <c r="SG313" s="6"/>
      <c r="SH313" s="6"/>
      <c r="SI313" s="6"/>
      <c r="SJ313" s="6"/>
      <c r="SK313" s="6"/>
      <c r="SL313" s="6"/>
      <c r="SM313" s="6"/>
      <c r="SN313" s="6"/>
      <c r="SO313" s="6"/>
      <c r="SP313" s="6"/>
      <c r="SQ313" s="6"/>
      <c r="SR313" s="6"/>
      <c r="SS313" s="6"/>
      <c r="ST313" s="6"/>
      <c r="SU313" s="6"/>
      <c r="SV313" s="6"/>
      <c r="SW313" s="6"/>
      <c r="SX313" s="6"/>
      <c r="SY313" s="6"/>
      <c r="SZ313" s="6"/>
      <c r="TA313" s="6"/>
      <c r="TB313" s="6"/>
      <c r="TC313" s="6"/>
      <c r="TD313" s="6"/>
      <c r="TE313" s="6"/>
      <c r="TF313" s="6"/>
      <c r="TG313" s="6"/>
      <c r="TH313" s="6"/>
      <c r="TI313" s="6"/>
      <c r="TJ313" s="6"/>
      <c r="TK313" s="6"/>
      <c r="TL313" s="6"/>
      <c r="TM313" s="6"/>
      <c r="TN313" s="6"/>
      <c r="TO313" s="6"/>
      <c r="TP313" s="6"/>
      <c r="TQ313" s="6"/>
      <c r="TR313" s="6"/>
      <c r="TS313" s="6"/>
      <c r="TT313" s="6"/>
      <c r="TU313" s="6"/>
      <c r="TV313" s="6"/>
      <c r="TW313" s="6"/>
      <c r="TX313" s="6"/>
      <c r="TY313" s="6"/>
      <c r="TZ313" s="6"/>
      <c r="UA313" s="6"/>
      <c r="UB313" s="6"/>
      <c r="UC313" s="6"/>
      <c r="UD313" s="6"/>
      <c r="UE313" s="6"/>
      <c r="UF313" s="6"/>
      <c r="UG313" s="6"/>
      <c r="UH313" s="6"/>
      <c r="UI313" s="6"/>
      <c r="UJ313" s="6"/>
      <c r="UK313" s="6"/>
      <c r="UL313" s="6"/>
      <c r="UM313" s="6"/>
      <c r="UN313" s="6"/>
      <c r="UO313" s="6"/>
      <c r="UP313" s="6"/>
      <c r="UQ313" s="6"/>
      <c r="UR313" s="6"/>
      <c r="US313" s="6"/>
      <c r="UT313" s="6"/>
      <c r="UU313" s="6"/>
      <c r="UV313" s="6"/>
      <c r="UW313" s="6"/>
      <c r="UX313" s="6"/>
      <c r="UY313" s="6"/>
      <c r="UZ313" s="6"/>
      <c r="VA313" s="6"/>
      <c r="VB313" s="6"/>
      <c r="VC313" s="6"/>
      <c r="VD313" s="6"/>
      <c r="VE313" s="6"/>
      <c r="VF313" s="6"/>
      <c r="VG313" s="6"/>
      <c r="VH313" s="6"/>
      <c r="VI313" s="6"/>
      <c r="VJ313" s="6"/>
      <c r="VK313" s="6"/>
      <c r="VL313" s="6"/>
      <c r="VM313" s="6"/>
      <c r="VN313" s="6"/>
      <c r="VO313" s="6"/>
      <c r="VP313" s="6"/>
      <c r="VQ313" s="6"/>
      <c r="VR313" s="6"/>
      <c r="VS313" s="6"/>
      <c r="VT313" s="6"/>
      <c r="VU313" s="6"/>
      <c r="VV313" s="6"/>
      <c r="VW313" s="6"/>
      <c r="VX313" s="6"/>
      <c r="VY313" s="6"/>
      <c r="VZ313" s="6"/>
      <c r="WA313" s="6"/>
      <c r="WB313" s="6"/>
      <c r="WC313" s="6"/>
      <c r="WD313" s="6"/>
      <c r="WE313" s="6"/>
      <c r="WF313" s="6"/>
      <c r="WG313" s="6"/>
      <c r="WH313" s="6"/>
      <c r="WI313" s="6"/>
      <c r="WJ313" s="6"/>
      <c r="WK313" s="6"/>
      <c r="WL313" s="6"/>
      <c r="WM313" s="6"/>
      <c r="WN313" s="6"/>
      <c r="WO313" s="6"/>
      <c r="WP313" s="6"/>
      <c r="WQ313" s="6"/>
      <c r="WR313" s="6"/>
      <c r="WS313" s="6"/>
      <c r="WT313" s="6"/>
      <c r="WU313" s="6"/>
      <c r="WV313" s="6"/>
      <c r="WW313" s="6"/>
      <c r="WX313" s="6"/>
      <c r="WY313" s="6"/>
      <c r="WZ313" s="6"/>
      <c r="XA313" s="6"/>
      <c r="XB313" s="6"/>
      <c r="XC313" s="6"/>
      <c r="XD313" s="6"/>
      <c r="XE313" s="6"/>
      <c r="XF313" s="6"/>
      <c r="XG313" s="6"/>
      <c r="XH313" s="6"/>
      <c r="XI313" s="6"/>
      <c r="XJ313" s="6"/>
      <c r="XK313" s="6"/>
      <c r="XL313" s="6"/>
      <c r="XM313" s="6"/>
      <c r="XN313" s="6"/>
      <c r="XO313" s="6"/>
      <c r="XP313" s="6"/>
      <c r="XQ313" s="6"/>
      <c r="XR313" s="6"/>
      <c r="XS313" s="6"/>
      <c r="XT313" s="6"/>
      <c r="XU313" s="6"/>
      <c r="XV313" s="6"/>
      <c r="XW313" s="6"/>
      <c r="XX313" s="6"/>
      <c r="XY313" s="6"/>
      <c r="XZ313" s="6"/>
      <c r="YA313" s="6"/>
      <c r="YB313" s="6"/>
      <c r="YC313" s="6"/>
      <c r="YD313" s="6"/>
      <c r="YE313" s="6"/>
      <c r="YF313" s="6"/>
      <c r="YG313" s="6"/>
      <c r="YH313" s="6"/>
      <c r="YI313" s="6"/>
      <c r="YJ313" s="6"/>
      <c r="YK313" s="6"/>
      <c r="YL313" s="6"/>
      <c r="YM313" s="6"/>
      <c r="YN313" s="6"/>
      <c r="YO313" s="6"/>
      <c r="YP313" s="6"/>
      <c r="YQ313" s="6"/>
      <c r="YR313" s="6"/>
      <c r="YS313" s="6"/>
      <c r="YT313" s="6"/>
      <c r="YU313" s="6"/>
      <c r="YV313" s="6"/>
      <c r="YW313" s="6"/>
      <c r="YX313" s="6"/>
      <c r="YY313" s="6"/>
      <c r="YZ313" s="6"/>
      <c r="ZA313" s="6"/>
      <c r="ZB313" s="6"/>
      <c r="ZC313" s="6"/>
      <c r="ZD313" s="6"/>
      <c r="ZE313" s="6"/>
      <c r="ZF313" s="6"/>
      <c r="ZG313" s="6"/>
      <c r="ZH313" s="6"/>
      <c r="ZI313" s="6"/>
      <c r="ZJ313" s="6"/>
      <c r="ZK313" s="6"/>
      <c r="ZL313" s="6"/>
      <c r="ZM313" s="6"/>
      <c r="ZN313" s="6"/>
      <c r="ZO313" s="6"/>
      <c r="ZP313" s="6"/>
      <c r="ZQ313" s="6"/>
      <c r="ZR313" s="6"/>
      <c r="ZS313" s="6"/>
      <c r="ZT313" s="6"/>
      <c r="ZU313" s="6"/>
      <c r="ZV313" s="6"/>
      <c r="ZW313" s="6"/>
      <c r="ZX313" s="6"/>
      <c r="ZY313" s="6"/>
      <c r="ZZ313" s="6"/>
      <c r="AAA313" s="6"/>
      <c r="AAB313" s="6"/>
      <c r="AAC313" s="6"/>
      <c r="AAD313" s="6"/>
      <c r="AAE313" s="6"/>
      <c r="AAF313" s="6"/>
      <c r="AAG313" s="6"/>
      <c r="AAH313" s="6"/>
      <c r="AAI313" s="6"/>
      <c r="AAJ313" s="6"/>
      <c r="AAK313" s="6"/>
      <c r="AAL313" s="6"/>
      <c r="AAM313" s="6"/>
      <c r="AAN313" s="6"/>
      <c r="AAO313" s="6"/>
      <c r="AAP313" s="6"/>
      <c r="AAQ313" s="6"/>
      <c r="AAR313" s="6"/>
      <c r="AAS313" s="6"/>
      <c r="AAT313" s="6"/>
      <c r="AAU313" s="6"/>
      <c r="AAV313" s="6"/>
      <c r="AAW313" s="6"/>
      <c r="AAX313" s="6"/>
      <c r="AAY313" s="6"/>
      <c r="AAZ313" s="6"/>
      <c r="ABA313" s="6"/>
      <c r="ABB313" s="6"/>
      <c r="ABC313" s="6"/>
      <c r="ABD313" s="6"/>
      <c r="ABE313" s="6"/>
      <c r="ABF313" s="6"/>
      <c r="ABG313" s="6"/>
      <c r="ABH313" s="6"/>
      <c r="ABI313" s="6"/>
      <c r="ABJ313" s="6"/>
      <c r="ABK313" s="6"/>
      <c r="ABL313" s="6"/>
      <c r="ABM313" s="6"/>
      <c r="ABN313" s="6"/>
      <c r="ABO313" s="6"/>
      <c r="ABP313" s="6"/>
      <c r="ABQ313" s="6"/>
      <c r="ABR313" s="6"/>
      <c r="ABS313" s="6"/>
      <c r="ABT313" s="6"/>
      <c r="ABU313" s="6"/>
      <c r="ABV313" s="6"/>
      <c r="ABW313" s="6"/>
      <c r="ABX313" s="6"/>
      <c r="ABY313" s="6"/>
      <c r="ABZ313" s="6"/>
      <c r="ACA313" s="6"/>
      <c r="ACB313" s="6"/>
      <c r="ACC313" s="6"/>
      <c r="ACD313" s="6"/>
      <c r="ACE313" s="6"/>
      <c r="ACF313" s="6"/>
      <c r="ACG313" s="6"/>
      <c r="ACH313" s="6"/>
      <c r="ACI313" s="6"/>
      <c r="ACJ313" s="6"/>
      <c r="ACK313" s="6"/>
      <c r="ACL313" s="6"/>
      <c r="ACM313" s="6"/>
      <c r="ACN313" s="6"/>
      <c r="ACO313" s="6"/>
      <c r="ACP313" s="6"/>
      <c r="ACQ313" s="6"/>
      <c r="ACR313" s="6"/>
      <c r="ACS313" s="6"/>
      <c r="ACT313" s="6"/>
      <c r="ACU313" s="6"/>
      <c r="ACV313" s="6"/>
      <c r="ACW313" s="6"/>
      <c r="ACX313" s="6"/>
      <c r="ACY313" s="6"/>
      <c r="ACZ313" s="6"/>
      <c r="ADA313" s="6"/>
      <c r="ADB313" s="6"/>
      <c r="ADC313" s="6"/>
      <c r="ADD313" s="6"/>
      <c r="ADE313" s="6"/>
      <c r="ADF313" s="6"/>
      <c r="ADG313" s="6"/>
      <c r="ADH313" s="6"/>
      <c r="ADI313" s="6"/>
      <c r="ADJ313" s="6"/>
      <c r="ADK313" s="6"/>
      <c r="ADL313" s="6"/>
      <c r="ADM313" s="6"/>
      <c r="ADN313" s="6"/>
      <c r="ADO313" s="6"/>
      <c r="ADP313" s="6"/>
      <c r="ADQ313" s="6"/>
      <c r="ADR313" s="6"/>
      <c r="ADS313" s="6"/>
      <c r="ADT313" s="6"/>
      <c r="ADU313" s="6"/>
      <c r="ADV313" s="6"/>
      <c r="ADW313" s="6"/>
      <c r="ADX313" s="6"/>
      <c r="ADY313" s="6"/>
      <c r="ADZ313" s="6"/>
      <c r="AEA313" s="6"/>
      <c r="AEB313" s="6"/>
      <c r="AEC313" s="6"/>
      <c r="AED313" s="6"/>
      <c r="AEE313" s="6"/>
      <c r="AEF313" s="6"/>
      <c r="AEG313" s="6"/>
      <c r="AEH313" s="6"/>
      <c r="AEI313" s="6"/>
      <c r="AEJ313" s="6"/>
      <c r="AEK313" s="6"/>
      <c r="AEL313" s="6"/>
      <c r="AEM313" s="6"/>
      <c r="AEN313" s="6"/>
      <c r="AEO313" s="6"/>
      <c r="AEP313" s="6"/>
      <c r="AEQ313" s="6"/>
      <c r="AER313" s="6"/>
      <c r="AES313" s="6"/>
      <c r="AET313" s="6"/>
      <c r="AEU313" s="6"/>
      <c r="AEV313" s="6"/>
      <c r="AEW313" s="6"/>
      <c r="AEX313" s="6"/>
      <c r="AEY313" s="6"/>
      <c r="AEZ313" s="6"/>
      <c r="AFA313" s="6"/>
      <c r="AFB313" s="6"/>
      <c r="AFC313" s="6"/>
      <c r="AFD313" s="6"/>
      <c r="AFE313" s="6"/>
      <c r="AFF313" s="6"/>
      <c r="AFG313" s="6"/>
      <c r="AFH313" s="6"/>
      <c r="AFI313" s="6"/>
      <c r="AFJ313" s="6"/>
      <c r="AFK313" s="6"/>
      <c r="AFL313" s="6"/>
      <c r="AFM313" s="6"/>
      <c r="AFN313" s="6"/>
      <c r="AFO313" s="6"/>
      <c r="AFP313" s="6"/>
      <c r="AFQ313" s="6"/>
      <c r="AFR313" s="6"/>
      <c r="AFS313" s="6"/>
      <c r="AFT313" s="6"/>
      <c r="AFU313" s="6"/>
      <c r="AFV313" s="6"/>
      <c r="AFW313" s="6"/>
      <c r="AFX313" s="6"/>
      <c r="AFY313" s="6"/>
      <c r="AFZ313" s="6"/>
      <c r="AGA313" s="6"/>
      <c r="AGB313" s="6"/>
      <c r="AGC313" s="6"/>
      <c r="AGD313" s="6"/>
      <c r="AGE313" s="6"/>
      <c r="AGF313" s="6"/>
      <c r="AGG313" s="6"/>
      <c r="AGH313" s="6"/>
      <c r="AGI313" s="6"/>
      <c r="AGJ313" s="6"/>
      <c r="AGK313" s="6"/>
      <c r="AGL313" s="6"/>
      <c r="AGM313" s="6"/>
      <c r="AGN313" s="6"/>
      <c r="AGO313" s="6"/>
      <c r="AGP313" s="6"/>
      <c r="AGQ313" s="6"/>
      <c r="AGR313" s="6"/>
      <c r="AGS313" s="6"/>
      <c r="AGT313" s="6"/>
      <c r="AGU313" s="6"/>
      <c r="AGV313" s="6"/>
      <c r="AGW313" s="6"/>
      <c r="AGX313" s="6"/>
      <c r="AGY313" s="6"/>
      <c r="AGZ313" s="6"/>
      <c r="AHA313" s="6"/>
      <c r="AHB313" s="6"/>
      <c r="AHC313" s="6"/>
      <c r="AHD313" s="6"/>
      <c r="AHE313" s="6"/>
      <c r="AHF313" s="6"/>
      <c r="AHG313" s="6"/>
      <c r="AHH313" s="6"/>
      <c r="AHI313" s="6"/>
      <c r="AHJ313" s="6"/>
      <c r="AHK313" s="6"/>
      <c r="AHL313" s="6"/>
      <c r="AHM313" s="6"/>
      <c r="AHN313" s="6"/>
      <c r="AHO313" s="6"/>
      <c r="AHP313" s="6"/>
      <c r="AHQ313" s="6"/>
      <c r="AHR313" s="6"/>
      <c r="AHS313" s="6"/>
      <c r="AHT313" s="6"/>
      <c r="AHU313" s="6"/>
      <c r="AHV313" s="6"/>
      <c r="AHW313" s="6"/>
      <c r="AHX313" s="6"/>
      <c r="AHY313" s="6"/>
      <c r="AHZ313" s="6"/>
      <c r="AIA313" s="6"/>
      <c r="AIB313" s="6"/>
      <c r="AIC313" s="6"/>
      <c r="AID313" s="6"/>
      <c r="AIE313" s="6"/>
      <c r="AIF313" s="6"/>
      <c r="AIG313" s="6"/>
      <c r="AIH313" s="6"/>
      <c r="AII313" s="6"/>
      <c r="AIJ313" s="6"/>
      <c r="AIK313" s="6"/>
      <c r="AIL313" s="6"/>
      <c r="AIM313" s="6"/>
      <c r="AIN313" s="6"/>
      <c r="AIO313" s="6"/>
      <c r="AIP313" s="6"/>
      <c r="AIQ313" s="6"/>
      <c r="AIR313" s="6"/>
      <c r="AIS313" s="6"/>
      <c r="AIT313" s="6"/>
      <c r="AIU313" s="6"/>
      <c r="AIV313" s="6"/>
      <c r="AIW313" s="6"/>
      <c r="AIX313" s="6"/>
      <c r="AIY313" s="6"/>
      <c r="AIZ313" s="6"/>
      <c r="AJA313" s="6"/>
      <c r="AJB313" s="6"/>
      <c r="AJC313" s="6"/>
      <c r="AJD313" s="6"/>
      <c r="AJE313" s="6"/>
      <c r="AJF313" s="6"/>
      <c r="AJG313" s="6"/>
      <c r="AJH313" s="6"/>
      <c r="AJI313" s="6"/>
      <c r="AJJ313" s="6"/>
      <c r="AJK313" s="6"/>
      <c r="AJL313" s="6"/>
      <c r="AJM313" s="6"/>
      <c r="AJN313" s="6"/>
      <c r="AJO313" s="6"/>
      <c r="AJP313" s="6"/>
      <c r="AJQ313" s="6"/>
      <c r="AJR313" s="6"/>
      <c r="AJS313" s="6"/>
      <c r="AJT313" s="6"/>
      <c r="AJU313" s="6"/>
      <c r="AJV313" s="6"/>
      <c r="AJW313" s="6"/>
      <c r="AJX313" s="6"/>
      <c r="AJY313" s="6"/>
      <c r="AJZ313" s="6"/>
      <c r="AKA313" s="6"/>
      <c r="AKB313" s="6"/>
      <c r="AKC313" s="6"/>
      <c r="AKD313" s="6"/>
      <c r="AKE313" s="6"/>
      <c r="AKF313" s="6"/>
      <c r="AKG313" s="6"/>
      <c r="AKH313" s="6"/>
      <c r="AKI313" s="6"/>
      <c r="AKJ313" s="6"/>
      <c r="AKK313" s="6"/>
      <c r="AKL313" s="6"/>
      <c r="AKM313" s="6"/>
      <c r="AKN313" s="6"/>
      <c r="AKO313" s="6"/>
      <c r="AKP313" s="6"/>
      <c r="AKQ313" s="6"/>
      <c r="AKR313" s="6"/>
      <c r="AKS313" s="6"/>
      <c r="AKT313" s="6"/>
      <c r="AKU313" s="6"/>
      <c r="AKV313" s="6"/>
      <c r="AKW313" s="6"/>
      <c r="AKX313" s="6"/>
      <c r="AKY313" s="6"/>
      <c r="AKZ313" s="6"/>
      <c r="ALA313" s="6"/>
      <c r="ALB313" s="6"/>
      <c r="ALC313" s="6"/>
      <c r="ALD313" s="6"/>
      <c r="ALE313" s="6"/>
      <c r="ALF313" s="6"/>
      <c r="ALG313" s="6"/>
      <c r="ALH313" s="6"/>
      <c r="ALI313" s="6"/>
      <c r="ALJ313" s="6"/>
      <c r="ALK313" s="6"/>
      <c r="ALL313" s="6"/>
      <c r="ALM313" s="6"/>
      <c r="ALN313" s="6"/>
      <c r="ALO313" s="6"/>
      <c r="ALP313" s="6"/>
      <c r="ALQ313" s="6"/>
      <c r="ALR313" s="6"/>
      <c r="ALS313" s="6"/>
      <c r="ALT313" s="6"/>
      <c r="ALU313" s="6"/>
      <c r="ALV313" s="6"/>
      <c r="ALW313" s="6"/>
      <c r="ALX313" s="6"/>
      <c r="ALY313" s="6"/>
      <c r="ALZ313" s="6"/>
      <c r="AMA313" s="6"/>
      <c r="AMB313" s="6"/>
      <c r="AMC313" s="6"/>
      <c r="AMD313" s="6"/>
      <c r="AME313" s="6"/>
      <c r="AMF313" s="6"/>
      <c r="AMG313" s="6"/>
      <c r="AMH313" s="6"/>
      <c r="AMI313" s="6"/>
      <c r="AMJ313" s="6"/>
      <c r="AMK313" s="6"/>
      <c r="AML313" s="6"/>
      <c r="AMM313" s="6"/>
      <c r="AMN313" s="6"/>
      <c r="AMO313" s="6"/>
      <c r="AMP313" s="6"/>
    </row>
    <row r="314" spans="1:1030" x14ac:dyDescent="0.2">
      <c r="A314" s="9" t="str">
        <f t="shared" ref="A314:A315" si="1762">CONCATENATE(B314,"_",C314)</f>
        <v>ta2r_human__wt</v>
      </c>
      <c r="B314" s="40" t="s">
        <v>473</v>
      </c>
      <c r="C314" s="9" t="s">
        <v>100</v>
      </c>
      <c r="D314" s="9" t="str">
        <f>IFERROR(MID(VLOOKUP($B314,Seqs!$A:$B,2,0),E314,1),"")</f>
        <v>S</v>
      </c>
      <c r="E314" s="9">
        <v>27</v>
      </c>
      <c r="F314" s="9" t="str">
        <f>IFERROR(MID(VLOOKUP($B314,Seqs!$A:$B,2,0),G314,1),"")</f>
        <v>Q</v>
      </c>
      <c r="G314" s="9">
        <v>54</v>
      </c>
      <c r="H314" s="9" t="str">
        <f>IFERROR(MID(VLOOKUP($B314,Seqs!$A:$B,2,0),I314,1),"")</f>
        <v/>
      </c>
      <c r="I314" s="109" t="s">
        <v>23</v>
      </c>
      <c r="J314" s="9" t="str">
        <f>IFERROR(MID(VLOOKUP($B314,Seqs!$A:$B,2,0),K314,1),"")</f>
        <v/>
      </c>
      <c r="K314" s="109" t="s">
        <v>23</v>
      </c>
      <c r="L314" s="9" t="str">
        <f>IFERROR(MID(VLOOKUP($B314,Seqs!$A:$B,2,0),M314,1),"")</f>
        <v>S</v>
      </c>
      <c r="M314" s="9">
        <v>61</v>
      </c>
      <c r="N314" s="9" t="str">
        <f>IFERROR(MID(VLOOKUP($B314,Seqs!$A:$B,2,0),O314,1),"")</f>
        <v>A</v>
      </c>
      <c r="O314" s="9">
        <v>91</v>
      </c>
      <c r="P314" s="9" t="str">
        <f>IFERROR(MID(VLOOKUP($B314,Seqs!$A:$B,2,0),Q314,1),"")</f>
        <v>E</v>
      </c>
      <c r="Q314" s="9">
        <v>94</v>
      </c>
      <c r="R314" s="9" t="str">
        <f>IFERROR(MID(VLOOKUP($B314,Seqs!$A:$B,2,0),S314,1),"")</f>
        <v>V</v>
      </c>
      <c r="S314" s="9">
        <v>98</v>
      </c>
      <c r="T314" s="9" t="str">
        <f>IFERROR(MID(VLOOKUP($B314,Seqs!$A:$B,2,0),U314,1),"")</f>
        <v>C</v>
      </c>
      <c r="U314" s="9">
        <v>102</v>
      </c>
      <c r="V314" s="9" t="str">
        <f>IFERROR(MID(VLOOKUP($B314,Seqs!$A:$B,2,0),W314,1),"")</f>
        <v>R</v>
      </c>
      <c r="W314" s="9">
        <v>136</v>
      </c>
      <c r="X314" s="9" t="str">
        <f>IFERROR(MID(VLOOKUP($B314,Seqs!$A:$B,2,0),Y314,1),"")</f>
        <v>P</v>
      </c>
      <c r="Y314" s="9">
        <v>137</v>
      </c>
      <c r="Z314" s="9" t="str">
        <f>IFERROR(MID(VLOOKUP($B314,Seqs!$A:$B,2,0),AA314,1),"")</f>
        <v>A</v>
      </c>
      <c r="AA314" s="9">
        <v>144</v>
      </c>
      <c r="AB314" s="9" t="str">
        <f>IFERROR(MID(VLOOKUP($B314,Seqs!$A:$B,2,0),AC314,1),"")</f>
        <v>S</v>
      </c>
      <c r="AC314" s="9">
        <v>145</v>
      </c>
      <c r="AD314" s="9" t="str">
        <f>IFERROR(MID(VLOOKUP($B314,Seqs!$A:$B,2,0),AE314,1),"")</f>
        <v>G</v>
      </c>
      <c r="AE314" s="9">
        <v>170</v>
      </c>
      <c r="AF314" s="9" t="str">
        <f>IFERROR(MID(VLOOKUP($B314,Seqs!$A:$B,2,0),AG314,1),"")</f>
        <v>C</v>
      </c>
      <c r="AG314" s="9">
        <v>183</v>
      </c>
      <c r="AH314" s="9" t="str">
        <f>IFERROR(MID(VLOOKUP($B314,Seqs!$A:$B,2,0),AI314,1),"")</f>
        <v>L</v>
      </c>
      <c r="AI314" s="9">
        <v>185</v>
      </c>
      <c r="AJ314" s="9" t="str">
        <f>IFERROR(MID(VLOOKUP($B314,Seqs!$A:$B,2,0),AK314,1),"")</f>
        <v>E</v>
      </c>
      <c r="AK314" s="9">
        <v>190</v>
      </c>
      <c r="AL314" s="9" t="str">
        <f>IFERROR(MID(VLOOKUP($B314,Seqs!$A:$B,2,0),AM314,1),"")</f>
        <v>P</v>
      </c>
      <c r="AM314" s="9">
        <v>236</v>
      </c>
      <c r="AN314" s="9" t="str">
        <f>IFERROR(MID(VLOOKUP($B314,Seqs!$A:$B,2,0),AO314,1),"")</f>
        <v>E</v>
      </c>
      <c r="AO314" s="9">
        <v>240</v>
      </c>
      <c r="AP314" s="9" t="str">
        <f>IFERROR(MID(VLOOKUP($B314,Seqs!$A:$B,2,0),AQ314,1),"")</f>
        <v>R</v>
      </c>
      <c r="AQ314" s="9">
        <v>271</v>
      </c>
      <c r="AR314" s="9" t="str">
        <f>IFERROR(MID(VLOOKUP($B314,Seqs!$A:$B,2,0),AS314,1),"")</f>
        <v>S</v>
      </c>
      <c r="AS314" s="9">
        <v>283</v>
      </c>
      <c r="AT314" s="9" t="str">
        <f>IFERROR(MID(VLOOKUP($B314,Seqs!$A:$B,2,0),AU314,1),"")</f>
        <v>F</v>
      </c>
      <c r="AU314" s="9">
        <v>311</v>
      </c>
      <c r="AV314" s="9" t="str">
        <f>IFERROR(MID(VLOOKUP($B314,Seqs!$A:$B,2,0),AW314,1),"")</f>
        <v>R</v>
      </c>
      <c r="AW314" s="9">
        <v>312</v>
      </c>
      <c r="AX314" s="9" t="str">
        <f>IFERROR(MID(VLOOKUP($B314,Seqs!$A:$B,2,0),AY314,1),"")</f>
        <v>S</v>
      </c>
      <c r="AY314" s="9">
        <v>331</v>
      </c>
      <c r="AZ314" s="110" t="str">
        <f>VLOOKUP(B314,Classification!A:D,2,0)</f>
        <v>A</v>
      </c>
      <c r="BA314" s="98" t="str">
        <f>VLOOKUP(B314,Classification!A:D,4,0)</f>
        <v>Prostanoid</v>
      </c>
      <c r="BB314" s="36" t="b">
        <f t="shared" ref="BB314:BB315" si="1763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109">
        <f t="shared" ref="BC314:BC315" si="1764">_xlfn.AGGREGATE(9,6,CH314:CS314)-_xlfn.AGGREGATE(9,6,BV314:CG314)+12</f>
        <v>265</v>
      </c>
      <c r="BD314" s="11" t="s">
        <v>23</v>
      </c>
      <c r="BE314" s="9" t="s">
        <v>23</v>
      </c>
      <c r="BF314" s="120" t="s">
        <v>23</v>
      </c>
      <c r="BG314" s="51" t="s">
        <v>1</v>
      </c>
      <c r="BH314" s="51" t="s">
        <v>1</v>
      </c>
      <c r="BI314" s="12"/>
      <c r="BJ314" s="111" t="s">
        <v>1288</v>
      </c>
      <c r="BK314" s="112" t="s">
        <v>1288</v>
      </c>
      <c r="BL314" s="112" t="s">
        <v>1288</v>
      </c>
      <c r="BM314" s="112" t="s">
        <v>1288</v>
      </c>
      <c r="BN314" s="112" t="s">
        <v>1288</v>
      </c>
      <c r="BO314" s="112" t="s">
        <v>1288</v>
      </c>
      <c r="BP314" s="112" t="s">
        <v>1288</v>
      </c>
      <c r="BQ314" s="112" t="s">
        <v>1288</v>
      </c>
      <c r="BR314" s="112" t="s">
        <v>1288</v>
      </c>
      <c r="BS314" s="112" t="s">
        <v>1288</v>
      </c>
      <c r="BT314" s="112" t="s">
        <v>1288</v>
      </c>
      <c r="BU314" s="112" t="s">
        <v>1288</v>
      </c>
      <c r="BV314" s="111">
        <f t="shared" ref="BV314:BV315" si="1765">E314</f>
        <v>27</v>
      </c>
      <c r="BW314" s="113" t="str">
        <f t="shared" ref="BW314:BW315" si="1766">I314</f>
        <v>-</v>
      </c>
      <c r="BX314" s="114">
        <f t="shared" ref="BX314:BX315" si="1767">M314</f>
        <v>61</v>
      </c>
      <c r="BY314" s="113">
        <f t="shared" ref="BY314:BY315" si="1768">Q314</f>
        <v>94</v>
      </c>
      <c r="BZ314" s="114">
        <f t="shared" ref="BZ314:BZ315" si="1769">U314</f>
        <v>102</v>
      </c>
      <c r="CA314" s="113">
        <f t="shared" ref="CA314:CA315" si="1770">Y314</f>
        <v>137</v>
      </c>
      <c r="CB314" s="114">
        <f t="shared" ref="CB314:CB315" si="1771">AC314</f>
        <v>145</v>
      </c>
      <c r="CC314" s="113">
        <f t="shared" ref="CC314:CC315" si="1772">AG314</f>
        <v>183</v>
      </c>
      <c r="CD314" s="114">
        <f t="shared" ref="CD314:CD315" si="1773">AK314</f>
        <v>190</v>
      </c>
      <c r="CE314" s="113">
        <f t="shared" ref="CE314:CE315" si="1774">AO314</f>
        <v>240</v>
      </c>
      <c r="CF314" s="114">
        <f t="shared" ref="CF314:CF315" si="1775">AS314</f>
        <v>283</v>
      </c>
      <c r="CG314" s="113">
        <f t="shared" ref="CG314:CG315" si="1776">AW314</f>
        <v>312</v>
      </c>
      <c r="CH314" s="111">
        <f t="shared" ref="CH314:CH315" si="1777">G314</f>
        <v>54</v>
      </c>
      <c r="CI314" s="113" t="str">
        <f t="shared" ref="CI314:CI315" si="1778">K314</f>
        <v>-</v>
      </c>
      <c r="CJ314" s="114">
        <f t="shared" ref="CJ314:CJ315" si="1779">O314</f>
        <v>91</v>
      </c>
      <c r="CK314" s="114">
        <f t="shared" ref="CK314:CK315" si="1780">S314</f>
        <v>98</v>
      </c>
      <c r="CL314" s="114">
        <f t="shared" ref="CL314:CL315" si="1781">W314</f>
        <v>136</v>
      </c>
      <c r="CM314" s="114">
        <f t="shared" ref="CM314:CM315" si="1782">AA314</f>
        <v>144</v>
      </c>
      <c r="CN314" s="114">
        <f t="shared" ref="CN314:CN315" si="1783">AE314</f>
        <v>170</v>
      </c>
      <c r="CO314" s="114">
        <f t="shared" ref="CO314:CO315" si="1784">AI314</f>
        <v>185</v>
      </c>
      <c r="CP314" s="114">
        <f t="shared" ref="CP314:CP315" si="1785">AM314</f>
        <v>236</v>
      </c>
      <c r="CQ314" s="114">
        <f t="shared" ref="CQ314:CQ315" si="1786">AQ314</f>
        <v>271</v>
      </c>
      <c r="CR314" s="114">
        <f t="shared" ref="CR314:CR315" si="1787">AU314</f>
        <v>311</v>
      </c>
      <c r="CS314" s="114">
        <f t="shared" ref="CS314:CS315" si="1788">AY314</f>
        <v>331</v>
      </c>
      <c r="CT314" s="109" t="e">
        <f t="shared" ref="CT314:CT315" si="1789">M314-K314</f>
        <v>#VALUE!</v>
      </c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6"/>
      <c r="ACQ314" s="6"/>
      <c r="ACR314" s="6"/>
      <c r="ACS314" s="6"/>
      <c r="ACT314" s="6"/>
      <c r="ACU314" s="6"/>
      <c r="ACV314" s="6"/>
      <c r="ACW314" s="6"/>
      <c r="ACX314" s="6"/>
      <c r="ACY314" s="6"/>
      <c r="ACZ314" s="6"/>
      <c r="ADA314" s="6"/>
      <c r="ADB314" s="6"/>
      <c r="ADC314" s="6"/>
      <c r="ADD314" s="6"/>
      <c r="ADE314" s="6"/>
      <c r="ADF314" s="6"/>
      <c r="ADG314" s="6"/>
      <c r="ADH314" s="6"/>
      <c r="ADI314" s="6"/>
      <c r="ADJ314" s="6"/>
      <c r="ADK314" s="6"/>
      <c r="ADL314" s="6"/>
      <c r="ADM314" s="6"/>
      <c r="ADN314" s="6"/>
      <c r="ADO314" s="6"/>
      <c r="ADP314" s="6"/>
      <c r="ADQ314" s="6"/>
      <c r="ADR314" s="6"/>
      <c r="ADS314" s="6"/>
      <c r="ADT314" s="6"/>
      <c r="ADU314" s="6"/>
      <c r="ADV314" s="6"/>
      <c r="ADW314" s="6"/>
      <c r="ADX314" s="6"/>
      <c r="ADY314" s="6"/>
      <c r="ADZ314" s="6"/>
      <c r="AEA314" s="6"/>
      <c r="AEB314" s="6"/>
      <c r="AEC314" s="6"/>
      <c r="AED314" s="6"/>
      <c r="AEE314" s="6"/>
      <c r="AEF314" s="6"/>
      <c r="AEG314" s="6"/>
      <c r="AEH314" s="6"/>
      <c r="AEI314" s="6"/>
      <c r="AEJ314" s="6"/>
      <c r="AEK314" s="6"/>
      <c r="AEL314" s="6"/>
      <c r="AEM314" s="6"/>
      <c r="AEN314" s="6"/>
      <c r="AEO314" s="6"/>
      <c r="AEP314" s="6"/>
      <c r="AEQ314" s="6"/>
      <c r="AER314" s="6"/>
      <c r="AES314" s="6"/>
      <c r="AET314" s="6"/>
      <c r="AEU314" s="6"/>
      <c r="AEV314" s="6"/>
      <c r="AEW314" s="6"/>
      <c r="AEX314" s="6"/>
      <c r="AEY314" s="6"/>
      <c r="AEZ314" s="6"/>
      <c r="AFA314" s="6"/>
      <c r="AFB314" s="6"/>
      <c r="AFC314" s="6"/>
      <c r="AFD314" s="6"/>
      <c r="AFE314" s="6"/>
      <c r="AFF314" s="6"/>
      <c r="AFG314" s="6"/>
      <c r="AFH314" s="6"/>
      <c r="AFI314" s="6"/>
      <c r="AFJ314" s="6"/>
      <c r="AFK314" s="6"/>
      <c r="AFL314" s="6"/>
      <c r="AFM314" s="6"/>
      <c r="AFN314" s="6"/>
      <c r="AFO314" s="6"/>
      <c r="AFP314" s="6"/>
      <c r="AFQ314" s="6"/>
      <c r="AFR314" s="6"/>
      <c r="AFS314" s="6"/>
      <c r="AFT314" s="6"/>
      <c r="AFU314" s="6"/>
      <c r="AFV314" s="6"/>
      <c r="AFW314" s="6"/>
      <c r="AFX314" s="6"/>
      <c r="AFY314" s="6"/>
      <c r="AFZ314" s="6"/>
      <c r="AGA314" s="6"/>
      <c r="AGB314" s="6"/>
      <c r="AGC314" s="6"/>
      <c r="AGD314" s="6"/>
      <c r="AGE314" s="6"/>
      <c r="AGF314" s="6"/>
      <c r="AGG314" s="6"/>
      <c r="AGH314" s="6"/>
      <c r="AGI314" s="6"/>
      <c r="AGJ314" s="6"/>
      <c r="AGK314" s="6"/>
      <c r="AGL314" s="6"/>
      <c r="AGM314" s="6"/>
      <c r="AGN314" s="6"/>
      <c r="AGO314" s="6"/>
      <c r="AGP314" s="6"/>
      <c r="AGQ314" s="6"/>
      <c r="AGR314" s="6"/>
      <c r="AGS314" s="6"/>
      <c r="AGT314" s="6"/>
      <c r="AGU314" s="6"/>
      <c r="AGV314" s="6"/>
      <c r="AGW314" s="6"/>
      <c r="AGX314" s="6"/>
      <c r="AGY314" s="6"/>
      <c r="AGZ314" s="6"/>
      <c r="AHA314" s="6"/>
      <c r="AHB314" s="6"/>
      <c r="AHC314" s="6"/>
      <c r="AHD314" s="6"/>
      <c r="AHE314" s="6"/>
      <c r="AHF314" s="6"/>
      <c r="AHG314" s="6"/>
      <c r="AHH314" s="6"/>
      <c r="AHI314" s="6"/>
      <c r="AHJ314" s="6"/>
      <c r="AHK314" s="6"/>
      <c r="AHL314" s="6"/>
      <c r="AHM314" s="6"/>
      <c r="AHN314" s="6"/>
      <c r="AHO314" s="6"/>
      <c r="AHP314" s="6"/>
      <c r="AHQ314" s="6"/>
      <c r="AHR314" s="6"/>
      <c r="AHS314" s="6"/>
      <c r="AHT314" s="6"/>
      <c r="AHU314" s="6"/>
      <c r="AHV314" s="6"/>
      <c r="AHW314" s="6"/>
      <c r="AHX314" s="6"/>
      <c r="AHY314" s="6"/>
      <c r="AHZ314" s="6"/>
      <c r="AIA314" s="6"/>
      <c r="AIB314" s="6"/>
      <c r="AIC314" s="6"/>
      <c r="AID314" s="6"/>
      <c r="AIE314" s="6"/>
      <c r="AIF314" s="6"/>
      <c r="AIG314" s="6"/>
      <c r="AIH314" s="6"/>
      <c r="AII314" s="6"/>
      <c r="AIJ314" s="6"/>
      <c r="AIK314" s="6"/>
      <c r="AIL314" s="6"/>
      <c r="AIM314" s="6"/>
      <c r="AIN314" s="6"/>
      <c r="AIO314" s="6"/>
      <c r="AIP314" s="6"/>
      <c r="AIQ314" s="6"/>
      <c r="AIR314" s="6"/>
      <c r="AIS314" s="6"/>
      <c r="AIT314" s="6"/>
      <c r="AIU314" s="6"/>
      <c r="AIV314" s="6"/>
      <c r="AIW314" s="6"/>
      <c r="AIX314" s="6"/>
      <c r="AIY314" s="6"/>
      <c r="AIZ314" s="6"/>
      <c r="AJA314" s="6"/>
      <c r="AJB314" s="6"/>
      <c r="AJC314" s="6"/>
      <c r="AJD314" s="6"/>
      <c r="AJE314" s="6"/>
      <c r="AJF314" s="6"/>
      <c r="AJG314" s="6"/>
      <c r="AJH314" s="6"/>
      <c r="AJI314" s="6"/>
      <c r="AJJ314" s="6"/>
      <c r="AJK314" s="6"/>
      <c r="AJL314" s="6"/>
      <c r="AJM314" s="6"/>
      <c r="AJN314" s="6"/>
      <c r="AJO314" s="6"/>
      <c r="AJP314" s="6"/>
      <c r="AJQ314" s="6"/>
      <c r="AJR314" s="6"/>
      <c r="AJS314" s="6"/>
      <c r="AJT314" s="6"/>
      <c r="AJU314" s="6"/>
      <c r="AJV314" s="6"/>
      <c r="AJW314" s="6"/>
      <c r="AJX314" s="6"/>
      <c r="AJY314" s="6"/>
      <c r="AJZ314" s="6"/>
      <c r="AKA314" s="6"/>
      <c r="AKB314" s="6"/>
      <c r="AKC314" s="6"/>
      <c r="AKD314" s="6"/>
      <c r="AKE314" s="6"/>
      <c r="AKF314" s="6"/>
      <c r="AKG314" s="6"/>
      <c r="AKH314" s="6"/>
      <c r="AKI314" s="6"/>
      <c r="AKJ314" s="6"/>
      <c r="AKK314" s="6"/>
      <c r="AKL314" s="6"/>
      <c r="AKM314" s="6"/>
      <c r="AKN314" s="6"/>
      <c r="AKO314" s="6"/>
      <c r="AKP314" s="6"/>
      <c r="AKQ314" s="6"/>
      <c r="AKR314" s="6"/>
      <c r="AKS314" s="6"/>
      <c r="AKT314" s="6"/>
      <c r="AKU314" s="6"/>
      <c r="AKV314" s="6"/>
      <c r="AKW314" s="6"/>
      <c r="AKX314" s="6"/>
      <c r="AKY314" s="6"/>
      <c r="AKZ314" s="6"/>
      <c r="ALA314" s="6"/>
      <c r="ALB314" s="6"/>
      <c r="ALC314" s="6"/>
      <c r="ALD314" s="6"/>
      <c r="ALE314" s="6"/>
      <c r="ALF314" s="6"/>
      <c r="ALG314" s="6"/>
      <c r="ALH314" s="6"/>
      <c r="ALI314" s="6"/>
      <c r="ALJ314" s="6"/>
      <c r="ALK314" s="6"/>
      <c r="ALL314" s="6"/>
      <c r="ALM314" s="6"/>
      <c r="ALN314" s="6"/>
      <c r="ALO314" s="6"/>
      <c r="ALP314" s="6"/>
      <c r="ALQ314" s="6"/>
      <c r="ALR314" s="6"/>
      <c r="ALS314" s="6"/>
      <c r="ALT314" s="6"/>
      <c r="ALU314" s="6"/>
      <c r="ALV314" s="6"/>
      <c r="ALW314" s="6"/>
      <c r="ALX314" s="6"/>
      <c r="ALY314" s="6"/>
      <c r="ALZ314" s="6"/>
      <c r="AMA314" s="6"/>
      <c r="AMB314" s="6"/>
      <c r="AMC314" s="6"/>
      <c r="AMD314" s="6"/>
      <c r="AME314" s="6"/>
      <c r="AMF314" s="6"/>
      <c r="AMG314" s="6"/>
      <c r="AMH314" s="6"/>
      <c r="AMI314" s="6"/>
      <c r="AMJ314" s="6"/>
      <c r="AMK314" s="6"/>
      <c r="AML314" s="6"/>
      <c r="AMM314" s="6"/>
      <c r="AMN314" s="6"/>
      <c r="AMO314" s="6"/>
      <c r="AMP314" s="6"/>
    </row>
    <row r="315" spans="1:1030" x14ac:dyDescent="0.2">
      <c r="A315" s="9" t="str">
        <f t="shared" si="1762"/>
        <v>ta2r_human_6IIU</v>
      </c>
      <c r="B315" s="40" t="s">
        <v>473</v>
      </c>
      <c r="C315" s="9" t="s">
        <v>1549</v>
      </c>
      <c r="D315" s="9" t="str">
        <f>IFERROR(MID(VLOOKUP($B315,Seqs!$A:$B,2,0),E315,1),"")</f>
        <v>S</v>
      </c>
      <c r="E315" s="9">
        <v>27</v>
      </c>
      <c r="F315" s="9" t="str">
        <f>IFERROR(MID(VLOOKUP($B315,Seqs!$A:$B,2,0),G315,1),"")</f>
        <v>A</v>
      </c>
      <c r="G315" s="9">
        <v>52</v>
      </c>
      <c r="H315" s="9" t="str">
        <f>IFERROR(MID(VLOOKUP($B315,Seqs!$A:$B,2,0),I315,1),"")</f>
        <v/>
      </c>
      <c r="I315" s="109" t="s">
        <v>23</v>
      </c>
      <c r="J315" s="9" t="str">
        <f>IFERROR(MID(VLOOKUP($B315,Seqs!$A:$B,2,0),K315,1),"")</f>
        <v/>
      </c>
      <c r="K315" s="109" t="s">
        <v>23</v>
      </c>
      <c r="L315" s="9" t="str">
        <f>IFERROR(MID(VLOOKUP($B315,Seqs!$A:$B,2,0),M315,1),"")</f>
        <v>S</v>
      </c>
      <c r="M315" s="9">
        <v>61</v>
      </c>
      <c r="N315" s="9" t="str">
        <f>IFERROR(MID(VLOOKUP($B315,Seqs!$A:$B,2,0),O315,1),"")</f>
        <v>A</v>
      </c>
      <c r="O315" s="9">
        <v>91</v>
      </c>
      <c r="P315" s="9" t="str">
        <f>IFERROR(MID(VLOOKUP($B315,Seqs!$A:$B,2,0),Q315,1),"")</f>
        <v>E</v>
      </c>
      <c r="Q315" s="9">
        <v>94</v>
      </c>
      <c r="R315" s="9" t="str">
        <f>IFERROR(MID(VLOOKUP($B315,Seqs!$A:$B,2,0),S315,1),"")</f>
        <v>V</v>
      </c>
      <c r="S315" s="9">
        <v>98</v>
      </c>
      <c r="T315" s="9" t="str">
        <f>IFERROR(MID(VLOOKUP($B315,Seqs!$A:$B,2,0),U315,1),"")</f>
        <v>C</v>
      </c>
      <c r="U315" s="9">
        <v>102</v>
      </c>
      <c r="V315" s="9" t="str">
        <f>IFERROR(MID(VLOOKUP($B315,Seqs!$A:$B,2,0),W315,1),"")</f>
        <v>R</v>
      </c>
      <c r="W315" s="9">
        <v>136</v>
      </c>
      <c r="X315" s="9" t="str">
        <f>IFERROR(MID(VLOOKUP($B315,Seqs!$A:$B,2,0),Y315,1),"")</f>
        <v/>
      </c>
      <c r="Y315" s="9" t="s">
        <v>23</v>
      </c>
      <c r="Z315" s="9" t="str">
        <f>IFERROR(MID(VLOOKUP($B315,Seqs!$A:$B,2,0),AA315,1),"")</f>
        <v/>
      </c>
      <c r="AA315" s="9" t="s">
        <v>23</v>
      </c>
      <c r="AB315" s="9" t="str">
        <f>IFERROR(MID(VLOOKUP($B315,Seqs!$A:$B,2,0),AC315,1),"")</f>
        <v>A</v>
      </c>
      <c r="AC315" s="9">
        <v>142</v>
      </c>
      <c r="AD315" s="9" t="str">
        <f>IFERROR(MID(VLOOKUP($B315,Seqs!$A:$B,2,0),AE315,1),"")</f>
        <v>L</v>
      </c>
      <c r="AE315" s="9">
        <v>169</v>
      </c>
      <c r="AF315" s="9" t="str">
        <f>IFERROR(MID(VLOOKUP($B315,Seqs!$A:$B,2,0),AG315,1),"")</f>
        <v>C</v>
      </c>
      <c r="AG315" s="9">
        <v>183</v>
      </c>
      <c r="AH315" s="9" t="str">
        <f>IFERROR(MID(VLOOKUP($B315,Seqs!$A:$B,2,0),AI315,1),"")</f>
        <v>L</v>
      </c>
      <c r="AI315" s="9">
        <v>185</v>
      </c>
      <c r="AJ315" s="9" t="str">
        <f>IFERROR(MID(VLOOKUP($B315,Seqs!$A:$B,2,0),AK315,1),"")</f>
        <v>E</v>
      </c>
      <c r="AK315" s="9">
        <v>190</v>
      </c>
      <c r="AL315" s="9" t="str">
        <f>IFERROR(MID(VLOOKUP($B315,Seqs!$A:$B,2,0),AM315,1),"")</f>
        <v>Y</v>
      </c>
      <c r="AM315" s="9">
        <v>226</v>
      </c>
      <c r="AN315" s="9" t="str">
        <f>IFERROR(MID(VLOOKUP($B315,Seqs!$A:$B,2,0),AO315,1),"")</f>
        <v>R</v>
      </c>
      <c r="AO315" s="9">
        <v>237</v>
      </c>
      <c r="AP315" s="9" t="str">
        <f>IFERROR(MID(VLOOKUP($B315,Seqs!$A:$B,2,0),AQ315,1),"")</f>
        <v>R</v>
      </c>
      <c r="AQ315" s="9">
        <v>271</v>
      </c>
      <c r="AR315" s="9" t="str">
        <f>IFERROR(MID(VLOOKUP($B315,Seqs!$A:$B,2,0),AS315,1),"")</f>
        <v>S</v>
      </c>
      <c r="AS315" s="9">
        <v>283</v>
      </c>
      <c r="AT315" s="9" t="str">
        <f>IFERROR(MID(VLOOKUP($B315,Seqs!$A:$B,2,0),AU315,1),"")</f>
        <v>F</v>
      </c>
      <c r="AU315" s="9">
        <v>311</v>
      </c>
      <c r="AV315" s="9" t="str">
        <f>IFERROR(MID(VLOOKUP($B315,Seqs!$A:$B,2,0),AW315,1),"")</f>
        <v>R</v>
      </c>
      <c r="AW315" s="9">
        <v>312</v>
      </c>
      <c r="AX315" s="9" t="str">
        <f>IFERROR(MID(VLOOKUP($B315,Seqs!$A:$B,2,0),AY315,1),"")</f>
        <v>Q</v>
      </c>
      <c r="AY315" s="9">
        <v>320</v>
      </c>
      <c r="AZ315" s="110" t="str">
        <f>VLOOKUP(B315,Classification!A:D,2,0)</f>
        <v>A</v>
      </c>
      <c r="BA315" s="98" t="str">
        <f>VLOOKUP(B315,Classification!A:D,4,0)</f>
        <v>Prostanoid</v>
      </c>
      <c r="BB315" s="36" t="b">
        <f t="shared" si="1763"/>
        <v>1</v>
      </c>
      <c r="BC315" s="109">
        <f t="shared" si="1764"/>
        <v>240</v>
      </c>
      <c r="BD315" s="11" t="s">
        <v>23</v>
      </c>
      <c r="BE315" s="9" t="s">
        <v>1375</v>
      </c>
      <c r="BF315" s="120">
        <v>2.5</v>
      </c>
      <c r="BG315" s="51" t="s">
        <v>1</v>
      </c>
      <c r="BH315" s="51" t="s">
        <v>1</v>
      </c>
      <c r="BI315" s="12"/>
      <c r="BJ315" s="111" t="s">
        <v>1288</v>
      </c>
      <c r="BK315" s="112" t="s">
        <v>1288</v>
      </c>
      <c r="BL315" s="112" t="s">
        <v>1288</v>
      </c>
      <c r="BM315" s="112" t="s">
        <v>1288</v>
      </c>
      <c r="BN315" s="112" t="s">
        <v>1288</v>
      </c>
      <c r="BO315" s="112" t="s">
        <v>1288</v>
      </c>
      <c r="BP315" s="112" t="s">
        <v>1288</v>
      </c>
      <c r="BQ315" s="112" t="s">
        <v>1288</v>
      </c>
      <c r="BR315" s="112" t="s">
        <v>1288</v>
      </c>
      <c r="BS315" s="112" t="s">
        <v>1288</v>
      </c>
      <c r="BT315" s="112" t="s">
        <v>1288</v>
      </c>
      <c r="BU315" s="112" t="s">
        <v>1288</v>
      </c>
      <c r="BV315" s="111">
        <f t="shared" si="1765"/>
        <v>27</v>
      </c>
      <c r="BW315" s="113" t="str">
        <f t="shared" si="1766"/>
        <v>-</v>
      </c>
      <c r="BX315" s="114">
        <f t="shared" si="1767"/>
        <v>61</v>
      </c>
      <c r="BY315" s="113">
        <f t="shared" si="1768"/>
        <v>94</v>
      </c>
      <c r="BZ315" s="114">
        <f t="shared" si="1769"/>
        <v>102</v>
      </c>
      <c r="CA315" s="113" t="str">
        <f t="shared" si="1770"/>
        <v>-</v>
      </c>
      <c r="CB315" s="114">
        <f t="shared" si="1771"/>
        <v>142</v>
      </c>
      <c r="CC315" s="113">
        <f t="shared" si="1772"/>
        <v>183</v>
      </c>
      <c r="CD315" s="114">
        <f t="shared" si="1773"/>
        <v>190</v>
      </c>
      <c r="CE315" s="113">
        <f t="shared" si="1774"/>
        <v>237</v>
      </c>
      <c r="CF315" s="114">
        <f t="shared" si="1775"/>
        <v>283</v>
      </c>
      <c r="CG315" s="113">
        <f t="shared" si="1776"/>
        <v>312</v>
      </c>
      <c r="CH315" s="111">
        <f t="shared" si="1777"/>
        <v>52</v>
      </c>
      <c r="CI315" s="113" t="str">
        <f t="shared" si="1778"/>
        <v>-</v>
      </c>
      <c r="CJ315" s="114">
        <f t="shared" si="1779"/>
        <v>91</v>
      </c>
      <c r="CK315" s="114">
        <f t="shared" si="1780"/>
        <v>98</v>
      </c>
      <c r="CL315" s="114">
        <f t="shared" si="1781"/>
        <v>136</v>
      </c>
      <c r="CM315" s="114" t="str">
        <f t="shared" si="1782"/>
        <v>-</v>
      </c>
      <c r="CN315" s="114">
        <f t="shared" si="1783"/>
        <v>169</v>
      </c>
      <c r="CO315" s="114">
        <f t="shared" si="1784"/>
        <v>185</v>
      </c>
      <c r="CP315" s="114">
        <f t="shared" si="1785"/>
        <v>226</v>
      </c>
      <c r="CQ315" s="114">
        <f t="shared" si="1786"/>
        <v>271</v>
      </c>
      <c r="CR315" s="114">
        <f t="shared" si="1787"/>
        <v>311</v>
      </c>
      <c r="CS315" s="114">
        <f t="shared" si="1788"/>
        <v>320</v>
      </c>
      <c r="CT315" s="109" t="e">
        <f t="shared" si="1789"/>
        <v>#VALUE!</v>
      </c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  <c r="SG315" s="6"/>
      <c r="SH315" s="6"/>
      <c r="SI315" s="6"/>
      <c r="SJ315" s="6"/>
      <c r="SK315" s="6"/>
      <c r="SL315" s="6"/>
      <c r="SM315" s="6"/>
      <c r="SN315" s="6"/>
      <c r="SO315" s="6"/>
      <c r="SP315" s="6"/>
      <c r="SQ315" s="6"/>
      <c r="SR315" s="6"/>
      <c r="SS315" s="6"/>
      <c r="ST315" s="6"/>
      <c r="SU315" s="6"/>
      <c r="SV315" s="6"/>
      <c r="SW315" s="6"/>
      <c r="SX315" s="6"/>
      <c r="SY315" s="6"/>
      <c r="SZ315" s="6"/>
      <c r="TA315" s="6"/>
      <c r="TB315" s="6"/>
      <c r="TC315" s="6"/>
      <c r="TD315" s="6"/>
      <c r="TE315" s="6"/>
      <c r="TF315" s="6"/>
      <c r="TG315" s="6"/>
      <c r="TH315" s="6"/>
      <c r="TI315" s="6"/>
      <c r="TJ315" s="6"/>
      <c r="TK315" s="6"/>
      <c r="TL315" s="6"/>
      <c r="TM315" s="6"/>
      <c r="TN315" s="6"/>
      <c r="TO315" s="6"/>
      <c r="TP315" s="6"/>
      <c r="TQ315" s="6"/>
      <c r="TR315" s="6"/>
      <c r="TS315" s="6"/>
      <c r="TT315" s="6"/>
      <c r="TU315" s="6"/>
      <c r="TV315" s="6"/>
      <c r="TW315" s="6"/>
      <c r="TX315" s="6"/>
      <c r="TY315" s="6"/>
      <c r="TZ315" s="6"/>
      <c r="UA315" s="6"/>
      <c r="UB315" s="6"/>
      <c r="UC315" s="6"/>
      <c r="UD315" s="6"/>
      <c r="UE315" s="6"/>
      <c r="UF315" s="6"/>
      <c r="UG315" s="6"/>
      <c r="UH315" s="6"/>
      <c r="UI315" s="6"/>
      <c r="UJ315" s="6"/>
      <c r="UK315" s="6"/>
      <c r="UL315" s="6"/>
      <c r="UM315" s="6"/>
      <c r="UN315" s="6"/>
      <c r="UO315" s="6"/>
      <c r="UP315" s="6"/>
      <c r="UQ315" s="6"/>
      <c r="UR315" s="6"/>
      <c r="US315" s="6"/>
      <c r="UT315" s="6"/>
      <c r="UU315" s="6"/>
      <c r="UV315" s="6"/>
      <c r="UW315" s="6"/>
      <c r="UX315" s="6"/>
      <c r="UY315" s="6"/>
      <c r="UZ315" s="6"/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6"/>
      <c r="VM315" s="6"/>
      <c r="VN315" s="6"/>
      <c r="VO315" s="6"/>
      <c r="VP315" s="6"/>
      <c r="VQ315" s="6"/>
      <c r="VR315" s="6"/>
      <c r="VS315" s="6"/>
      <c r="VT315" s="6"/>
      <c r="VU315" s="6"/>
      <c r="VV315" s="6"/>
      <c r="VW315" s="6"/>
      <c r="VX315" s="6"/>
      <c r="VY315" s="6"/>
      <c r="VZ315" s="6"/>
      <c r="WA315" s="6"/>
      <c r="WB315" s="6"/>
      <c r="WC315" s="6"/>
      <c r="WD315" s="6"/>
      <c r="WE315" s="6"/>
      <c r="WF315" s="6"/>
      <c r="WG315" s="6"/>
      <c r="WH315" s="6"/>
      <c r="WI315" s="6"/>
      <c r="WJ315" s="6"/>
      <c r="WK315" s="6"/>
      <c r="WL315" s="6"/>
      <c r="WM315" s="6"/>
      <c r="WN315" s="6"/>
      <c r="WO315" s="6"/>
      <c r="WP315" s="6"/>
      <c r="WQ315" s="6"/>
      <c r="WR315" s="6"/>
      <c r="WS315" s="6"/>
      <c r="WT315" s="6"/>
      <c r="WU315" s="6"/>
      <c r="WV315" s="6"/>
      <c r="WW315" s="6"/>
      <c r="WX315" s="6"/>
      <c r="WY315" s="6"/>
      <c r="WZ315" s="6"/>
      <c r="XA315" s="6"/>
      <c r="XB315" s="6"/>
      <c r="XC315" s="6"/>
      <c r="XD315" s="6"/>
      <c r="XE315" s="6"/>
      <c r="XF315" s="6"/>
      <c r="XG315" s="6"/>
      <c r="XH315" s="6"/>
      <c r="XI315" s="6"/>
      <c r="XJ315" s="6"/>
      <c r="XK315" s="6"/>
      <c r="XL315" s="6"/>
      <c r="XM315" s="6"/>
      <c r="XN315" s="6"/>
      <c r="XO315" s="6"/>
      <c r="XP315" s="6"/>
      <c r="XQ315" s="6"/>
      <c r="XR315" s="6"/>
      <c r="XS315" s="6"/>
      <c r="XT315" s="6"/>
      <c r="XU315" s="6"/>
      <c r="XV315" s="6"/>
      <c r="XW315" s="6"/>
      <c r="XX315" s="6"/>
      <c r="XY315" s="6"/>
      <c r="XZ315" s="6"/>
      <c r="YA315" s="6"/>
      <c r="YB315" s="6"/>
      <c r="YC315" s="6"/>
      <c r="YD315" s="6"/>
      <c r="YE315" s="6"/>
      <c r="YF315" s="6"/>
      <c r="YG315" s="6"/>
      <c r="YH315" s="6"/>
      <c r="YI315" s="6"/>
      <c r="YJ315" s="6"/>
      <c r="YK315" s="6"/>
      <c r="YL315" s="6"/>
      <c r="YM315" s="6"/>
      <c r="YN315" s="6"/>
      <c r="YO315" s="6"/>
      <c r="YP315" s="6"/>
      <c r="YQ315" s="6"/>
      <c r="YR315" s="6"/>
      <c r="YS315" s="6"/>
      <c r="YT315" s="6"/>
      <c r="YU315" s="6"/>
      <c r="YV315" s="6"/>
      <c r="YW315" s="6"/>
      <c r="YX315" s="6"/>
      <c r="YY315" s="6"/>
      <c r="YZ315" s="6"/>
      <c r="ZA315" s="6"/>
      <c r="ZB315" s="6"/>
      <c r="ZC315" s="6"/>
      <c r="ZD315" s="6"/>
      <c r="ZE315" s="6"/>
      <c r="ZF315" s="6"/>
      <c r="ZG315" s="6"/>
      <c r="ZH315" s="6"/>
      <c r="ZI315" s="6"/>
      <c r="ZJ315" s="6"/>
      <c r="ZK315" s="6"/>
      <c r="ZL315" s="6"/>
      <c r="ZM315" s="6"/>
      <c r="ZN315" s="6"/>
      <c r="ZO315" s="6"/>
      <c r="ZP315" s="6"/>
      <c r="ZQ315" s="6"/>
      <c r="ZR315" s="6"/>
      <c r="ZS315" s="6"/>
      <c r="ZT315" s="6"/>
      <c r="ZU315" s="6"/>
      <c r="ZV315" s="6"/>
      <c r="ZW315" s="6"/>
      <c r="ZX315" s="6"/>
      <c r="ZY315" s="6"/>
      <c r="ZZ315" s="6"/>
      <c r="AAA315" s="6"/>
      <c r="AAB315" s="6"/>
      <c r="AAC315" s="6"/>
      <c r="AAD315" s="6"/>
      <c r="AAE315" s="6"/>
      <c r="AAF315" s="6"/>
      <c r="AAG315" s="6"/>
      <c r="AAH315" s="6"/>
      <c r="AAI315" s="6"/>
      <c r="AAJ315" s="6"/>
      <c r="AAK315" s="6"/>
      <c r="AAL315" s="6"/>
      <c r="AAM315" s="6"/>
      <c r="AAN315" s="6"/>
      <c r="AAO315" s="6"/>
      <c r="AAP315" s="6"/>
      <c r="AAQ315" s="6"/>
      <c r="AAR315" s="6"/>
      <c r="AAS315" s="6"/>
      <c r="AAT315" s="6"/>
      <c r="AAU315" s="6"/>
      <c r="AAV315" s="6"/>
      <c r="AAW315" s="6"/>
      <c r="AAX315" s="6"/>
      <c r="AAY315" s="6"/>
      <c r="AAZ315" s="6"/>
      <c r="ABA315" s="6"/>
      <c r="ABB315" s="6"/>
      <c r="ABC315" s="6"/>
      <c r="ABD315" s="6"/>
      <c r="ABE315" s="6"/>
      <c r="ABF315" s="6"/>
      <c r="ABG315" s="6"/>
      <c r="ABH315" s="6"/>
      <c r="ABI315" s="6"/>
      <c r="ABJ315" s="6"/>
      <c r="ABK315" s="6"/>
      <c r="ABL315" s="6"/>
      <c r="ABM315" s="6"/>
      <c r="ABN315" s="6"/>
      <c r="ABO315" s="6"/>
      <c r="ABP315" s="6"/>
      <c r="ABQ315" s="6"/>
      <c r="ABR315" s="6"/>
      <c r="ABS315" s="6"/>
      <c r="ABT315" s="6"/>
      <c r="ABU315" s="6"/>
      <c r="ABV315" s="6"/>
      <c r="ABW315" s="6"/>
      <c r="ABX315" s="6"/>
      <c r="ABY315" s="6"/>
      <c r="ABZ315" s="6"/>
      <c r="ACA315" s="6"/>
      <c r="ACB315" s="6"/>
      <c r="ACC315" s="6"/>
      <c r="ACD315" s="6"/>
      <c r="ACE315" s="6"/>
      <c r="ACF315" s="6"/>
      <c r="ACG315" s="6"/>
      <c r="ACH315" s="6"/>
      <c r="ACI315" s="6"/>
      <c r="ACJ315" s="6"/>
      <c r="ACK315" s="6"/>
      <c r="ACL315" s="6"/>
      <c r="ACM315" s="6"/>
      <c r="ACN315" s="6"/>
      <c r="ACO315" s="6"/>
      <c r="ACP315" s="6"/>
      <c r="ACQ315" s="6"/>
      <c r="ACR315" s="6"/>
      <c r="ACS315" s="6"/>
      <c r="ACT315" s="6"/>
      <c r="ACU315" s="6"/>
      <c r="ACV315" s="6"/>
      <c r="ACW315" s="6"/>
      <c r="ACX315" s="6"/>
      <c r="ACY315" s="6"/>
      <c r="ACZ315" s="6"/>
      <c r="ADA315" s="6"/>
      <c r="ADB315" s="6"/>
      <c r="ADC315" s="6"/>
      <c r="ADD315" s="6"/>
      <c r="ADE315" s="6"/>
      <c r="ADF315" s="6"/>
      <c r="ADG315" s="6"/>
      <c r="ADH315" s="6"/>
      <c r="ADI315" s="6"/>
      <c r="ADJ315" s="6"/>
      <c r="ADK315" s="6"/>
      <c r="ADL315" s="6"/>
      <c r="ADM315" s="6"/>
      <c r="ADN315" s="6"/>
      <c r="ADO315" s="6"/>
      <c r="ADP315" s="6"/>
      <c r="ADQ315" s="6"/>
      <c r="ADR315" s="6"/>
      <c r="ADS315" s="6"/>
      <c r="ADT315" s="6"/>
      <c r="ADU315" s="6"/>
      <c r="ADV315" s="6"/>
      <c r="ADW315" s="6"/>
      <c r="ADX315" s="6"/>
      <c r="ADY315" s="6"/>
      <c r="ADZ315" s="6"/>
      <c r="AEA315" s="6"/>
      <c r="AEB315" s="6"/>
      <c r="AEC315" s="6"/>
      <c r="AED315" s="6"/>
      <c r="AEE315" s="6"/>
      <c r="AEF315" s="6"/>
      <c r="AEG315" s="6"/>
      <c r="AEH315" s="6"/>
      <c r="AEI315" s="6"/>
      <c r="AEJ315" s="6"/>
      <c r="AEK315" s="6"/>
      <c r="AEL315" s="6"/>
      <c r="AEM315" s="6"/>
      <c r="AEN315" s="6"/>
      <c r="AEO315" s="6"/>
      <c r="AEP315" s="6"/>
      <c r="AEQ315" s="6"/>
      <c r="AER315" s="6"/>
      <c r="AES315" s="6"/>
      <c r="AET315" s="6"/>
      <c r="AEU315" s="6"/>
      <c r="AEV315" s="6"/>
      <c r="AEW315" s="6"/>
      <c r="AEX315" s="6"/>
      <c r="AEY315" s="6"/>
      <c r="AEZ315" s="6"/>
      <c r="AFA315" s="6"/>
      <c r="AFB315" s="6"/>
      <c r="AFC315" s="6"/>
      <c r="AFD315" s="6"/>
      <c r="AFE315" s="6"/>
      <c r="AFF315" s="6"/>
      <c r="AFG315" s="6"/>
      <c r="AFH315" s="6"/>
      <c r="AFI315" s="6"/>
      <c r="AFJ315" s="6"/>
      <c r="AFK315" s="6"/>
      <c r="AFL315" s="6"/>
      <c r="AFM315" s="6"/>
      <c r="AFN315" s="6"/>
      <c r="AFO315" s="6"/>
      <c r="AFP315" s="6"/>
      <c r="AFQ315" s="6"/>
      <c r="AFR315" s="6"/>
      <c r="AFS315" s="6"/>
      <c r="AFT315" s="6"/>
      <c r="AFU315" s="6"/>
      <c r="AFV315" s="6"/>
      <c r="AFW315" s="6"/>
      <c r="AFX315" s="6"/>
      <c r="AFY315" s="6"/>
      <c r="AFZ315" s="6"/>
      <c r="AGA315" s="6"/>
      <c r="AGB315" s="6"/>
      <c r="AGC315" s="6"/>
      <c r="AGD315" s="6"/>
      <c r="AGE315" s="6"/>
      <c r="AGF315" s="6"/>
      <c r="AGG315" s="6"/>
      <c r="AGH315" s="6"/>
      <c r="AGI315" s="6"/>
      <c r="AGJ315" s="6"/>
      <c r="AGK315" s="6"/>
      <c r="AGL315" s="6"/>
      <c r="AGM315" s="6"/>
      <c r="AGN315" s="6"/>
      <c r="AGO315" s="6"/>
      <c r="AGP315" s="6"/>
      <c r="AGQ315" s="6"/>
      <c r="AGR315" s="6"/>
      <c r="AGS315" s="6"/>
      <c r="AGT315" s="6"/>
      <c r="AGU315" s="6"/>
      <c r="AGV315" s="6"/>
      <c r="AGW315" s="6"/>
      <c r="AGX315" s="6"/>
      <c r="AGY315" s="6"/>
      <c r="AGZ315" s="6"/>
      <c r="AHA315" s="6"/>
      <c r="AHB315" s="6"/>
      <c r="AHC315" s="6"/>
      <c r="AHD315" s="6"/>
      <c r="AHE315" s="6"/>
      <c r="AHF315" s="6"/>
      <c r="AHG315" s="6"/>
      <c r="AHH315" s="6"/>
      <c r="AHI315" s="6"/>
      <c r="AHJ315" s="6"/>
      <c r="AHK315" s="6"/>
      <c r="AHL315" s="6"/>
      <c r="AHM315" s="6"/>
      <c r="AHN315" s="6"/>
      <c r="AHO315" s="6"/>
      <c r="AHP315" s="6"/>
      <c r="AHQ315" s="6"/>
      <c r="AHR315" s="6"/>
      <c r="AHS315" s="6"/>
      <c r="AHT315" s="6"/>
      <c r="AHU315" s="6"/>
      <c r="AHV315" s="6"/>
      <c r="AHW315" s="6"/>
      <c r="AHX315" s="6"/>
      <c r="AHY315" s="6"/>
      <c r="AHZ315" s="6"/>
      <c r="AIA315" s="6"/>
      <c r="AIB315" s="6"/>
      <c r="AIC315" s="6"/>
      <c r="AID315" s="6"/>
      <c r="AIE315" s="6"/>
      <c r="AIF315" s="6"/>
      <c r="AIG315" s="6"/>
      <c r="AIH315" s="6"/>
      <c r="AII315" s="6"/>
      <c r="AIJ315" s="6"/>
      <c r="AIK315" s="6"/>
      <c r="AIL315" s="6"/>
      <c r="AIM315" s="6"/>
      <c r="AIN315" s="6"/>
      <c r="AIO315" s="6"/>
      <c r="AIP315" s="6"/>
      <c r="AIQ315" s="6"/>
      <c r="AIR315" s="6"/>
      <c r="AIS315" s="6"/>
      <c r="AIT315" s="6"/>
      <c r="AIU315" s="6"/>
      <c r="AIV315" s="6"/>
      <c r="AIW315" s="6"/>
      <c r="AIX315" s="6"/>
      <c r="AIY315" s="6"/>
      <c r="AIZ315" s="6"/>
      <c r="AJA315" s="6"/>
      <c r="AJB315" s="6"/>
      <c r="AJC315" s="6"/>
      <c r="AJD315" s="6"/>
      <c r="AJE315" s="6"/>
      <c r="AJF315" s="6"/>
      <c r="AJG315" s="6"/>
      <c r="AJH315" s="6"/>
      <c r="AJI315" s="6"/>
      <c r="AJJ315" s="6"/>
      <c r="AJK315" s="6"/>
      <c r="AJL315" s="6"/>
      <c r="AJM315" s="6"/>
      <c r="AJN315" s="6"/>
      <c r="AJO315" s="6"/>
      <c r="AJP315" s="6"/>
      <c r="AJQ315" s="6"/>
      <c r="AJR315" s="6"/>
      <c r="AJS315" s="6"/>
      <c r="AJT315" s="6"/>
      <c r="AJU315" s="6"/>
      <c r="AJV315" s="6"/>
      <c r="AJW315" s="6"/>
      <c r="AJX315" s="6"/>
      <c r="AJY315" s="6"/>
      <c r="AJZ315" s="6"/>
      <c r="AKA315" s="6"/>
      <c r="AKB315" s="6"/>
      <c r="AKC315" s="6"/>
      <c r="AKD315" s="6"/>
      <c r="AKE315" s="6"/>
      <c r="AKF315" s="6"/>
      <c r="AKG315" s="6"/>
      <c r="AKH315" s="6"/>
      <c r="AKI315" s="6"/>
      <c r="AKJ315" s="6"/>
      <c r="AKK315" s="6"/>
      <c r="AKL315" s="6"/>
      <c r="AKM315" s="6"/>
      <c r="AKN315" s="6"/>
      <c r="AKO315" s="6"/>
      <c r="AKP315" s="6"/>
      <c r="AKQ315" s="6"/>
      <c r="AKR315" s="6"/>
      <c r="AKS315" s="6"/>
      <c r="AKT315" s="6"/>
      <c r="AKU315" s="6"/>
      <c r="AKV315" s="6"/>
      <c r="AKW315" s="6"/>
      <c r="AKX315" s="6"/>
      <c r="AKY315" s="6"/>
      <c r="AKZ315" s="6"/>
      <c r="ALA315" s="6"/>
      <c r="ALB315" s="6"/>
      <c r="ALC315" s="6"/>
      <c r="ALD315" s="6"/>
      <c r="ALE315" s="6"/>
      <c r="ALF315" s="6"/>
      <c r="ALG315" s="6"/>
      <c r="ALH315" s="6"/>
      <c r="ALI315" s="6"/>
      <c r="ALJ315" s="6"/>
      <c r="ALK315" s="6"/>
      <c r="ALL315" s="6"/>
      <c r="ALM315" s="6"/>
      <c r="ALN315" s="6"/>
      <c r="ALO315" s="6"/>
      <c r="ALP315" s="6"/>
      <c r="ALQ315" s="6"/>
      <c r="ALR315" s="6"/>
      <c r="ALS315" s="6"/>
      <c r="ALT315" s="6"/>
      <c r="ALU315" s="6"/>
      <c r="ALV315" s="6"/>
      <c r="ALW315" s="6"/>
      <c r="ALX315" s="6"/>
      <c r="ALY315" s="6"/>
      <c r="ALZ315" s="6"/>
      <c r="AMA315" s="6"/>
      <c r="AMB315" s="6"/>
      <c r="AMC315" s="6"/>
      <c r="AMD315" s="6"/>
      <c r="AME315" s="6"/>
      <c r="AMF315" s="6"/>
      <c r="AMG315" s="6"/>
      <c r="AMH315" s="6"/>
      <c r="AMI315" s="6"/>
      <c r="AMJ315" s="6"/>
      <c r="AMK315" s="6"/>
      <c r="AML315" s="6"/>
      <c r="AMM315" s="6"/>
      <c r="AMN315" s="6"/>
      <c r="AMO315" s="6"/>
      <c r="AMP315" s="6"/>
    </row>
    <row r="316" spans="1:1030" x14ac:dyDescent="0.2">
      <c r="A316" s="9" t="str">
        <f t="shared" ref="A316" si="1790">CONCATENATE(B316,"_",C316)</f>
        <v>ta2r_human_6IIV</v>
      </c>
      <c r="B316" s="40" t="s">
        <v>473</v>
      </c>
      <c r="C316" s="9" t="s">
        <v>1550</v>
      </c>
      <c r="D316" s="9" t="str">
        <f>IFERROR(MID(VLOOKUP($B316,Seqs!$A:$B,2,0),E316,1),"")</f>
        <v>S</v>
      </c>
      <c r="E316" s="9">
        <v>27</v>
      </c>
      <c r="F316" s="9" t="str">
        <f>IFERROR(MID(VLOOKUP($B316,Seqs!$A:$B,2,0),G316,1),"")</f>
        <v>R</v>
      </c>
      <c r="G316" s="9">
        <v>53</v>
      </c>
      <c r="H316" s="9" t="str">
        <f>IFERROR(MID(VLOOKUP($B316,Seqs!$A:$B,2,0),I316,1),"")</f>
        <v/>
      </c>
      <c r="I316" s="109" t="s">
        <v>23</v>
      </c>
      <c r="J316" s="9" t="str">
        <f>IFERROR(MID(VLOOKUP($B316,Seqs!$A:$B,2,0),K316,1),"")</f>
        <v/>
      </c>
      <c r="K316" s="109" t="s">
        <v>23</v>
      </c>
      <c r="L316" s="9" t="str">
        <f>IFERROR(MID(VLOOKUP($B316,Seqs!$A:$B,2,0),M316,1),"")</f>
        <v>S</v>
      </c>
      <c r="M316" s="9">
        <v>61</v>
      </c>
      <c r="N316" s="9" t="str">
        <f>IFERROR(MID(VLOOKUP($B316,Seqs!$A:$B,2,0),O316,1),"")</f>
        <v>A</v>
      </c>
      <c r="O316" s="9">
        <v>91</v>
      </c>
      <c r="P316" s="9" t="str">
        <f>IFERROR(MID(VLOOKUP($B316,Seqs!$A:$B,2,0),Q316,1),"")</f>
        <v>E</v>
      </c>
      <c r="Q316" s="9">
        <v>94</v>
      </c>
      <c r="R316" s="9" t="str">
        <f>IFERROR(MID(VLOOKUP($B316,Seqs!$A:$B,2,0),S316,1),"")</f>
        <v>V</v>
      </c>
      <c r="S316" s="9">
        <v>98</v>
      </c>
      <c r="T316" s="9" t="str">
        <f>IFERROR(MID(VLOOKUP($B316,Seqs!$A:$B,2,0),U316,1),"")</f>
        <v>C</v>
      </c>
      <c r="U316" s="9">
        <v>102</v>
      </c>
      <c r="V316" s="9" t="str">
        <f>IFERROR(MID(VLOOKUP($B316,Seqs!$A:$B,2,0),W316,1),"")</f>
        <v>R</v>
      </c>
      <c r="W316" s="9">
        <v>136</v>
      </c>
      <c r="X316" s="9" t="str">
        <f>IFERROR(MID(VLOOKUP($B316,Seqs!$A:$B,2,0),Y316,1),"")</f>
        <v/>
      </c>
      <c r="Y316" s="9" t="s">
        <v>23</v>
      </c>
      <c r="Z316" s="9" t="str">
        <f>IFERROR(MID(VLOOKUP($B316,Seqs!$A:$B,2,0),AA316,1),"")</f>
        <v/>
      </c>
      <c r="AA316" s="9" t="s">
        <v>23</v>
      </c>
      <c r="AB316" s="9" t="str">
        <f>IFERROR(MID(VLOOKUP($B316,Seqs!$A:$B,2,0),AC316,1),"")</f>
        <v>P</v>
      </c>
      <c r="AC316" s="9">
        <v>141</v>
      </c>
      <c r="AD316" s="9" t="str">
        <f>IFERROR(MID(VLOOKUP($B316,Seqs!$A:$B,2,0),AE316,1),"")</f>
        <v>G</v>
      </c>
      <c r="AE316" s="9">
        <v>170</v>
      </c>
      <c r="AF316" s="9" t="str">
        <f>IFERROR(MID(VLOOKUP($B316,Seqs!$A:$B,2,0),AG316,1),"")</f>
        <v>C</v>
      </c>
      <c r="AG316" s="9">
        <v>183</v>
      </c>
      <c r="AH316" s="9" t="str">
        <f>IFERROR(MID(VLOOKUP($B316,Seqs!$A:$B,2,0),AI316,1),"")</f>
        <v>L</v>
      </c>
      <c r="AI316" s="9">
        <v>185</v>
      </c>
      <c r="AJ316" s="9" t="str">
        <f>IFERROR(MID(VLOOKUP($B316,Seqs!$A:$B,2,0),AK316,1),"")</f>
        <v>E</v>
      </c>
      <c r="AK316" s="9">
        <v>190</v>
      </c>
      <c r="AL316" s="9" t="str">
        <f>IFERROR(MID(VLOOKUP($B316,Seqs!$A:$B,2,0),AM316,1),"")</f>
        <v>Y</v>
      </c>
      <c r="AM316" s="9">
        <v>226</v>
      </c>
      <c r="AN316" s="9" t="str">
        <f>IFERROR(MID(VLOOKUP($B316,Seqs!$A:$B,2,0),AO316,1),"")</f>
        <v>R</v>
      </c>
      <c r="AO316" s="9">
        <v>237</v>
      </c>
      <c r="AP316" s="9" t="str">
        <f>IFERROR(MID(VLOOKUP($B316,Seqs!$A:$B,2,0),AQ316,1),"")</f>
        <v>R</v>
      </c>
      <c r="AQ316" s="9">
        <v>271</v>
      </c>
      <c r="AR316" s="9" t="str">
        <f>IFERROR(MID(VLOOKUP($B316,Seqs!$A:$B,2,0),AS316,1),"")</f>
        <v>S</v>
      </c>
      <c r="AS316" s="9">
        <v>283</v>
      </c>
      <c r="AT316" s="9" t="str">
        <f>IFERROR(MID(VLOOKUP($B316,Seqs!$A:$B,2,0),AU316,1),"")</f>
        <v>F</v>
      </c>
      <c r="AU316" s="9">
        <v>311</v>
      </c>
      <c r="AV316" s="9" t="str">
        <f>IFERROR(MID(VLOOKUP($B316,Seqs!$A:$B,2,0),AW316,1),"")</f>
        <v>R</v>
      </c>
      <c r="AW316" s="9">
        <v>312</v>
      </c>
      <c r="AX316" s="9" t="str">
        <f>IFERROR(MID(VLOOKUP($B316,Seqs!$A:$B,2,0),AY316,1),"")</f>
        <v>L</v>
      </c>
      <c r="AY316" s="9">
        <v>319</v>
      </c>
      <c r="AZ316" s="110" t="str">
        <f>VLOOKUP(B316,Classification!A:D,2,0)</f>
        <v>A</v>
      </c>
      <c r="BA316" s="98" t="str">
        <f>VLOOKUP(B316,Classification!A:D,4,0)</f>
        <v>Prostanoid</v>
      </c>
      <c r="BB316" s="36" t="b">
        <f t="shared" ref="BB316" si="1791"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109">
        <f t="shared" ref="BC316" si="1792">_xlfn.AGGREGATE(9,6,CH316:CS316)-_xlfn.AGGREGATE(9,6,BV316:CG316)+12</f>
        <v>242</v>
      </c>
      <c r="BD316" s="11" t="s">
        <v>1377</v>
      </c>
      <c r="BE316" s="9" t="s">
        <v>1375</v>
      </c>
      <c r="BF316" s="120">
        <v>3</v>
      </c>
      <c r="BG316" s="51" t="s">
        <v>1</v>
      </c>
      <c r="BH316" s="51" t="s">
        <v>1</v>
      </c>
      <c r="BI316" s="12"/>
      <c r="BJ316" s="111" t="s">
        <v>1288</v>
      </c>
      <c r="BK316" s="112" t="s">
        <v>1288</v>
      </c>
      <c r="BL316" s="112" t="s">
        <v>1288</v>
      </c>
      <c r="BM316" s="112" t="s">
        <v>1288</v>
      </c>
      <c r="BN316" s="112" t="s">
        <v>1288</v>
      </c>
      <c r="BO316" s="112" t="s">
        <v>1288</v>
      </c>
      <c r="BP316" s="112" t="s">
        <v>1288</v>
      </c>
      <c r="BQ316" s="112" t="s">
        <v>1288</v>
      </c>
      <c r="BR316" s="112" t="s">
        <v>1288</v>
      </c>
      <c r="BS316" s="112" t="s">
        <v>1288</v>
      </c>
      <c r="BT316" s="112" t="s">
        <v>1288</v>
      </c>
      <c r="BU316" s="112" t="s">
        <v>1288</v>
      </c>
      <c r="BV316" s="111">
        <f t="shared" ref="BV316" si="1793">E316</f>
        <v>27</v>
      </c>
      <c r="BW316" s="113" t="str">
        <f t="shared" ref="BW316" si="1794">I316</f>
        <v>-</v>
      </c>
      <c r="BX316" s="114">
        <f t="shared" ref="BX316" si="1795">M316</f>
        <v>61</v>
      </c>
      <c r="BY316" s="113">
        <f t="shared" ref="BY316" si="1796">Q316</f>
        <v>94</v>
      </c>
      <c r="BZ316" s="114">
        <f t="shared" ref="BZ316" si="1797">U316</f>
        <v>102</v>
      </c>
      <c r="CA316" s="113" t="str">
        <f t="shared" ref="CA316" si="1798">Y316</f>
        <v>-</v>
      </c>
      <c r="CB316" s="114">
        <f t="shared" ref="CB316" si="1799">AC316</f>
        <v>141</v>
      </c>
      <c r="CC316" s="113">
        <f t="shared" ref="CC316" si="1800">AG316</f>
        <v>183</v>
      </c>
      <c r="CD316" s="114">
        <f t="shared" ref="CD316" si="1801">AK316</f>
        <v>190</v>
      </c>
      <c r="CE316" s="113">
        <f t="shared" ref="CE316" si="1802">AO316</f>
        <v>237</v>
      </c>
      <c r="CF316" s="114">
        <f t="shared" ref="CF316" si="1803">AS316</f>
        <v>283</v>
      </c>
      <c r="CG316" s="113">
        <f t="shared" ref="CG316" si="1804">AW316</f>
        <v>312</v>
      </c>
      <c r="CH316" s="111">
        <f t="shared" ref="CH316" si="1805">G316</f>
        <v>53</v>
      </c>
      <c r="CI316" s="113" t="str">
        <f t="shared" ref="CI316" si="1806">K316</f>
        <v>-</v>
      </c>
      <c r="CJ316" s="114">
        <f t="shared" ref="CJ316" si="1807">O316</f>
        <v>91</v>
      </c>
      <c r="CK316" s="114">
        <f t="shared" ref="CK316" si="1808">S316</f>
        <v>98</v>
      </c>
      <c r="CL316" s="114">
        <f t="shared" ref="CL316" si="1809">W316</f>
        <v>136</v>
      </c>
      <c r="CM316" s="114" t="str">
        <f t="shared" ref="CM316" si="1810">AA316</f>
        <v>-</v>
      </c>
      <c r="CN316" s="114">
        <f t="shared" ref="CN316" si="1811">AE316</f>
        <v>170</v>
      </c>
      <c r="CO316" s="114">
        <f t="shared" ref="CO316" si="1812">AI316</f>
        <v>185</v>
      </c>
      <c r="CP316" s="114">
        <f t="shared" ref="CP316" si="1813">AM316</f>
        <v>226</v>
      </c>
      <c r="CQ316" s="114">
        <f t="shared" ref="CQ316" si="1814">AQ316</f>
        <v>271</v>
      </c>
      <c r="CR316" s="114">
        <f t="shared" ref="CR316" si="1815">AU316</f>
        <v>311</v>
      </c>
      <c r="CS316" s="114">
        <f t="shared" ref="CS316" si="1816">AY316</f>
        <v>319</v>
      </c>
      <c r="CT316" s="109" t="e">
        <f t="shared" ref="CT316" si="1817">M316-K316</f>
        <v>#VALUE!</v>
      </c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  <c r="SG316" s="6"/>
      <c r="SH316" s="6"/>
      <c r="SI316" s="6"/>
      <c r="SJ316" s="6"/>
      <c r="SK316" s="6"/>
      <c r="SL316" s="6"/>
      <c r="SM316" s="6"/>
      <c r="SN316" s="6"/>
      <c r="SO316" s="6"/>
      <c r="SP316" s="6"/>
      <c r="SQ316" s="6"/>
      <c r="SR316" s="6"/>
      <c r="SS316" s="6"/>
      <c r="ST316" s="6"/>
      <c r="SU316" s="6"/>
      <c r="SV316" s="6"/>
      <c r="SW316" s="6"/>
      <c r="SX316" s="6"/>
      <c r="SY316" s="6"/>
      <c r="SZ316" s="6"/>
      <c r="TA316" s="6"/>
      <c r="TB316" s="6"/>
      <c r="TC316" s="6"/>
      <c r="TD316" s="6"/>
      <c r="TE316" s="6"/>
      <c r="TF316" s="6"/>
      <c r="TG316" s="6"/>
      <c r="TH316" s="6"/>
      <c r="TI316" s="6"/>
      <c r="TJ316" s="6"/>
      <c r="TK316" s="6"/>
      <c r="TL316" s="6"/>
      <c r="TM316" s="6"/>
      <c r="TN316" s="6"/>
      <c r="TO316" s="6"/>
      <c r="TP316" s="6"/>
      <c r="TQ316" s="6"/>
      <c r="TR316" s="6"/>
      <c r="TS316" s="6"/>
      <c r="TT316" s="6"/>
      <c r="TU316" s="6"/>
      <c r="TV316" s="6"/>
      <c r="TW316" s="6"/>
      <c r="TX316" s="6"/>
      <c r="TY316" s="6"/>
      <c r="TZ316" s="6"/>
      <c r="UA316" s="6"/>
      <c r="UB316" s="6"/>
      <c r="UC316" s="6"/>
      <c r="UD316" s="6"/>
      <c r="UE316" s="6"/>
      <c r="UF316" s="6"/>
      <c r="UG316" s="6"/>
      <c r="UH316" s="6"/>
      <c r="UI316" s="6"/>
      <c r="UJ316" s="6"/>
      <c r="UK316" s="6"/>
      <c r="UL316" s="6"/>
      <c r="UM316" s="6"/>
      <c r="UN316" s="6"/>
      <c r="UO316" s="6"/>
      <c r="UP316" s="6"/>
      <c r="UQ316" s="6"/>
      <c r="UR316" s="6"/>
      <c r="US316" s="6"/>
      <c r="UT316" s="6"/>
      <c r="UU316" s="6"/>
      <c r="UV316" s="6"/>
      <c r="UW316" s="6"/>
      <c r="UX316" s="6"/>
      <c r="UY316" s="6"/>
      <c r="UZ316" s="6"/>
      <c r="VA316" s="6"/>
      <c r="VB316" s="6"/>
      <c r="VC316" s="6"/>
      <c r="VD316" s="6"/>
      <c r="VE316" s="6"/>
      <c r="VF316" s="6"/>
      <c r="VG316" s="6"/>
      <c r="VH316" s="6"/>
      <c r="VI316" s="6"/>
      <c r="VJ316" s="6"/>
      <c r="VK316" s="6"/>
      <c r="VL316" s="6"/>
      <c r="VM316" s="6"/>
      <c r="VN316" s="6"/>
      <c r="VO316" s="6"/>
      <c r="VP316" s="6"/>
      <c r="VQ316" s="6"/>
      <c r="VR316" s="6"/>
      <c r="VS316" s="6"/>
      <c r="VT316" s="6"/>
      <c r="VU316" s="6"/>
      <c r="VV316" s="6"/>
      <c r="VW316" s="6"/>
      <c r="VX316" s="6"/>
      <c r="VY316" s="6"/>
      <c r="VZ316" s="6"/>
      <c r="WA316" s="6"/>
      <c r="WB316" s="6"/>
      <c r="WC316" s="6"/>
      <c r="WD316" s="6"/>
      <c r="WE316" s="6"/>
      <c r="WF316" s="6"/>
      <c r="WG316" s="6"/>
      <c r="WH316" s="6"/>
      <c r="WI316" s="6"/>
      <c r="WJ316" s="6"/>
      <c r="WK316" s="6"/>
      <c r="WL316" s="6"/>
      <c r="WM316" s="6"/>
      <c r="WN316" s="6"/>
      <c r="WO316" s="6"/>
      <c r="WP316" s="6"/>
      <c r="WQ316" s="6"/>
      <c r="WR316" s="6"/>
      <c r="WS316" s="6"/>
      <c r="WT316" s="6"/>
      <c r="WU316" s="6"/>
      <c r="WV316" s="6"/>
      <c r="WW316" s="6"/>
      <c r="WX316" s="6"/>
      <c r="WY316" s="6"/>
      <c r="WZ316" s="6"/>
      <c r="XA316" s="6"/>
      <c r="XB316" s="6"/>
      <c r="XC316" s="6"/>
      <c r="XD316" s="6"/>
      <c r="XE316" s="6"/>
      <c r="XF316" s="6"/>
      <c r="XG316" s="6"/>
      <c r="XH316" s="6"/>
      <c r="XI316" s="6"/>
      <c r="XJ316" s="6"/>
      <c r="XK316" s="6"/>
      <c r="XL316" s="6"/>
      <c r="XM316" s="6"/>
      <c r="XN316" s="6"/>
      <c r="XO316" s="6"/>
      <c r="XP316" s="6"/>
      <c r="XQ316" s="6"/>
      <c r="XR316" s="6"/>
      <c r="XS316" s="6"/>
      <c r="XT316" s="6"/>
      <c r="XU316" s="6"/>
      <c r="XV316" s="6"/>
      <c r="XW316" s="6"/>
      <c r="XX316" s="6"/>
      <c r="XY316" s="6"/>
      <c r="XZ316" s="6"/>
      <c r="YA316" s="6"/>
      <c r="YB316" s="6"/>
      <c r="YC316" s="6"/>
      <c r="YD316" s="6"/>
      <c r="YE316" s="6"/>
      <c r="YF316" s="6"/>
      <c r="YG316" s="6"/>
      <c r="YH316" s="6"/>
      <c r="YI316" s="6"/>
      <c r="YJ316" s="6"/>
      <c r="YK316" s="6"/>
      <c r="YL316" s="6"/>
      <c r="YM316" s="6"/>
      <c r="YN316" s="6"/>
      <c r="YO316" s="6"/>
      <c r="YP316" s="6"/>
      <c r="YQ316" s="6"/>
      <c r="YR316" s="6"/>
      <c r="YS316" s="6"/>
      <c r="YT316" s="6"/>
      <c r="YU316" s="6"/>
      <c r="YV316" s="6"/>
      <c r="YW316" s="6"/>
      <c r="YX316" s="6"/>
      <c r="YY316" s="6"/>
      <c r="YZ316" s="6"/>
      <c r="ZA316" s="6"/>
      <c r="ZB316" s="6"/>
      <c r="ZC316" s="6"/>
      <c r="ZD316" s="6"/>
      <c r="ZE316" s="6"/>
      <c r="ZF316" s="6"/>
      <c r="ZG316" s="6"/>
      <c r="ZH316" s="6"/>
      <c r="ZI316" s="6"/>
      <c r="ZJ316" s="6"/>
      <c r="ZK316" s="6"/>
      <c r="ZL316" s="6"/>
      <c r="ZM316" s="6"/>
      <c r="ZN316" s="6"/>
      <c r="ZO316" s="6"/>
      <c r="ZP316" s="6"/>
      <c r="ZQ316" s="6"/>
      <c r="ZR316" s="6"/>
      <c r="ZS316" s="6"/>
      <c r="ZT316" s="6"/>
      <c r="ZU316" s="6"/>
      <c r="ZV316" s="6"/>
      <c r="ZW316" s="6"/>
      <c r="ZX316" s="6"/>
      <c r="ZY316" s="6"/>
      <c r="ZZ316" s="6"/>
      <c r="AAA316" s="6"/>
      <c r="AAB316" s="6"/>
      <c r="AAC316" s="6"/>
      <c r="AAD316" s="6"/>
      <c r="AAE316" s="6"/>
      <c r="AAF316" s="6"/>
      <c r="AAG316" s="6"/>
      <c r="AAH316" s="6"/>
      <c r="AAI316" s="6"/>
      <c r="AAJ316" s="6"/>
      <c r="AAK316" s="6"/>
      <c r="AAL316" s="6"/>
      <c r="AAM316" s="6"/>
      <c r="AAN316" s="6"/>
      <c r="AAO316" s="6"/>
      <c r="AAP316" s="6"/>
      <c r="AAQ316" s="6"/>
      <c r="AAR316" s="6"/>
      <c r="AAS316" s="6"/>
      <c r="AAT316" s="6"/>
      <c r="AAU316" s="6"/>
      <c r="AAV316" s="6"/>
      <c r="AAW316" s="6"/>
      <c r="AAX316" s="6"/>
      <c r="AAY316" s="6"/>
      <c r="AAZ316" s="6"/>
      <c r="ABA316" s="6"/>
      <c r="ABB316" s="6"/>
      <c r="ABC316" s="6"/>
      <c r="ABD316" s="6"/>
      <c r="ABE316" s="6"/>
      <c r="ABF316" s="6"/>
      <c r="ABG316" s="6"/>
      <c r="ABH316" s="6"/>
      <c r="ABI316" s="6"/>
      <c r="ABJ316" s="6"/>
      <c r="ABK316" s="6"/>
      <c r="ABL316" s="6"/>
      <c r="ABM316" s="6"/>
      <c r="ABN316" s="6"/>
      <c r="ABO316" s="6"/>
      <c r="ABP316" s="6"/>
      <c r="ABQ316" s="6"/>
      <c r="ABR316" s="6"/>
      <c r="ABS316" s="6"/>
      <c r="ABT316" s="6"/>
      <c r="ABU316" s="6"/>
      <c r="ABV316" s="6"/>
      <c r="ABW316" s="6"/>
      <c r="ABX316" s="6"/>
      <c r="ABY316" s="6"/>
      <c r="ABZ316" s="6"/>
      <c r="ACA316" s="6"/>
      <c r="ACB316" s="6"/>
      <c r="ACC316" s="6"/>
      <c r="ACD316" s="6"/>
      <c r="ACE316" s="6"/>
      <c r="ACF316" s="6"/>
      <c r="ACG316" s="6"/>
      <c r="ACH316" s="6"/>
      <c r="ACI316" s="6"/>
      <c r="ACJ316" s="6"/>
      <c r="ACK316" s="6"/>
      <c r="ACL316" s="6"/>
      <c r="ACM316" s="6"/>
      <c r="ACN316" s="6"/>
      <c r="ACO316" s="6"/>
      <c r="ACP316" s="6"/>
      <c r="ACQ316" s="6"/>
      <c r="ACR316" s="6"/>
      <c r="ACS316" s="6"/>
      <c r="ACT316" s="6"/>
      <c r="ACU316" s="6"/>
      <c r="ACV316" s="6"/>
      <c r="ACW316" s="6"/>
      <c r="ACX316" s="6"/>
      <c r="ACY316" s="6"/>
      <c r="ACZ316" s="6"/>
      <c r="ADA316" s="6"/>
      <c r="ADB316" s="6"/>
      <c r="ADC316" s="6"/>
      <c r="ADD316" s="6"/>
      <c r="ADE316" s="6"/>
      <c r="ADF316" s="6"/>
      <c r="ADG316" s="6"/>
      <c r="ADH316" s="6"/>
      <c r="ADI316" s="6"/>
      <c r="ADJ316" s="6"/>
      <c r="ADK316" s="6"/>
      <c r="ADL316" s="6"/>
      <c r="ADM316" s="6"/>
      <c r="ADN316" s="6"/>
      <c r="ADO316" s="6"/>
      <c r="ADP316" s="6"/>
      <c r="ADQ316" s="6"/>
      <c r="ADR316" s="6"/>
      <c r="ADS316" s="6"/>
      <c r="ADT316" s="6"/>
      <c r="ADU316" s="6"/>
      <c r="ADV316" s="6"/>
      <c r="ADW316" s="6"/>
      <c r="ADX316" s="6"/>
      <c r="ADY316" s="6"/>
      <c r="ADZ316" s="6"/>
      <c r="AEA316" s="6"/>
      <c r="AEB316" s="6"/>
      <c r="AEC316" s="6"/>
      <c r="AED316" s="6"/>
      <c r="AEE316" s="6"/>
      <c r="AEF316" s="6"/>
      <c r="AEG316" s="6"/>
      <c r="AEH316" s="6"/>
      <c r="AEI316" s="6"/>
      <c r="AEJ316" s="6"/>
      <c r="AEK316" s="6"/>
      <c r="AEL316" s="6"/>
      <c r="AEM316" s="6"/>
      <c r="AEN316" s="6"/>
      <c r="AEO316" s="6"/>
      <c r="AEP316" s="6"/>
      <c r="AEQ316" s="6"/>
      <c r="AER316" s="6"/>
      <c r="AES316" s="6"/>
      <c r="AET316" s="6"/>
      <c r="AEU316" s="6"/>
      <c r="AEV316" s="6"/>
      <c r="AEW316" s="6"/>
      <c r="AEX316" s="6"/>
      <c r="AEY316" s="6"/>
      <c r="AEZ316" s="6"/>
      <c r="AFA316" s="6"/>
      <c r="AFB316" s="6"/>
      <c r="AFC316" s="6"/>
      <c r="AFD316" s="6"/>
      <c r="AFE316" s="6"/>
      <c r="AFF316" s="6"/>
      <c r="AFG316" s="6"/>
      <c r="AFH316" s="6"/>
      <c r="AFI316" s="6"/>
      <c r="AFJ316" s="6"/>
      <c r="AFK316" s="6"/>
      <c r="AFL316" s="6"/>
      <c r="AFM316" s="6"/>
      <c r="AFN316" s="6"/>
      <c r="AFO316" s="6"/>
      <c r="AFP316" s="6"/>
      <c r="AFQ316" s="6"/>
      <c r="AFR316" s="6"/>
      <c r="AFS316" s="6"/>
      <c r="AFT316" s="6"/>
      <c r="AFU316" s="6"/>
      <c r="AFV316" s="6"/>
      <c r="AFW316" s="6"/>
      <c r="AFX316" s="6"/>
      <c r="AFY316" s="6"/>
      <c r="AFZ316" s="6"/>
      <c r="AGA316" s="6"/>
      <c r="AGB316" s="6"/>
      <c r="AGC316" s="6"/>
      <c r="AGD316" s="6"/>
      <c r="AGE316" s="6"/>
      <c r="AGF316" s="6"/>
      <c r="AGG316" s="6"/>
      <c r="AGH316" s="6"/>
      <c r="AGI316" s="6"/>
      <c r="AGJ316" s="6"/>
      <c r="AGK316" s="6"/>
      <c r="AGL316" s="6"/>
      <c r="AGM316" s="6"/>
      <c r="AGN316" s="6"/>
      <c r="AGO316" s="6"/>
      <c r="AGP316" s="6"/>
      <c r="AGQ316" s="6"/>
      <c r="AGR316" s="6"/>
      <c r="AGS316" s="6"/>
      <c r="AGT316" s="6"/>
      <c r="AGU316" s="6"/>
      <c r="AGV316" s="6"/>
      <c r="AGW316" s="6"/>
      <c r="AGX316" s="6"/>
      <c r="AGY316" s="6"/>
      <c r="AGZ316" s="6"/>
      <c r="AHA316" s="6"/>
      <c r="AHB316" s="6"/>
      <c r="AHC316" s="6"/>
      <c r="AHD316" s="6"/>
      <c r="AHE316" s="6"/>
      <c r="AHF316" s="6"/>
      <c r="AHG316" s="6"/>
      <c r="AHH316" s="6"/>
      <c r="AHI316" s="6"/>
      <c r="AHJ316" s="6"/>
      <c r="AHK316" s="6"/>
      <c r="AHL316" s="6"/>
      <c r="AHM316" s="6"/>
      <c r="AHN316" s="6"/>
      <c r="AHO316" s="6"/>
      <c r="AHP316" s="6"/>
      <c r="AHQ316" s="6"/>
      <c r="AHR316" s="6"/>
      <c r="AHS316" s="6"/>
      <c r="AHT316" s="6"/>
      <c r="AHU316" s="6"/>
      <c r="AHV316" s="6"/>
      <c r="AHW316" s="6"/>
      <c r="AHX316" s="6"/>
      <c r="AHY316" s="6"/>
      <c r="AHZ316" s="6"/>
      <c r="AIA316" s="6"/>
      <c r="AIB316" s="6"/>
      <c r="AIC316" s="6"/>
      <c r="AID316" s="6"/>
      <c r="AIE316" s="6"/>
      <c r="AIF316" s="6"/>
      <c r="AIG316" s="6"/>
      <c r="AIH316" s="6"/>
      <c r="AII316" s="6"/>
      <c r="AIJ316" s="6"/>
      <c r="AIK316" s="6"/>
      <c r="AIL316" s="6"/>
      <c r="AIM316" s="6"/>
      <c r="AIN316" s="6"/>
      <c r="AIO316" s="6"/>
      <c r="AIP316" s="6"/>
      <c r="AIQ316" s="6"/>
      <c r="AIR316" s="6"/>
      <c r="AIS316" s="6"/>
      <c r="AIT316" s="6"/>
      <c r="AIU316" s="6"/>
      <c r="AIV316" s="6"/>
      <c r="AIW316" s="6"/>
      <c r="AIX316" s="6"/>
      <c r="AIY316" s="6"/>
      <c r="AIZ316" s="6"/>
      <c r="AJA316" s="6"/>
      <c r="AJB316" s="6"/>
      <c r="AJC316" s="6"/>
      <c r="AJD316" s="6"/>
      <c r="AJE316" s="6"/>
      <c r="AJF316" s="6"/>
      <c r="AJG316" s="6"/>
      <c r="AJH316" s="6"/>
      <c r="AJI316" s="6"/>
      <c r="AJJ316" s="6"/>
      <c r="AJK316" s="6"/>
      <c r="AJL316" s="6"/>
      <c r="AJM316" s="6"/>
      <c r="AJN316" s="6"/>
      <c r="AJO316" s="6"/>
      <c r="AJP316" s="6"/>
      <c r="AJQ316" s="6"/>
      <c r="AJR316" s="6"/>
      <c r="AJS316" s="6"/>
      <c r="AJT316" s="6"/>
      <c r="AJU316" s="6"/>
      <c r="AJV316" s="6"/>
      <c r="AJW316" s="6"/>
      <c r="AJX316" s="6"/>
      <c r="AJY316" s="6"/>
      <c r="AJZ316" s="6"/>
      <c r="AKA316" s="6"/>
      <c r="AKB316" s="6"/>
      <c r="AKC316" s="6"/>
      <c r="AKD316" s="6"/>
      <c r="AKE316" s="6"/>
      <c r="AKF316" s="6"/>
      <c r="AKG316" s="6"/>
      <c r="AKH316" s="6"/>
      <c r="AKI316" s="6"/>
      <c r="AKJ316" s="6"/>
      <c r="AKK316" s="6"/>
      <c r="AKL316" s="6"/>
      <c r="AKM316" s="6"/>
      <c r="AKN316" s="6"/>
      <c r="AKO316" s="6"/>
      <c r="AKP316" s="6"/>
      <c r="AKQ316" s="6"/>
      <c r="AKR316" s="6"/>
      <c r="AKS316" s="6"/>
      <c r="AKT316" s="6"/>
      <c r="AKU316" s="6"/>
      <c r="AKV316" s="6"/>
      <c r="AKW316" s="6"/>
      <c r="AKX316" s="6"/>
      <c r="AKY316" s="6"/>
      <c r="AKZ316" s="6"/>
      <c r="ALA316" s="6"/>
      <c r="ALB316" s="6"/>
      <c r="ALC316" s="6"/>
      <c r="ALD316" s="6"/>
      <c r="ALE316" s="6"/>
      <c r="ALF316" s="6"/>
      <c r="ALG316" s="6"/>
      <c r="ALH316" s="6"/>
      <c r="ALI316" s="6"/>
      <c r="ALJ316" s="6"/>
      <c r="ALK316" s="6"/>
      <c r="ALL316" s="6"/>
      <c r="ALM316" s="6"/>
      <c r="ALN316" s="6"/>
      <c r="ALO316" s="6"/>
      <c r="ALP316" s="6"/>
      <c r="ALQ316" s="6"/>
      <c r="ALR316" s="6"/>
      <c r="ALS316" s="6"/>
      <c r="ALT316" s="6"/>
      <c r="ALU316" s="6"/>
      <c r="ALV316" s="6"/>
      <c r="ALW316" s="6"/>
      <c r="ALX316" s="6"/>
      <c r="ALY316" s="6"/>
      <c r="ALZ316" s="6"/>
      <c r="AMA316" s="6"/>
      <c r="AMB316" s="6"/>
      <c r="AMC316" s="6"/>
      <c r="AMD316" s="6"/>
      <c r="AME316" s="6"/>
      <c r="AMF316" s="6"/>
      <c r="AMG316" s="6"/>
      <c r="AMH316" s="6"/>
      <c r="AMI316" s="6"/>
      <c r="AMJ316" s="6"/>
      <c r="AMK316" s="6"/>
      <c r="AML316" s="6"/>
      <c r="AMM316" s="6"/>
      <c r="AMN316" s="6"/>
      <c r="AMO316" s="6"/>
      <c r="AMP316" s="6"/>
    </row>
    <row r="317" spans="1:1030" x14ac:dyDescent="0.2">
      <c r="A317" s="3" t="str">
        <f t="shared" si="1761"/>
        <v>calcr_human__wt</v>
      </c>
      <c r="B317" s="2" t="s">
        <v>401</v>
      </c>
      <c r="C317" s="3" t="s">
        <v>100</v>
      </c>
      <c r="D317" s="3" t="str">
        <f>IFERROR(MID(VLOOKUP($B317,Seqs!$A:$B,2,0),E317,1),"")</f>
        <v>T</v>
      </c>
      <c r="E317" s="3">
        <v>132</v>
      </c>
      <c r="F317" s="3" t="str">
        <f>IFERROR(MID(VLOOKUP($B317,Seqs!$A:$B,2,0),G317,1),"")</f>
        <v>F</v>
      </c>
      <c r="G317" s="3">
        <v>173</v>
      </c>
      <c r="H317" s="3" t="str">
        <f>IFERROR(MID(VLOOKUP($B317,Seqs!$A:$B,2,0),I317,1),"")</f>
        <v>R</v>
      </c>
      <c r="I317" s="23">
        <v>174</v>
      </c>
      <c r="J317" s="3" t="str">
        <f>IFERROR(MID(VLOOKUP($B317,Seqs!$A:$B,2,0),K317,1),"")</f>
        <v>G</v>
      </c>
      <c r="K317" s="23">
        <v>177</v>
      </c>
      <c r="L317" s="3" t="str">
        <f>IFERROR(MID(VLOOKUP($B317,Seqs!$A:$B,2,0),M317,1),"")</f>
        <v>C</v>
      </c>
      <c r="M317" s="3">
        <v>178</v>
      </c>
      <c r="N317" s="3" t="str">
        <f>IFERROR(MID(VLOOKUP($B317,Seqs!$A:$B,2,0),O317,1),"")</f>
        <v>V</v>
      </c>
      <c r="O317" s="3">
        <v>205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V</v>
      </c>
      <c r="U317" s="105">
        <v>217</v>
      </c>
      <c r="V317" s="3" t="str">
        <f>IFERROR(MID(VLOOKUP($B317,Seqs!$A:$B,2,0),W317,1),"")</f>
        <v>V</v>
      </c>
      <c r="W317" s="3">
        <v>250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R</v>
      </c>
      <c r="AC317" s="3">
        <v>258</v>
      </c>
      <c r="AD317" s="3" t="str">
        <f>IFERROR(MID(VLOOKUP($B317,Seqs!$A:$B,2,0),AE317,1),"")</f>
        <v>F</v>
      </c>
      <c r="AE317" s="3">
        <v>285</v>
      </c>
      <c r="AF317" s="3" t="str">
        <f>IFERROR(MID(VLOOKUP($B317,Seqs!$A:$B,2,0),AG317,1),"")</f>
        <v>C</v>
      </c>
      <c r="AG317" s="3">
        <v>289</v>
      </c>
      <c r="AH317" s="3" t="str">
        <f>IFERROR(MID(VLOOKUP($B317,Seqs!$A:$B,2,0),AI317,1),"")</f>
        <v>L</v>
      </c>
      <c r="AI317" s="3">
        <v>291</v>
      </c>
      <c r="AJ317" s="3" t="str">
        <f>IFERROR(MID(VLOOKUP($B317,Seqs!$A:$B,2,0),AK317,1),"")</f>
        <v>L</v>
      </c>
      <c r="AK317" s="3">
        <v>298</v>
      </c>
      <c r="AL317" s="3" t="str">
        <f>IFERROR(MID(VLOOKUP($B317,Seqs!$A:$B,2,0),AM317,1),"")</f>
        <v>R</v>
      </c>
      <c r="AM317" s="3">
        <v>328</v>
      </c>
      <c r="AN317" s="3" t="str">
        <f>IFERROR(MID(VLOOKUP($B317,Seqs!$A:$B,2,0),AO317,1),"")</f>
        <v>Y</v>
      </c>
      <c r="AO317" s="3">
        <v>338</v>
      </c>
      <c r="AP317" s="3" t="str">
        <f>IFERROR(MID(VLOOKUP($B317,Seqs!$A:$B,2,0),AQ317,1),"")</f>
        <v>W</v>
      </c>
      <c r="AQ317" s="3">
        <v>361</v>
      </c>
      <c r="AR317" s="3" t="str">
        <f>IFERROR(MID(VLOOKUP($B317,Seqs!$A:$B,2,0),AS317,1),"")</f>
        <v>K</v>
      </c>
      <c r="AS317" s="3">
        <v>366</v>
      </c>
      <c r="AT317" s="3" t="str">
        <f>IFERROR(MID(VLOOKUP($B317,Seqs!$A:$B,2,0),AU317,1),"")</f>
        <v>C</v>
      </c>
      <c r="AU317" s="3">
        <v>394</v>
      </c>
      <c r="AV317" s="3" t="str">
        <f>IFERROR(MID(VLOOKUP($B317,Seqs!$A:$B,2,0),AW317,1),"")</f>
        <v>N</v>
      </c>
      <c r="AW317" s="3">
        <v>395</v>
      </c>
      <c r="AX317" s="3" t="str">
        <f>IFERROR(MID(VLOOKUP($B317,Seqs!$A:$B,2,0),AY317,1),"")</f>
        <v>R</v>
      </c>
      <c r="AY317" s="3">
        <v>420</v>
      </c>
      <c r="AZ317" s="77" t="str">
        <f>VLOOKUP(B317,Classification!A:D,2,0)</f>
        <v>B1</v>
      </c>
      <c r="BA317" s="94" t="str">
        <f>VLOOKUP(B317,Classification!A:D,4,0)</f>
        <v>Calcitonin</v>
      </c>
      <c r="BB317" s="27" t="b">
        <f t="shared" si="1734"/>
        <v>1</v>
      </c>
      <c r="BC317" s="23">
        <f t="shared" si="1735"/>
        <v>251</v>
      </c>
      <c r="BD317" s="4" t="s">
        <v>23</v>
      </c>
      <c r="BE317" s="3" t="s">
        <v>23</v>
      </c>
      <c r="BF317" s="119" t="s">
        <v>23</v>
      </c>
      <c r="BG317" s="49" t="s">
        <v>1378</v>
      </c>
      <c r="BH317" s="49" t="s">
        <v>1378</v>
      </c>
      <c r="BI317" s="1"/>
      <c r="BJ317" s="70" t="s">
        <v>1288</v>
      </c>
      <c r="BK317" s="57" t="s">
        <v>1288</v>
      </c>
      <c r="BL317" s="57" t="s">
        <v>1288</v>
      </c>
      <c r="BM317" s="57" t="s">
        <v>1288</v>
      </c>
      <c r="BN317" s="57" t="s">
        <v>1288</v>
      </c>
      <c r="BO317" s="57" t="s">
        <v>1288</v>
      </c>
      <c r="BP317" s="57" t="s">
        <v>1288</v>
      </c>
      <c r="BQ317" s="57" t="s">
        <v>1288</v>
      </c>
      <c r="BR317" s="57" t="s">
        <v>1288</v>
      </c>
      <c r="BS317" s="57" t="s">
        <v>1288</v>
      </c>
      <c r="BT317" s="57" t="s">
        <v>1288</v>
      </c>
      <c r="BU317" s="57" t="s">
        <v>1288</v>
      </c>
      <c r="BV317" s="70">
        <f t="shared" si="1736"/>
        <v>132</v>
      </c>
      <c r="BW317" s="71">
        <f t="shared" si="1737"/>
        <v>174</v>
      </c>
      <c r="BX317" s="72">
        <f t="shared" si="1738"/>
        <v>178</v>
      </c>
      <c r="BY317" s="71" t="str">
        <f t="shared" si="1739"/>
        <v>-</v>
      </c>
      <c r="BZ317" s="72">
        <f t="shared" si="1740"/>
        <v>217</v>
      </c>
      <c r="CA317" s="71" t="str">
        <f t="shared" si="1741"/>
        <v>-</v>
      </c>
      <c r="CB317" s="72">
        <f t="shared" si="1742"/>
        <v>258</v>
      </c>
      <c r="CC317" s="71">
        <f t="shared" si="1743"/>
        <v>289</v>
      </c>
      <c r="CD317" s="72">
        <f t="shared" si="1744"/>
        <v>298</v>
      </c>
      <c r="CE317" s="71">
        <f t="shared" si="1745"/>
        <v>338</v>
      </c>
      <c r="CF317" s="72">
        <f t="shared" si="1746"/>
        <v>366</v>
      </c>
      <c r="CG317" s="71">
        <f t="shared" si="1747"/>
        <v>395</v>
      </c>
      <c r="CH317" s="70">
        <f t="shared" si="1748"/>
        <v>173</v>
      </c>
      <c r="CI317" s="71">
        <f t="shared" si="1749"/>
        <v>177</v>
      </c>
      <c r="CJ317" s="72">
        <f t="shared" si="1750"/>
        <v>205</v>
      </c>
      <c r="CK317" s="72" t="str">
        <f t="shared" si="1751"/>
        <v>-</v>
      </c>
      <c r="CL317" s="72">
        <f t="shared" si="1752"/>
        <v>250</v>
      </c>
      <c r="CM317" s="72" t="str">
        <f t="shared" si="1753"/>
        <v>-</v>
      </c>
      <c r="CN317" s="72">
        <f t="shared" si="1754"/>
        <v>285</v>
      </c>
      <c r="CO317" s="72">
        <f t="shared" si="1755"/>
        <v>291</v>
      </c>
      <c r="CP317" s="72">
        <f t="shared" si="1756"/>
        <v>328</v>
      </c>
      <c r="CQ317" s="72">
        <f t="shared" si="1757"/>
        <v>361</v>
      </c>
      <c r="CR317" s="72">
        <f t="shared" si="1758"/>
        <v>394</v>
      </c>
      <c r="CS317" s="72">
        <f t="shared" si="1759"/>
        <v>420</v>
      </c>
      <c r="CT317" s="23">
        <f t="shared" si="1760"/>
        <v>1</v>
      </c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  <c r="SG317" s="6"/>
      <c r="SH317" s="6"/>
      <c r="SI317" s="6"/>
      <c r="SJ317" s="6"/>
      <c r="SK317" s="6"/>
      <c r="SL317" s="6"/>
      <c r="SM317" s="6"/>
      <c r="SN317" s="6"/>
      <c r="SO317" s="6"/>
      <c r="SP317" s="6"/>
      <c r="SQ317" s="6"/>
      <c r="SR317" s="6"/>
      <c r="SS317" s="6"/>
      <c r="ST317" s="6"/>
      <c r="SU317" s="6"/>
      <c r="SV317" s="6"/>
      <c r="SW317" s="6"/>
      <c r="SX317" s="6"/>
      <c r="SY317" s="6"/>
      <c r="SZ317" s="6"/>
      <c r="TA317" s="6"/>
      <c r="TB317" s="6"/>
      <c r="TC317" s="6"/>
      <c r="TD317" s="6"/>
      <c r="TE317" s="6"/>
      <c r="TF317" s="6"/>
      <c r="TG317" s="6"/>
      <c r="TH317" s="6"/>
      <c r="TI317" s="6"/>
      <c r="TJ317" s="6"/>
      <c r="TK317" s="6"/>
      <c r="TL317" s="6"/>
      <c r="TM317" s="6"/>
      <c r="TN317" s="6"/>
      <c r="TO317" s="6"/>
      <c r="TP317" s="6"/>
      <c r="TQ317" s="6"/>
      <c r="TR317" s="6"/>
      <c r="TS317" s="6"/>
      <c r="TT317" s="6"/>
      <c r="TU317" s="6"/>
      <c r="TV317" s="6"/>
      <c r="TW317" s="6"/>
      <c r="TX317" s="6"/>
      <c r="TY317" s="6"/>
      <c r="TZ317" s="6"/>
      <c r="UA317" s="6"/>
      <c r="UB317" s="6"/>
      <c r="UC317" s="6"/>
      <c r="UD317" s="6"/>
      <c r="UE317" s="6"/>
      <c r="UF317" s="6"/>
      <c r="UG317" s="6"/>
      <c r="UH317" s="6"/>
      <c r="UI317" s="6"/>
      <c r="UJ317" s="6"/>
      <c r="UK317" s="6"/>
      <c r="UL317" s="6"/>
      <c r="UM317" s="6"/>
      <c r="UN317" s="6"/>
      <c r="UO317" s="6"/>
      <c r="UP317" s="6"/>
      <c r="UQ317" s="6"/>
      <c r="UR317" s="6"/>
      <c r="US317" s="6"/>
      <c r="UT317" s="6"/>
      <c r="UU317" s="6"/>
      <c r="UV317" s="6"/>
      <c r="UW317" s="6"/>
      <c r="UX317" s="6"/>
      <c r="UY317" s="6"/>
      <c r="UZ317" s="6"/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6"/>
      <c r="VM317" s="6"/>
      <c r="VN317" s="6"/>
      <c r="VO317" s="6"/>
      <c r="VP317" s="6"/>
      <c r="VQ317" s="6"/>
      <c r="VR317" s="6"/>
      <c r="VS317" s="6"/>
      <c r="VT317" s="6"/>
      <c r="VU317" s="6"/>
      <c r="VV317" s="6"/>
      <c r="VW317" s="6"/>
      <c r="VX317" s="6"/>
      <c r="VY317" s="6"/>
      <c r="VZ317" s="6"/>
      <c r="WA317" s="6"/>
      <c r="WB317" s="6"/>
      <c r="WC317" s="6"/>
      <c r="WD317" s="6"/>
      <c r="WE317" s="6"/>
      <c r="WF317" s="6"/>
      <c r="WG317" s="6"/>
      <c r="WH317" s="6"/>
      <c r="WI317" s="6"/>
      <c r="WJ317" s="6"/>
      <c r="WK317" s="6"/>
      <c r="WL317" s="6"/>
      <c r="WM317" s="6"/>
      <c r="WN317" s="6"/>
      <c r="WO317" s="6"/>
      <c r="WP317" s="6"/>
      <c r="WQ317" s="6"/>
      <c r="WR317" s="6"/>
      <c r="WS317" s="6"/>
      <c r="WT317" s="6"/>
      <c r="WU317" s="6"/>
      <c r="WV317" s="6"/>
      <c r="WW317" s="6"/>
      <c r="WX317" s="6"/>
      <c r="WY317" s="6"/>
      <c r="WZ317" s="6"/>
      <c r="XA317" s="6"/>
      <c r="XB317" s="6"/>
      <c r="XC317" s="6"/>
      <c r="XD317" s="6"/>
      <c r="XE317" s="6"/>
      <c r="XF317" s="6"/>
      <c r="XG317" s="6"/>
      <c r="XH317" s="6"/>
      <c r="XI317" s="6"/>
      <c r="XJ317" s="6"/>
      <c r="XK317" s="6"/>
      <c r="XL317" s="6"/>
      <c r="XM317" s="6"/>
      <c r="XN317" s="6"/>
      <c r="XO317" s="6"/>
      <c r="XP317" s="6"/>
      <c r="XQ317" s="6"/>
      <c r="XR317" s="6"/>
      <c r="XS317" s="6"/>
      <c r="XT317" s="6"/>
      <c r="XU317" s="6"/>
      <c r="XV317" s="6"/>
      <c r="XW317" s="6"/>
      <c r="XX317" s="6"/>
      <c r="XY317" s="6"/>
      <c r="XZ317" s="6"/>
      <c r="YA317" s="6"/>
      <c r="YB317" s="6"/>
      <c r="YC317" s="6"/>
      <c r="YD317" s="6"/>
      <c r="YE317" s="6"/>
      <c r="YF317" s="6"/>
      <c r="YG317" s="6"/>
      <c r="YH317" s="6"/>
      <c r="YI317" s="6"/>
      <c r="YJ317" s="6"/>
      <c r="YK317" s="6"/>
      <c r="YL317" s="6"/>
      <c r="YM317" s="6"/>
      <c r="YN317" s="6"/>
      <c r="YO317" s="6"/>
      <c r="YP317" s="6"/>
      <c r="YQ317" s="6"/>
      <c r="YR317" s="6"/>
      <c r="YS317" s="6"/>
      <c r="YT317" s="6"/>
      <c r="YU317" s="6"/>
      <c r="YV317" s="6"/>
      <c r="YW317" s="6"/>
      <c r="YX317" s="6"/>
      <c r="YY317" s="6"/>
      <c r="YZ317" s="6"/>
      <c r="ZA317" s="6"/>
      <c r="ZB317" s="6"/>
      <c r="ZC317" s="6"/>
      <c r="ZD317" s="6"/>
      <c r="ZE317" s="6"/>
      <c r="ZF317" s="6"/>
      <c r="ZG317" s="6"/>
      <c r="ZH317" s="6"/>
      <c r="ZI317" s="6"/>
      <c r="ZJ317" s="6"/>
      <c r="ZK317" s="6"/>
      <c r="ZL317" s="6"/>
      <c r="ZM317" s="6"/>
      <c r="ZN317" s="6"/>
      <c r="ZO317" s="6"/>
      <c r="ZP317" s="6"/>
      <c r="ZQ317" s="6"/>
      <c r="ZR317" s="6"/>
      <c r="ZS317" s="6"/>
      <c r="ZT317" s="6"/>
      <c r="ZU317" s="6"/>
      <c r="ZV317" s="6"/>
      <c r="ZW317" s="6"/>
      <c r="ZX317" s="6"/>
      <c r="ZY317" s="6"/>
      <c r="ZZ317" s="6"/>
      <c r="AAA317" s="6"/>
      <c r="AAB317" s="6"/>
      <c r="AAC317" s="6"/>
      <c r="AAD317" s="6"/>
      <c r="AAE317" s="6"/>
      <c r="AAF317" s="6"/>
      <c r="AAG317" s="6"/>
      <c r="AAH317" s="6"/>
      <c r="AAI317" s="6"/>
      <c r="AAJ317" s="6"/>
      <c r="AAK317" s="6"/>
      <c r="AAL317" s="6"/>
      <c r="AAM317" s="6"/>
      <c r="AAN317" s="6"/>
      <c r="AAO317" s="6"/>
      <c r="AAP317" s="6"/>
      <c r="AAQ317" s="6"/>
      <c r="AAR317" s="6"/>
      <c r="AAS317" s="6"/>
      <c r="AAT317" s="6"/>
      <c r="AAU317" s="6"/>
      <c r="AAV317" s="6"/>
      <c r="AAW317" s="6"/>
      <c r="AAX317" s="6"/>
      <c r="AAY317" s="6"/>
      <c r="AAZ317" s="6"/>
      <c r="ABA317" s="6"/>
      <c r="ABB317" s="6"/>
      <c r="ABC317" s="6"/>
      <c r="ABD317" s="6"/>
      <c r="ABE317" s="6"/>
      <c r="ABF317" s="6"/>
      <c r="ABG317" s="6"/>
      <c r="ABH317" s="6"/>
      <c r="ABI317" s="6"/>
      <c r="ABJ317" s="6"/>
      <c r="ABK317" s="6"/>
      <c r="ABL317" s="6"/>
      <c r="ABM317" s="6"/>
      <c r="ABN317" s="6"/>
      <c r="ABO317" s="6"/>
      <c r="ABP317" s="6"/>
      <c r="ABQ317" s="6"/>
      <c r="ABR317" s="6"/>
      <c r="ABS317" s="6"/>
      <c r="ABT317" s="6"/>
      <c r="ABU317" s="6"/>
      <c r="ABV317" s="6"/>
      <c r="ABW317" s="6"/>
      <c r="ABX317" s="6"/>
      <c r="ABY317" s="6"/>
      <c r="ABZ317" s="6"/>
      <c r="ACA317" s="6"/>
      <c r="ACB317" s="6"/>
      <c r="ACC317" s="6"/>
      <c r="ACD317" s="6"/>
      <c r="ACE317" s="6"/>
      <c r="ACF317" s="6"/>
      <c r="ACG317" s="6"/>
      <c r="ACH317" s="6"/>
      <c r="ACI317" s="6"/>
      <c r="ACJ317" s="6"/>
      <c r="ACK317" s="6"/>
      <c r="ACL317" s="6"/>
      <c r="ACM317" s="6"/>
      <c r="ACN317" s="6"/>
      <c r="ACO317" s="6"/>
      <c r="ACP317" s="6"/>
      <c r="ACQ317" s="6"/>
      <c r="ACR317" s="6"/>
      <c r="ACS317" s="6"/>
      <c r="ACT317" s="6"/>
      <c r="ACU317" s="6"/>
      <c r="ACV317" s="6"/>
      <c r="ACW317" s="6"/>
      <c r="ACX317" s="6"/>
      <c r="ACY317" s="6"/>
      <c r="ACZ317" s="6"/>
      <c r="ADA317" s="6"/>
      <c r="ADB317" s="6"/>
      <c r="ADC317" s="6"/>
      <c r="ADD317" s="6"/>
      <c r="ADE317" s="6"/>
      <c r="ADF317" s="6"/>
      <c r="ADG317" s="6"/>
      <c r="ADH317" s="6"/>
      <c r="ADI317" s="6"/>
      <c r="ADJ317" s="6"/>
      <c r="ADK317" s="6"/>
      <c r="ADL317" s="6"/>
      <c r="ADM317" s="6"/>
      <c r="ADN317" s="6"/>
      <c r="ADO317" s="6"/>
      <c r="ADP317" s="6"/>
      <c r="ADQ317" s="6"/>
      <c r="ADR317" s="6"/>
      <c r="ADS317" s="6"/>
      <c r="ADT317" s="6"/>
      <c r="ADU317" s="6"/>
      <c r="ADV317" s="6"/>
      <c r="ADW317" s="6"/>
      <c r="ADX317" s="6"/>
      <c r="ADY317" s="6"/>
      <c r="ADZ317" s="6"/>
      <c r="AEA317" s="6"/>
      <c r="AEB317" s="6"/>
      <c r="AEC317" s="6"/>
      <c r="AED317" s="6"/>
      <c r="AEE317" s="6"/>
      <c r="AEF317" s="6"/>
      <c r="AEG317" s="6"/>
      <c r="AEH317" s="6"/>
      <c r="AEI317" s="6"/>
      <c r="AEJ317" s="6"/>
      <c r="AEK317" s="6"/>
      <c r="AEL317" s="6"/>
      <c r="AEM317" s="6"/>
      <c r="AEN317" s="6"/>
      <c r="AEO317" s="6"/>
      <c r="AEP317" s="6"/>
      <c r="AEQ317" s="6"/>
      <c r="AER317" s="6"/>
      <c r="AES317" s="6"/>
      <c r="AET317" s="6"/>
      <c r="AEU317" s="6"/>
      <c r="AEV317" s="6"/>
      <c r="AEW317" s="6"/>
      <c r="AEX317" s="6"/>
      <c r="AEY317" s="6"/>
      <c r="AEZ317" s="6"/>
      <c r="AFA317" s="6"/>
      <c r="AFB317" s="6"/>
      <c r="AFC317" s="6"/>
      <c r="AFD317" s="6"/>
      <c r="AFE317" s="6"/>
      <c r="AFF317" s="6"/>
      <c r="AFG317" s="6"/>
      <c r="AFH317" s="6"/>
      <c r="AFI317" s="6"/>
      <c r="AFJ317" s="6"/>
      <c r="AFK317" s="6"/>
      <c r="AFL317" s="6"/>
      <c r="AFM317" s="6"/>
      <c r="AFN317" s="6"/>
      <c r="AFO317" s="6"/>
      <c r="AFP317" s="6"/>
      <c r="AFQ317" s="6"/>
      <c r="AFR317" s="6"/>
      <c r="AFS317" s="6"/>
      <c r="AFT317" s="6"/>
      <c r="AFU317" s="6"/>
      <c r="AFV317" s="6"/>
      <c r="AFW317" s="6"/>
      <c r="AFX317" s="6"/>
      <c r="AFY317" s="6"/>
      <c r="AFZ317" s="6"/>
      <c r="AGA317" s="6"/>
      <c r="AGB317" s="6"/>
      <c r="AGC317" s="6"/>
      <c r="AGD317" s="6"/>
      <c r="AGE317" s="6"/>
      <c r="AGF317" s="6"/>
      <c r="AGG317" s="6"/>
      <c r="AGH317" s="6"/>
      <c r="AGI317" s="6"/>
      <c r="AGJ317" s="6"/>
      <c r="AGK317" s="6"/>
      <c r="AGL317" s="6"/>
      <c r="AGM317" s="6"/>
      <c r="AGN317" s="6"/>
      <c r="AGO317" s="6"/>
      <c r="AGP317" s="6"/>
      <c r="AGQ317" s="6"/>
      <c r="AGR317" s="6"/>
      <c r="AGS317" s="6"/>
      <c r="AGT317" s="6"/>
      <c r="AGU317" s="6"/>
      <c r="AGV317" s="6"/>
      <c r="AGW317" s="6"/>
      <c r="AGX317" s="6"/>
      <c r="AGY317" s="6"/>
      <c r="AGZ317" s="6"/>
      <c r="AHA317" s="6"/>
      <c r="AHB317" s="6"/>
      <c r="AHC317" s="6"/>
      <c r="AHD317" s="6"/>
      <c r="AHE317" s="6"/>
      <c r="AHF317" s="6"/>
      <c r="AHG317" s="6"/>
      <c r="AHH317" s="6"/>
      <c r="AHI317" s="6"/>
      <c r="AHJ317" s="6"/>
      <c r="AHK317" s="6"/>
      <c r="AHL317" s="6"/>
      <c r="AHM317" s="6"/>
      <c r="AHN317" s="6"/>
      <c r="AHO317" s="6"/>
      <c r="AHP317" s="6"/>
      <c r="AHQ317" s="6"/>
      <c r="AHR317" s="6"/>
      <c r="AHS317" s="6"/>
      <c r="AHT317" s="6"/>
      <c r="AHU317" s="6"/>
      <c r="AHV317" s="6"/>
      <c r="AHW317" s="6"/>
      <c r="AHX317" s="6"/>
      <c r="AHY317" s="6"/>
      <c r="AHZ317" s="6"/>
      <c r="AIA317" s="6"/>
      <c r="AIB317" s="6"/>
      <c r="AIC317" s="6"/>
      <c r="AID317" s="6"/>
      <c r="AIE317" s="6"/>
      <c r="AIF317" s="6"/>
      <c r="AIG317" s="6"/>
      <c r="AIH317" s="6"/>
      <c r="AII317" s="6"/>
      <c r="AIJ317" s="6"/>
      <c r="AIK317" s="6"/>
      <c r="AIL317" s="6"/>
      <c r="AIM317" s="6"/>
      <c r="AIN317" s="6"/>
      <c r="AIO317" s="6"/>
      <c r="AIP317" s="6"/>
      <c r="AIQ317" s="6"/>
      <c r="AIR317" s="6"/>
      <c r="AIS317" s="6"/>
      <c r="AIT317" s="6"/>
      <c r="AIU317" s="6"/>
      <c r="AIV317" s="6"/>
      <c r="AIW317" s="6"/>
      <c r="AIX317" s="6"/>
      <c r="AIY317" s="6"/>
      <c r="AIZ317" s="6"/>
      <c r="AJA317" s="6"/>
      <c r="AJB317" s="6"/>
      <c r="AJC317" s="6"/>
      <c r="AJD317" s="6"/>
      <c r="AJE317" s="6"/>
      <c r="AJF317" s="6"/>
      <c r="AJG317" s="6"/>
      <c r="AJH317" s="6"/>
      <c r="AJI317" s="6"/>
      <c r="AJJ317" s="6"/>
      <c r="AJK317" s="6"/>
      <c r="AJL317" s="6"/>
      <c r="AJM317" s="6"/>
      <c r="AJN317" s="6"/>
      <c r="AJO317" s="6"/>
      <c r="AJP317" s="6"/>
      <c r="AJQ317" s="6"/>
      <c r="AJR317" s="6"/>
      <c r="AJS317" s="6"/>
      <c r="AJT317" s="6"/>
      <c r="AJU317" s="6"/>
      <c r="AJV317" s="6"/>
      <c r="AJW317" s="6"/>
      <c r="AJX317" s="6"/>
      <c r="AJY317" s="6"/>
      <c r="AJZ317" s="6"/>
      <c r="AKA317" s="6"/>
      <c r="AKB317" s="6"/>
      <c r="AKC317" s="6"/>
      <c r="AKD317" s="6"/>
      <c r="AKE317" s="6"/>
      <c r="AKF317" s="6"/>
      <c r="AKG317" s="6"/>
      <c r="AKH317" s="6"/>
      <c r="AKI317" s="6"/>
      <c r="AKJ317" s="6"/>
      <c r="AKK317" s="6"/>
      <c r="AKL317" s="6"/>
      <c r="AKM317" s="6"/>
      <c r="AKN317" s="6"/>
      <c r="AKO317" s="6"/>
      <c r="AKP317" s="6"/>
      <c r="AKQ317" s="6"/>
      <c r="AKR317" s="6"/>
      <c r="AKS317" s="6"/>
      <c r="AKT317" s="6"/>
      <c r="AKU317" s="6"/>
      <c r="AKV317" s="6"/>
      <c r="AKW317" s="6"/>
      <c r="AKX317" s="6"/>
      <c r="AKY317" s="6"/>
      <c r="AKZ317" s="6"/>
      <c r="ALA317" s="6"/>
      <c r="ALB317" s="6"/>
      <c r="ALC317" s="6"/>
      <c r="ALD317" s="6"/>
      <c r="ALE317" s="6"/>
      <c r="ALF317" s="6"/>
      <c r="ALG317" s="6"/>
      <c r="ALH317" s="6"/>
      <c r="ALI317" s="6"/>
      <c r="ALJ317" s="6"/>
      <c r="ALK317" s="6"/>
      <c r="ALL317" s="6"/>
      <c r="ALM317" s="6"/>
      <c r="ALN317" s="6"/>
      <c r="ALO317" s="6"/>
      <c r="ALP317" s="6"/>
      <c r="ALQ317" s="6"/>
      <c r="ALR317" s="6"/>
      <c r="ALS317" s="6"/>
      <c r="ALT317" s="6"/>
      <c r="ALU317" s="6"/>
      <c r="ALV317" s="6"/>
      <c r="ALW317" s="6"/>
      <c r="ALX317" s="6"/>
      <c r="ALY317" s="6"/>
      <c r="ALZ317" s="6"/>
      <c r="AMA317" s="6"/>
      <c r="AMB317" s="6"/>
      <c r="AMC317" s="6"/>
      <c r="AMD317" s="6"/>
      <c r="AME317" s="6"/>
      <c r="AMF317" s="6"/>
      <c r="AMG317" s="6"/>
      <c r="AMH317" s="6"/>
      <c r="AMI317" s="6"/>
      <c r="AMJ317" s="6"/>
      <c r="AMK317" s="6"/>
      <c r="AML317" s="6"/>
      <c r="AMM317" s="6"/>
      <c r="AMN317" s="6"/>
      <c r="AMO317" s="6"/>
      <c r="AMP317" s="6"/>
    </row>
    <row r="318" spans="1:1030" x14ac:dyDescent="0.2">
      <c r="A318" s="3" t="str">
        <f t="shared" si="1761"/>
        <v>calcr_human_5UZ7</v>
      </c>
      <c r="B318" s="2" t="s">
        <v>401</v>
      </c>
      <c r="C318" s="3" t="s">
        <v>1402</v>
      </c>
      <c r="D318" s="3" t="str">
        <f>IFERROR(MID(VLOOKUP($B318,Seqs!$A:$B,2,0),E318,1),"")</f>
        <v>A</v>
      </c>
      <c r="E318" s="3">
        <v>136</v>
      </c>
      <c r="F318" s="3" t="str">
        <f>IFERROR(MID(VLOOKUP($B318,Seqs!$A:$B,2,0),G318,1),"")</f>
        <v>F</v>
      </c>
      <c r="G318" s="3">
        <v>173</v>
      </c>
      <c r="H318" s="3" t="str">
        <f>IFERROR(MID(VLOOKUP($B318,Seqs!$A:$B,2,0),I318,1),"")</f>
        <v>R</v>
      </c>
      <c r="I318" s="23">
        <v>174</v>
      </c>
      <c r="J318" s="3" t="str">
        <f>IFERROR(MID(VLOOKUP($B318,Seqs!$A:$B,2,0),K318,1),"")</f>
        <v>G</v>
      </c>
      <c r="K318" s="23">
        <v>177</v>
      </c>
      <c r="L318" s="3" t="str">
        <f>IFERROR(MID(VLOOKUP($B318,Seqs!$A:$B,2,0),M318,1),"")</f>
        <v>C</v>
      </c>
      <c r="M318" s="3">
        <v>178</v>
      </c>
      <c r="N318" s="3" t="str">
        <f>IFERROR(MID(VLOOKUP($B318,Seqs!$A:$B,2,0),O318,1),"")</f>
        <v>V</v>
      </c>
      <c r="O318" s="3">
        <v>205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D</v>
      </c>
      <c r="U318" s="3">
        <v>215</v>
      </c>
      <c r="V318" s="3" t="str">
        <f>IFERROR(MID(VLOOKUP($B318,Seqs!$A:$B,2,0),W318,1),"")</f>
        <v>V</v>
      </c>
      <c r="W318" s="3">
        <v>250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R</v>
      </c>
      <c r="AC318" s="3">
        <v>258</v>
      </c>
      <c r="AD318" s="3" t="str">
        <f>IFERROR(MID(VLOOKUP($B318,Seqs!$A:$B,2,0),AE318,1),"")</f>
        <v>F</v>
      </c>
      <c r="AE318" s="3">
        <v>285</v>
      </c>
      <c r="AF318" s="3" t="str">
        <f>IFERROR(MID(VLOOKUP($B318,Seqs!$A:$B,2,0),AG318,1),"")</f>
        <v>C</v>
      </c>
      <c r="AG318" s="3">
        <v>289</v>
      </c>
      <c r="AH318" s="3" t="str">
        <f>IFERROR(MID(VLOOKUP($B318,Seqs!$A:$B,2,0),AI318,1),"")</f>
        <v>L</v>
      </c>
      <c r="AI318" s="3">
        <v>291</v>
      </c>
      <c r="AJ318" s="3" t="str">
        <f>IFERROR(MID(VLOOKUP($B318,Seqs!$A:$B,2,0),AK318,1),"")</f>
        <v>L</v>
      </c>
      <c r="AK318" s="3">
        <v>298</v>
      </c>
      <c r="AL318" s="3" t="str">
        <f>IFERROR(MID(VLOOKUP($B318,Seqs!$A:$B,2,0),AM318,1),"")</f>
        <v>R</v>
      </c>
      <c r="AM318" s="3">
        <v>328</v>
      </c>
      <c r="AN318" s="3" t="str">
        <f>IFERROR(MID(VLOOKUP($B318,Seqs!$A:$B,2,0),AO318,1),"")</f>
        <v>L</v>
      </c>
      <c r="AO318" s="3">
        <v>352</v>
      </c>
      <c r="AP318" s="3" t="str">
        <f>IFERROR(MID(VLOOKUP($B318,Seqs!$A:$B,2,0),AQ318,1),"")</f>
        <v>P</v>
      </c>
      <c r="AQ318" s="3">
        <v>360</v>
      </c>
      <c r="AR318" s="3" t="str">
        <f>IFERROR(MID(VLOOKUP($B318,Seqs!$A:$B,2,0),AS318,1),"")</f>
        <v>K</v>
      </c>
      <c r="AS318" s="3">
        <v>366</v>
      </c>
      <c r="AT318" s="3" t="str">
        <f>IFERROR(MID(VLOOKUP($B318,Seqs!$A:$B,2,0),AU318,1),"")</f>
        <v>C</v>
      </c>
      <c r="AU318" s="3">
        <v>394</v>
      </c>
      <c r="AV318" s="3" t="str">
        <f>IFERROR(MID(VLOOKUP($B318,Seqs!$A:$B,2,0),AW318,1),"")</f>
        <v>N</v>
      </c>
      <c r="AW318" s="3">
        <v>395</v>
      </c>
      <c r="AX318" s="3" t="str">
        <f>IFERROR(MID(VLOOKUP($B318,Seqs!$A:$B,2,0),AY318,1),"")</f>
        <v>G</v>
      </c>
      <c r="AY318" s="3">
        <v>418</v>
      </c>
      <c r="AZ318" s="77" t="str">
        <f>VLOOKUP(B318,Classification!A:D,2,0)</f>
        <v>B1</v>
      </c>
      <c r="BA318" s="94" t="str">
        <f>VLOOKUP(B318,Classification!A:D,4,0)</f>
        <v>Calcitonin</v>
      </c>
      <c r="BB318" s="27" t="b">
        <f t="shared" si="1734"/>
        <v>1</v>
      </c>
      <c r="BC318" s="23">
        <f t="shared" si="1735"/>
        <v>232</v>
      </c>
      <c r="BD318" s="4" t="s">
        <v>23</v>
      </c>
      <c r="BE318" s="3" t="s">
        <v>1292</v>
      </c>
      <c r="BF318" s="119">
        <v>4.0999999999999996</v>
      </c>
      <c r="BG318" s="49" t="s">
        <v>1378</v>
      </c>
      <c r="BH318" s="49" t="s">
        <v>1378</v>
      </c>
      <c r="BI318" s="1"/>
      <c r="BJ318" s="70" t="s">
        <v>1288</v>
      </c>
      <c r="BK318" s="57" t="s">
        <v>1288</v>
      </c>
      <c r="BL318" s="57" t="s">
        <v>1288</v>
      </c>
      <c r="BM318" s="57" t="s">
        <v>1288</v>
      </c>
      <c r="BN318" s="57" t="s">
        <v>1288</v>
      </c>
      <c r="BO318" s="57" t="s">
        <v>1288</v>
      </c>
      <c r="BP318" s="57" t="s">
        <v>1288</v>
      </c>
      <c r="BQ318" s="57" t="s">
        <v>1288</v>
      </c>
      <c r="BR318" s="57" t="s">
        <v>1288</v>
      </c>
      <c r="BS318" s="57" t="s">
        <v>1288</v>
      </c>
      <c r="BT318" s="57" t="s">
        <v>1288</v>
      </c>
      <c r="BU318" s="57" t="s">
        <v>1288</v>
      </c>
      <c r="BV318" s="70">
        <f t="shared" si="1736"/>
        <v>136</v>
      </c>
      <c r="BW318" s="71">
        <f t="shared" si="1737"/>
        <v>174</v>
      </c>
      <c r="BX318" s="72">
        <f t="shared" si="1738"/>
        <v>178</v>
      </c>
      <c r="BY318" s="71" t="str">
        <f t="shared" si="1739"/>
        <v>-</v>
      </c>
      <c r="BZ318" s="72">
        <f t="shared" si="1740"/>
        <v>215</v>
      </c>
      <c r="CA318" s="71" t="str">
        <f t="shared" si="1741"/>
        <v>-</v>
      </c>
      <c r="CB318" s="72">
        <f t="shared" si="1742"/>
        <v>258</v>
      </c>
      <c r="CC318" s="71">
        <f t="shared" si="1743"/>
        <v>289</v>
      </c>
      <c r="CD318" s="72">
        <f t="shared" si="1744"/>
        <v>298</v>
      </c>
      <c r="CE318" s="71">
        <f t="shared" si="1745"/>
        <v>352</v>
      </c>
      <c r="CF318" s="72">
        <f t="shared" si="1746"/>
        <v>366</v>
      </c>
      <c r="CG318" s="71">
        <f t="shared" si="1747"/>
        <v>395</v>
      </c>
      <c r="CH318" s="70">
        <f t="shared" si="1748"/>
        <v>173</v>
      </c>
      <c r="CI318" s="71">
        <f t="shared" si="1749"/>
        <v>177</v>
      </c>
      <c r="CJ318" s="72">
        <f t="shared" si="1750"/>
        <v>205</v>
      </c>
      <c r="CK318" s="72" t="str">
        <f t="shared" si="1751"/>
        <v>-</v>
      </c>
      <c r="CL318" s="72">
        <f t="shared" si="1752"/>
        <v>250</v>
      </c>
      <c r="CM318" s="72" t="str">
        <f t="shared" si="1753"/>
        <v>-</v>
      </c>
      <c r="CN318" s="72">
        <f t="shared" si="1754"/>
        <v>285</v>
      </c>
      <c r="CO318" s="72">
        <f t="shared" si="1755"/>
        <v>291</v>
      </c>
      <c r="CP318" s="72">
        <f t="shared" si="1756"/>
        <v>328</v>
      </c>
      <c r="CQ318" s="72">
        <f t="shared" si="1757"/>
        <v>360</v>
      </c>
      <c r="CR318" s="72">
        <f t="shared" si="1758"/>
        <v>394</v>
      </c>
      <c r="CS318" s="72">
        <f t="shared" si="1759"/>
        <v>418</v>
      </c>
      <c r="CT318" s="23">
        <f t="shared" si="1760"/>
        <v>1</v>
      </c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6"/>
      <c r="ACQ318" s="6"/>
      <c r="ACR318" s="6"/>
      <c r="ACS318" s="6"/>
      <c r="ACT318" s="6"/>
      <c r="ACU318" s="6"/>
      <c r="ACV318" s="6"/>
      <c r="ACW318" s="6"/>
      <c r="ACX318" s="6"/>
      <c r="ACY318" s="6"/>
      <c r="ACZ318" s="6"/>
      <c r="ADA318" s="6"/>
      <c r="ADB318" s="6"/>
      <c r="ADC318" s="6"/>
      <c r="ADD318" s="6"/>
      <c r="ADE318" s="6"/>
      <c r="ADF318" s="6"/>
      <c r="ADG318" s="6"/>
      <c r="ADH318" s="6"/>
      <c r="ADI318" s="6"/>
      <c r="ADJ318" s="6"/>
      <c r="ADK318" s="6"/>
      <c r="ADL318" s="6"/>
      <c r="ADM318" s="6"/>
      <c r="ADN318" s="6"/>
      <c r="ADO318" s="6"/>
      <c r="ADP318" s="6"/>
      <c r="ADQ318" s="6"/>
      <c r="ADR318" s="6"/>
      <c r="ADS318" s="6"/>
      <c r="ADT318" s="6"/>
      <c r="ADU318" s="6"/>
      <c r="ADV318" s="6"/>
      <c r="ADW318" s="6"/>
      <c r="ADX318" s="6"/>
      <c r="ADY318" s="6"/>
      <c r="ADZ318" s="6"/>
      <c r="AEA318" s="6"/>
      <c r="AEB318" s="6"/>
      <c r="AEC318" s="6"/>
      <c r="AED318" s="6"/>
      <c r="AEE318" s="6"/>
      <c r="AEF318" s="6"/>
      <c r="AEG318" s="6"/>
      <c r="AEH318" s="6"/>
      <c r="AEI318" s="6"/>
      <c r="AEJ318" s="6"/>
      <c r="AEK318" s="6"/>
      <c r="AEL318" s="6"/>
      <c r="AEM318" s="6"/>
      <c r="AEN318" s="6"/>
      <c r="AEO318" s="6"/>
      <c r="AEP318" s="6"/>
      <c r="AEQ318" s="6"/>
      <c r="AER318" s="6"/>
      <c r="AES318" s="6"/>
      <c r="AET318" s="6"/>
      <c r="AEU318" s="6"/>
      <c r="AEV318" s="6"/>
      <c r="AEW318" s="6"/>
      <c r="AEX318" s="6"/>
      <c r="AEY318" s="6"/>
      <c r="AEZ318" s="6"/>
      <c r="AFA318" s="6"/>
      <c r="AFB318" s="6"/>
      <c r="AFC318" s="6"/>
      <c r="AFD318" s="6"/>
      <c r="AFE318" s="6"/>
      <c r="AFF318" s="6"/>
      <c r="AFG318" s="6"/>
      <c r="AFH318" s="6"/>
      <c r="AFI318" s="6"/>
      <c r="AFJ318" s="6"/>
      <c r="AFK318" s="6"/>
      <c r="AFL318" s="6"/>
      <c r="AFM318" s="6"/>
      <c r="AFN318" s="6"/>
      <c r="AFO318" s="6"/>
      <c r="AFP318" s="6"/>
      <c r="AFQ318" s="6"/>
      <c r="AFR318" s="6"/>
      <c r="AFS318" s="6"/>
      <c r="AFT318" s="6"/>
      <c r="AFU318" s="6"/>
      <c r="AFV318" s="6"/>
      <c r="AFW318" s="6"/>
      <c r="AFX318" s="6"/>
      <c r="AFY318" s="6"/>
      <c r="AFZ318" s="6"/>
      <c r="AGA318" s="6"/>
      <c r="AGB318" s="6"/>
      <c r="AGC318" s="6"/>
      <c r="AGD318" s="6"/>
      <c r="AGE318" s="6"/>
      <c r="AGF318" s="6"/>
      <c r="AGG318" s="6"/>
      <c r="AGH318" s="6"/>
      <c r="AGI318" s="6"/>
      <c r="AGJ318" s="6"/>
      <c r="AGK318" s="6"/>
      <c r="AGL318" s="6"/>
      <c r="AGM318" s="6"/>
      <c r="AGN318" s="6"/>
      <c r="AGO318" s="6"/>
      <c r="AGP318" s="6"/>
      <c r="AGQ318" s="6"/>
      <c r="AGR318" s="6"/>
      <c r="AGS318" s="6"/>
      <c r="AGT318" s="6"/>
      <c r="AGU318" s="6"/>
      <c r="AGV318" s="6"/>
      <c r="AGW318" s="6"/>
      <c r="AGX318" s="6"/>
      <c r="AGY318" s="6"/>
      <c r="AGZ318" s="6"/>
      <c r="AHA318" s="6"/>
      <c r="AHB318" s="6"/>
      <c r="AHC318" s="6"/>
      <c r="AHD318" s="6"/>
      <c r="AHE318" s="6"/>
      <c r="AHF318" s="6"/>
      <c r="AHG318" s="6"/>
      <c r="AHH318" s="6"/>
      <c r="AHI318" s="6"/>
      <c r="AHJ318" s="6"/>
      <c r="AHK318" s="6"/>
      <c r="AHL318" s="6"/>
      <c r="AHM318" s="6"/>
      <c r="AHN318" s="6"/>
      <c r="AHO318" s="6"/>
      <c r="AHP318" s="6"/>
      <c r="AHQ318" s="6"/>
      <c r="AHR318" s="6"/>
      <c r="AHS318" s="6"/>
      <c r="AHT318" s="6"/>
      <c r="AHU318" s="6"/>
      <c r="AHV318" s="6"/>
      <c r="AHW318" s="6"/>
      <c r="AHX318" s="6"/>
      <c r="AHY318" s="6"/>
      <c r="AHZ318" s="6"/>
      <c r="AIA318" s="6"/>
      <c r="AIB318" s="6"/>
      <c r="AIC318" s="6"/>
      <c r="AID318" s="6"/>
      <c r="AIE318" s="6"/>
      <c r="AIF318" s="6"/>
      <c r="AIG318" s="6"/>
      <c r="AIH318" s="6"/>
      <c r="AII318" s="6"/>
      <c r="AIJ318" s="6"/>
      <c r="AIK318" s="6"/>
      <c r="AIL318" s="6"/>
      <c r="AIM318" s="6"/>
      <c r="AIN318" s="6"/>
      <c r="AIO318" s="6"/>
      <c r="AIP318" s="6"/>
      <c r="AIQ318" s="6"/>
      <c r="AIR318" s="6"/>
      <c r="AIS318" s="6"/>
      <c r="AIT318" s="6"/>
      <c r="AIU318" s="6"/>
      <c r="AIV318" s="6"/>
      <c r="AIW318" s="6"/>
      <c r="AIX318" s="6"/>
      <c r="AIY318" s="6"/>
      <c r="AIZ318" s="6"/>
      <c r="AJA318" s="6"/>
      <c r="AJB318" s="6"/>
      <c r="AJC318" s="6"/>
      <c r="AJD318" s="6"/>
      <c r="AJE318" s="6"/>
      <c r="AJF318" s="6"/>
      <c r="AJG318" s="6"/>
      <c r="AJH318" s="6"/>
      <c r="AJI318" s="6"/>
      <c r="AJJ318" s="6"/>
      <c r="AJK318" s="6"/>
      <c r="AJL318" s="6"/>
      <c r="AJM318" s="6"/>
      <c r="AJN318" s="6"/>
      <c r="AJO318" s="6"/>
      <c r="AJP318" s="6"/>
      <c r="AJQ318" s="6"/>
      <c r="AJR318" s="6"/>
      <c r="AJS318" s="6"/>
      <c r="AJT318" s="6"/>
      <c r="AJU318" s="6"/>
      <c r="AJV318" s="6"/>
      <c r="AJW318" s="6"/>
      <c r="AJX318" s="6"/>
      <c r="AJY318" s="6"/>
      <c r="AJZ318" s="6"/>
      <c r="AKA318" s="6"/>
      <c r="AKB318" s="6"/>
      <c r="AKC318" s="6"/>
      <c r="AKD318" s="6"/>
      <c r="AKE318" s="6"/>
      <c r="AKF318" s="6"/>
      <c r="AKG318" s="6"/>
      <c r="AKH318" s="6"/>
      <c r="AKI318" s="6"/>
      <c r="AKJ318" s="6"/>
      <c r="AKK318" s="6"/>
      <c r="AKL318" s="6"/>
      <c r="AKM318" s="6"/>
      <c r="AKN318" s="6"/>
      <c r="AKO318" s="6"/>
      <c r="AKP318" s="6"/>
      <c r="AKQ318" s="6"/>
      <c r="AKR318" s="6"/>
      <c r="AKS318" s="6"/>
      <c r="AKT318" s="6"/>
      <c r="AKU318" s="6"/>
      <c r="AKV318" s="6"/>
      <c r="AKW318" s="6"/>
      <c r="AKX318" s="6"/>
      <c r="AKY318" s="6"/>
      <c r="AKZ318" s="6"/>
      <c r="ALA318" s="6"/>
      <c r="ALB318" s="6"/>
      <c r="ALC318" s="6"/>
      <c r="ALD318" s="6"/>
      <c r="ALE318" s="6"/>
      <c r="ALF318" s="6"/>
      <c r="ALG318" s="6"/>
      <c r="ALH318" s="6"/>
      <c r="ALI318" s="6"/>
      <c r="ALJ318" s="6"/>
      <c r="ALK318" s="6"/>
      <c r="ALL318" s="6"/>
      <c r="ALM318" s="6"/>
      <c r="ALN318" s="6"/>
      <c r="ALO318" s="6"/>
      <c r="ALP318" s="6"/>
      <c r="ALQ318" s="6"/>
      <c r="ALR318" s="6"/>
      <c r="ALS318" s="6"/>
      <c r="ALT318" s="6"/>
      <c r="ALU318" s="6"/>
      <c r="ALV318" s="6"/>
      <c r="ALW318" s="6"/>
      <c r="ALX318" s="6"/>
      <c r="ALY318" s="6"/>
      <c r="ALZ318" s="6"/>
      <c r="AMA318" s="6"/>
      <c r="AMB318" s="6"/>
      <c r="AMC318" s="6"/>
      <c r="AMD318" s="6"/>
      <c r="AME318" s="6"/>
      <c r="AMF318" s="6"/>
      <c r="AMG318" s="6"/>
      <c r="AMH318" s="6"/>
      <c r="AMI318" s="6"/>
      <c r="AMJ318" s="6"/>
      <c r="AMK318" s="6"/>
      <c r="AML318" s="6"/>
      <c r="AMM318" s="6"/>
      <c r="AMN318" s="6"/>
      <c r="AMO318" s="6"/>
      <c r="AMP318" s="6"/>
    </row>
    <row r="319" spans="1:1030" s="12" customFormat="1" x14ac:dyDescent="0.2">
      <c r="A319" s="9" t="str">
        <f t="shared" ref="A319" si="1818">CONCATENATE(B319,"_",C319)</f>
        <v>calcr_human_6NIY</v>
      </c>
      <c r="B319" s="40" t="s">
        <v>401</v>
      </c>
      <c r="C319" s="9" t="s">
        <v>1552</v>
      </c>
      <c r="D319" s="9" t="str">
        <f>IFERROR(MID(VLOOKUP($B319,Seqs!$A:$B,2,0),E319,1),"")</f>
        <v>T</v>
      </c>
      <c r="E319" s="9">
        <v>138</v>
      </c>
      <c r="F319" s="9" t="str">
        <f>IFERROR(MID(VLOOKUP($B319,Seqs!$A:$B,2,0),G319,1),"")</f>
        <v>F</v>
      </c>
      <c r="G319" s="9">
        <v>173</v>
      </c>
      <c r="H319" s="9" t="str">
        <f>IFERROR(MID(VLOOKUP($B319,Seqs!$A:$B,2,0),I319,1),"")</f>
        <v>R</v>
      </c>
      <c r="I319" s="109">
        <v>174</v>
      </c>
      <c r="J319" s="9" t="str">
        <f>IFERROR(MID(VLOOKUP($B319,Seqs!$A:$B,2,0),K319,1),"")</f>
        <v>G</v>
      </c>
      <c r="K319" s="109">
        <v>177</v>
      </c>
      <c r="L319" s="9" t="str">
        <f>IFERROR(MID(VLOOKUP($B319,Seqs!$A:$B,2,0),M319,1),"")</f>
        <v>C</v>
      </c>
      <c r="M319" s="9">
        <v>178</v>
      </c>
      <c r="N319" s="9" t="str">
        <f>IFERROR(MID(VLOOKUP($B319,Seqs!$A:$B,2,0),O319,1),"")</f>
        <v>V</v>
      </c>
      <c r="O319" s="9">
        <v>205</v>
      </c>
      <c r="P319" s="9" t="str">
        <f>IFERROR(MID(VLOOKUP($B319,Seqs!$A:$B,2,0),Q319,1),"")</f>
        <v/>
      </c>
      <c r="Q319" s="9" t="s">
        <v>23</v>
      </c>
      <c r="R319" s="9" t="str">
        <f>IFERROR(MID(VLOOKUP($B319,Seqs!$A:$B,2,0),S319,1),"")</f>
        <v/>
      </c>
      <c r="S319" s="9" t="s">
        <v>23</v>
      </c>
      <c r="T319" s="9" t="str">
        <f>IFERROR(MID(VLOOKUP($B319,Seqs!$A:$B,2,0),U319,1),"")</f>
        <v>V</v>
      </c>
      <c r="U319" s="9">
        <v>217</v>
      </c>
      <c r="V319" s="9" t="str">
        <f>IFERROR(MID(VLOOKUP($B319,Seqs!$A:$B,2,0),W319,1),"")</f>
        <v>V</v>
      </c>
      <c r="W319" s="9">
        <v>250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R</v>
      </c>
      <c r="AC319" s="9">
        <v>258</v>
      </c>
      <c r="AD319" s="9" t="str">
        <f>IFERROR(MID(VLOOKUP($B319,Seqs!$A:$B,2,0),AE319,1),"")</f>
        <v>F</v>
      </c>
      <c r="AE319" s="9">
        <v>285</v>
      </c>
      <c r="AF319" s="9" t="str">
        <f>IFERROR(MID(VLOOKUP($B319,Seqs!$A:$B,2,0),AG319,1),"")</f>
        <v>C</v>
      </c>
      <c r="AG319" s="9">
        <v>289</v>
      </c>
      <c r="AH319" s="9" t="str">
        <f>IFERROR(MID(VLOOKUP($B319,Seqs!$A:$B,2,0),AI319,1),"")</f>
        <v>L</v>
      </c>
      <c r="AI319" s="9">
        <v>291</v>
      </c>
      <c r="AJ319" s="9" t="str">
        <f>IFERROR(MID(VLOOKUP($B319,Seqs!$A:$B,2,0),AK319,1),"")</f>
        <v>L</v>
      </c>
      <c r="AK319" s="9">
        <v>298</v>
      </c>
      <c r="AL319" s="9" t="str">
        <f>IFERROR(MID(VLOOKUP($B319,Seqs!$A:$B,2,0),AM319,1),"")</f>
        <v>T</v>
      </c>
      <c r="AM319" s="9">
        <v>330</v>
      </c>
      <c r="AN319" s="9" t="str">
        <f>IFERROR(MID(VLOOKUP($B319,Seqs!$A:$B,2,0),AO319,1),"")</f>
        <v>H</v>
      </c>
      <c r="AO319" s="9">
        <v>336</v>
      </c>
      <c r="AP319" s="9" t="str">
        <f>IFERROR(MID(VLOOKUP($B319,Seqs!$A:$B,2,0),AQ319,1),"")</f>
        <v>F</v>
      </c>
      <c r="AQ319" s="9">
        <v>359</v>
      </c>
      <c r="AR319" s="9" t="str">
        <f>IFERROR(MID(VLOOKUP($B319,Seqs!$A:$B,2,0),AS319,1),"")</f>
        <v>N</v>
      </c>
      <c r="AS319" s="9">
        <v>365</v>
      </c>
      <c r="AT319" s="9" t="str">
        <f>IFERROR(MID(VLOOKUP($B319,Seqs!$A:$B,2,0),AU319,1),"")</f>
        <v>C</v>
      </c>
      <c r="AU319" s="9">
        <v>394</v>
      </c>
      <c r="AV319" s="9" t="str">
        <f>IFERROR(MID(VLOOKUP($B319,Seqs!$A:$B,2,0),AW319,1),"")</f>
        <v>N</v>
      </c>
      <c r="AW319" s="9">
        <v>395</v>
      </c>
      <c r="AX319" s="9" t="str">
        <f>IFERROR(MID(VLOOKUP($B319,Seqs!$A:$B,2,0),AY319,1),"")</f>
        <v>Q</v>
      </c>
      <c r="AY319" s="9">
        <v>412</v>
      </c>
      <c r="AZ319" s="110" t="str">
        <f>VLOOKUP(B319,Classification!A:D,2,0)</f>
        <v>B1</v>
      </c>
      <c r="BA319" s="98" t="str">
        <f>VLOOKUP(B319,Classification!A:D,4,0)</f>
        <v>Calcitonin</v>
      </c>
      <c r="BB319" s="36" t="b">
        <f t="shared" ref="BB319" si="1819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109">
        <f t="shared" ref="BC319" si="1820">_xlfn.AGGREGATE(9,6,CH319:CS319)-_xlfn.AGGREGATE(9,6,BV319:CG319)+12</f>
        <v>240</v>
      </c>
      <c r="BD319" s="11" t="s">
        <v>1376</v>
      </c>
      <c r="BE319" s="9" t="s">
        <v>1292</v>
      </c>
      <c r="BF319" s="120">
        <v>3.34</v>
      </c>
      <c r="BG319" s="51" t="s">
        <v>1423</v>
      </c>
      <c r="BH319" s="51" t="s">
        <v>1423</v>
      </c>
      <c r="BJ319" s="111" t="s">
        <v>1288</v>
      </c>
      <c r="BK319" s="112" t="s">
        <v>1288</v>
      </c>
      <c r="BL319" s="112" t="s">
        <v>1288</v>
      </c>
      <c r="BM319" s="112" t="s">
        <v>1288</v>
      </c>
      <c r="BN319" s="112" t="s">
        <v>1288</v>
      </c>
      <c r="BO319" s="112" t="s">
        <v>1288</v>
      </c>
      <c r="BP319" s="112" t="s">
        <v>1288</v>
      </c>
      <c r="BQ319" s="112" t="s">
        <v>1288</v>
      </c>
      <c r="BR319" s="112" t="s">
        <v>1288</v>
      </c>
      <c r="BS319" s="112" t="s">
        <v>1288</v>
      </c>
      <c r="BT319" s="112" t="s">
        <v>1288</v>
      </c>
      <c r="BU319" s="112" t="s">
        <v>1288</v>
      </c>
      <c r="BV319" s="111">
        <f t="shared" ref="BV319" si="1821">E319</f>
        <v>138</v>
      </c>
      <c r="BW319" s="113">
        <f t="shared" ref="BW319" si="1822">I319</f>
        <v>174</v>
      </c>
      <c r="BX319" s="114">
        <f t="shared" ref="BX319" si="1823">M319</f>
        <v>178</v>
      </c>
      <c r="BY319" s="113" t="str">
        <f t="shared" ref="BY319" si="1824">Q319</f>
        <v>-</v>
      </c>
      <c r="BZ319" s="114">
        <f t="shared" ref="BZ319" si="1825">U319</f>
        <v>217</v>
      </c>
      <c r="CA319" s="113" t="str">
        <f t="shared" ref="CA319" si="1826">Y319</f>
        <v>-</v>
      </c>
      <c r="CB319" s="114">
        <f t="shared" ref="CB319" si="1827">AC319</f>
        <v>258</v>
      </c>
      <c r="CC319" s="113">
        <f t="shared" ref="CC319" si="1828">AG319</f>
        <v>289</v>
      </c>
      <c r="CD319" s="114">
        <f t="shared" ref="CD319" si="1829">AK319</f>
        <v>298</v>
      </c>
      <c r="CE319" s="113">
        <f t="shared" ref="CE319" si="1830">AO319</f>
        <v>336</v>
      </c>
      <c r="CF319" s="114">
        <f t="shared" ref="CF319" si="1831">AS319</f>
        <v>365</v>
      </c>
      <c r="CG319" s="113">
        <f t="shared" ref="CG319" si="1832">AW319</f>
        <v>395</v>
      </c>
      <c r="CH319" s="111">
        <f t="shared" ref="CH319" si="1833">G319</f>
        <v>173</v>
      </c>
      <c r="CI319" s="113">
        <f t="shared" ref="CI319" si="1834">K319</f>
        <v>177</v>
      </c>
      <c r="CJ319" s="114">
        <f t="shared" ref="CJ319" si="1835">O319</f>
        <v>205</v>
      </c>
      <c r="CK319" s="114" t="str">
        <f t="shared" ref="CK319" si="1836">S319</f>
        <v>-</v>
      </c>
      <c r="CL319" s="114">
        <f t="shared" ref="CL319" si="1837">W319</f>
        <v>250</v>
      </c>
      <c r="CM319" s="114" t="str">
        <f t="shared" ref="CM319" si="1838">AA319</f>
        <v>-</v>
      </c>
      <c r="CN319" s="114">
        <f t="shared" ref="CN319" si="1839">AE319</f>
        <v>285</v>
      </c>
      <c r="CO319" s="114">
        <f t="shared" ref="CO319" si="1840">AI319</f>
        <v>291</v>
      </c>
      <c r="CP319" s="114">
        <f t="shared" ref="CP319" si="1841">AM319</f>
        <v>330</v>
      </c>
      <c r="CQ319" s="114">
        <f t="shared" ref="CQ319" si="1842">AQ319</f>
        <v>359</v>
      </c>
      <c r="CR319" s="114">
        <f t="shared" ref="CR319" si="1843">AU319</f>
        <v>394</v>
      </c>
      <c r="CS319" s="114">
        <f t="shared" ref="CS319" si="1844">AY319</f>
        <v>412</v>
      </c>
      <c r="CT319" s="109">
        <f t="shared" ref="CT319" si="1845">M319-K319</f>
        <v>1</v>
      </c>
      <c r="CU319" s="129"/>
      <c r="CV319" s="129"/>
      <c r="CW319" s="129"/>
      <c r="CX319" s="129"/>
      <c r="CY319" s="129"/>
      <c r="CZ319" s="129"/>
      <c r="DA319" s="129"/>
      <c r="DB319" s="129"/>
      <c r="DC319" s="129"/>
      <c r="DD319" s="129"/>
      <c r="DE319" s="129"/>
      <c r="DF319" s="129"/>
      <c r="DG319" s="129"/>
      <c r="DH319" s="129"/>
      <c r="DI319" s="129"/>
      <c r="DJ319" s="129"/>
      <c r="DK319" s="129"/>
      <c r="DL319" s="129"/>
      <c r="DM319" s="129"/>
      <c r="DN319" s="129"/>
      <c r="DO319" s="129"/>
      <c r="DP319" s="129"/>
      <c r="DQ319" s="129"/>
      <c r="DR319" s="129"/>
      <c r="DS319" s="129"/>
      <c r="DT319" s="129"/>
      <c r="DU319" s="129"/>
      <c r="DV319" s="129"/>
      <c r="DW319" s="129"/>
      <c r="DX319" s="129"/>
      <c r="DY319" s="129"/>
      <c r="DZ319" s="129"/>
      <c r="EA319" s="129"/>
      <c r="EB319" s="129"/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  <c r="FQ319" s="129"/>
      <c r="FR319" s="129"/>
      <c r="FS319" s="129"/>
      <c r="FT319" s="129"/>
      <c r="FU319" s="129"/>
      <c r="FV319" s="129"/>
      <c r="FW319" s="129"/>
      <c r="FX319" s="129"/>
      <c r="FY319" s="129"/>
      <c r="FZ319" s="129"/>
      <c r="GA319" s="129"/>
      <c r="GB319" s="129"/>
      <c r="GC319" s="129"/>
      <c r="GD319" s="129"/>
      <c r="GE319" s="129"/>
      <c r="GF319" s="129"/>
      <c r="GG319" s="129"/>
      <c r="GH319" s="129"/>
      <c r="GI319" s="129"/>
      <c r="GJ319" s="129"/>
      <c r="GK319" s="129"/>
      <c r="GL319" s="129"/>
      <c r="GM319" s="129"/>
      <c r="GN319" s="129"/>
      <c r="GO319" s="129"/>
      <c r="GP319" s="129"/>
      <c r="GQ319" s="129"/>
      <c r="GR319" s="129"/>
      <c r="GS319" s="129"/>
      <c r="GT319" s="129"/>
      <c r="GU319" s="129"/>
      <c r="GV319" s="129"/>
      <c r="GW319" s="129"/>
      <c r="GX319" s="129"/>
      <c r="GY319" s="129"/>
      <c r="GZ319" s="129"/>
      <c r="HA319" s="129"/>
      <c r="HB319" s="129"/>
      <c r="HC319" s="129"/>
      <c r="HD319" s="129"/>
      <c r="HE319" s="129"/>
      <c r="HF319" s="129"/>
      <c r="HG319" s="129"/>
      <c r="HH319" s="129"/>
      <c r="HI319" s="129"/>
      <c r="HJ319" s="129"/>
      <c r="HK319" s="129"/>
      <c r="HL319" s="129"/>
      <c r="HM319" s="129"/>
      <c r="HN319" s="129"/>
      <c r="HO319" s="129"/>
      <c r="HP319" s="129"/>
      <c r="HQ319" s="129"/>
      <c r="HR319" s="129"/>
      <c r="HS319" s="129"/>
      <c r="HT319" s="129"/>
      <c r="HU319" s="129"/>
      <c r="HV319" s="129"/>
      <c r="HW319" s="129"/>
      <c r="HX319" s="129"/>
      <c r="HY319" s="129"/>
      <c r="HZ319" s="129"/>
      <c r="IA319" s="129"/>
      <c r="IB319" s="129"/>
      <c r="IC319" s="129"/>
      <c r="ID319" s="129"/>
      <c r="IE319" s="129"/>
      <c r="IF319" s="129"/>
      <c r="IG319" s="129"/>
      <c r="IH319" s="129"/>
      <c r="II319" s="129"/>
      <c r="IJ319" s="129"/>
      <c r="IK319" s="129"/>
      <c r="IL319" s="129"/>
      <c r="IM319" s="129"/>
      <c r="IN319" s="129"/>
      <c r="IO319" s="129"/>
      <c r="IP319" s="129"/>
      <c r="IQ319" s="129"/>
      <c r="IR319" s="129"/>
      <c r="IS319" s="129"/>
      <c r="IT319" s="129"/>
      <c r="IU319" s="129"/>
      <c r="IV319" s="129"/>
      <c r="IW319" s="129"/>
      <c r="IX319" s="129"/>
      <c r="IY319" s="129"/>
      <c r="IZ319" s="129"/>
      <c r="JA319" s="129"/>
      <c r="JB319" s="129"/>
      <c r="JC319" s="129"/>
      <c r="JD319" s="129"/>
      <c r="JE319" s="129"/>
      <c r="JF319" s="129"/>
      <c r="JG319" s="129"/>
      <c r="JH319" s="129"/>
      <c r="JI319" s="129"/>
      <c r="JJ319" s="129"/>
      <c r="JK319" s="129"/>
      <c r="JL319" s="129"/>
      <c r="JM319" s="129"/>
      <c r="JN319" s="129"/>
      <c r="JO319" s="129"/>
      <c r="JP319" s="129"/>
      <c r="JQ319" s="129"/>
      <c r="JR319" s="129"/>
      <c r="JS319" s="129"/>
      <c r="JT319" s="129"/>
      <c r="JU319" s="129"/>
      <c r="JV319" s="129"/>
      <c r="JW319" s="129"/>
      <c r="JX319" s="129"/>
      <c r="JY319" s="129"/>
      <c r="JZ319" s="129"/>
      <c r="KA319" s="129"/>
      <c r="KB319" s="129"/>
      <c r="KC319" s="129"/>
      <c r="KD319" s="129"/>
      <c r="KE319" s="129"/>
      <c r="KF319" s="129"/>
      <c r="KG319" s="129"/>
      <c r="KH319" s="129"/>
      <c r="KI319" s="129"/>
      <c r="KJ319" s="129"/>
      <c r="KK319" s="129"/>
      <c r="KL319" s="129"/>
      <c r="KM319" s="129"/>
      <c r="KN319" s="129"/>
      <c r="KO319" s="129"/>
      <c r="KP319" s="129"/>
      <c r="KQ319" s="129"/>
      <c r="KR319" s="129"/>
      <c r="KS319" s="129"/>
      <c r="KT319" s="129"/>
      <c r="KU319" s="129"/>
      <c r="KV319" s="129"/>
      <c r="KW319" s="129"/>
      <c r="KX319" s="129"/>
      <c r="KY319" s="129"/>
      <c r="KZ319" s="129"/>
      <c r="LA319" s="129"/>
      <c r="LB319" s="129"/>
      <c r="LC319" s="129"/>
      <c r="LD319" s="129"/>
      <c r="LE319" s="129"/>
      <c r="LF319" s="129"/>
      <c r="LG319" s="129"/>
      <c r="LH319" s="129"/>
      <c r="LI319" s="129"/>
      <c r="LJ319" s="129"/>
      <c r="LK319" s="129"/>
      <c r="LL319" s="129"/>
      <c r="LM319" s="129"/>
      <c r="LN319" s="129"/>
      <c r="LO319" s="129"/>
      <c r="LP319" s="129"/>
      <c r="LQ319" s="129"/>
      <c r="LR319" s="129"/>
      <c r="LS319" s="129"/>
      <c r="LT319" s="129"/>
      <c r="LU319" s="129"/>
      <c r="LV319" s="129"/>
      <c r="LW319" s="129"/>
      <c r="LX319" s="129"/>
      <c r="LY319" s="129"/>
      <c r="LZ319" s="129"/>
      <c r="MA319" s="129"/>
      <c r="MB319" s="129"/>
      <c r="MC319" s="129"/>
      <c r="MD319" s="129"/>
      <c r="ME319" s="129"/>
      <c r="MF319" s="129"/>
      <c r="MG319" s="129"/>
      <c r="MH319" s="129"/>
      <c r="MI319" s="129"/>
      <c r="MJ319" s="129"/>
      <c r="MK319" s="129"/>
      <c r="ML319" s="129"/>
      <c r="MM319" s="129"/>
      <c r="MN319" s="129"/>
      <c r="MO319" s="129"/>
      <c r="MP319" s="129"/>
      <c r="MQ319" s="129"/>
      <c r="MR319" s="129"/>
      <c r="MS319" s="129"/>
      <c r="MT319" s="129"/>
      <c r="MU319" s="129"/>
      <c r="MV319" s="129"/>
      <c r="MW319" s="129"/>
      <c r="MX319" s="129"/>
      <c r="MY319" s="129"/>
      <c r="MZ319" s="129"/>
      <c r="NA319" s="129"/>
      <c r="NB319" s="129"/>
      <c r="NC319" s="129"/>
      <c r="ND319" s="129"/>
      <c r="NE319" s="129"/>
      <c r="NF319" s="129"/>
      <c r="NG319" s="129"/>
      <c r="NH319" s="129"/>
      <c r="NI319" s="129"/>
      <c r="NJ319" s="129"/>
      <c r="NK319" s="129"/>
      <c r="NL319" s="129"/>
      <c r="NM319" s="129"/>
      <c r="NN319" s="129"/>
      <c r="NO319" s="129"/>
      <c r="NP319" s="129"/>
      <c r="NQ319" s="129"/>
      <c r="NR319" s="129"/>
      <c r="NS319" s="129"/>
      <c r="NT319" s="129"/>
      <c r="NU319" s="129"/>
      <c r="NV319" s="129"/>
      <c r="NW319" s="129"/>
      <c r="NX319" s="129"/>
      <c r="NY319" s="129"/>
      <c r="NZ319" s="129"/>
      <c r="OA319" s="129"/>
      <c r="OB319" s="129"/>
      <c r="OC319" s="129"/>
      <c r="OD319" s="129"/>
      <c r="OE319" s="129"/>
      <c r="OF319" s="129"/>
      <c r="OG319" s="129"/>
      <c r="OH319" s="129"/>
      <c r="OI319" s="129"/>
      <c r="OJ319" s="129"/>
      <c r="OK319" s="129"/>
      <c r="OL319" s="129"/>
      <c r="OM319" s="129"/>
      <c r="ON319" s="129"/>
      <c r="OO319" s="129"/>
      <c r="OP319" s="129"/>
      <c r="OQ319" s="129"/>
      <c r="OR319" s="129"/>
      <c r="OS319" s="129"/>
      <c r="OT319" s="129"/>
      <c r="OU319" s="129"/>
      <c r="OV319" s="129"/>
      <c r="OW319" s="129"/>
      <c r="OX319" s="129"/>
      <c r="OY319" s="129"/>
      <c r="OZ319" s="129"/>
      <c r="PA319" s="129"/>
      <c r="PB319" s="129"/>
      <c r="PC319" s="129"/>
      <c r="PD319" s="129"/>
      <c r="PE319" s="129"/>
      <c r="PF319" s="129"/>
      <c r="PG319" s="129"/>
      <c r="PH319" s="129"/>
      <c r="PI319" s="129"/>
      <c r="PJ319" s="129"/>
      <c r="PK319" s="129"/>
      <c r="PL319" s="129"/>
      <c r="PM319" s="129"/>
      <c r="PN319" s="129"/>
      <c r="PO319" s="129"/>
      <c r="PP319" s="129"/>
      <c r="PQ319" s="129"/>
      <c r="PR319" s="129"/>
      <c r="PS319" s="129"/>
      <c r="PT319" s="129"/>
      <c r="PU319" s="129"/>
      <c r="PV319" s="129"/>
      <c r="PW319" s="129"/>
      <c r="PX319" s="129"/>
      <c r="PY319" s="129"/>
      <c r="PZ319" s="129"/>
      <c r="QA319" s="129"/>
      <c r="QB319" s="129"/>
      <c r="QC319" s="129"/>
      <c r="QD319" s="129"/>
      <c r="QE319" s="129"/>
      <c r="QF319" s="129"/>
      <c r="QG319" s="129"/>
      <c r="QH319" s="129"/>
      <c r="QI319" s="129"/>
      <c r="QJ319" s="129"/>
      <c r="QK319" s="129"/>
      <c r="QL319" s="129"/>
      <c r="QM319" s="129"/>
      <c r="QN319" s="129"/>
      <c r="QO319" s="129"/>
      <c r="QP319" s="129"/>
      <c r="QQ319" s="129"/>
      <c r="QR319" s="129"/>
      <c r="QS319" s="129"/>
      <c r="QT319" s="129"/>
      <c r="QU319" s="129"/>
      <c r="QV319" s="129"/>
      <c r="QW319" s="129"/>
      <c r="QX319" s="129"/>
      <c r="QY319" s="129"/>
      <c r="QZ319" s="129"/>
      <c r="RA319" s="129"/>
      <c r="RB319" s="129"/>
      <c r="RC319" s="129"/>
      <c r="RD319" s="129"/>
      <c r="RE319" s="129"/>
      <c r="RF319" s="129"/>
      <c r="RG319" s="129"/>
      <c r="RH319" s="129"/>
      <c r="RI319" s="129"/>
      <c r="RJ319" s="129"/>
      <c r="RK319" s="129"/>
      <c r="RL319" s="129"/>
      <c r="RM319" s="129"/>
      <c r="RN319" s="129"/>
      <c r="RO319" s="129"/>
      <c r="RP319" s="129"/>
      <c r="RQ319" s="129"/>
      <c r="RR319" s="129"/>
      <c r="RS319" s="129"/>
      <c r="RT319" s="129"/>
      <c r="RU319" s="129"/>
      <c r="RV319" s="129"/>
      <c r="RW319" s="129"/>
      <c r="RX319" s="129"/>
      <c r="RY319" s="129"/>
      <c r="RZ319" s="129"/>
      <c r="SA319" s="129"/>
      <c r="SB319" s="129"/>
      <c r="SC319" s="129"/>
      <c r="SD319" s="129"/>
      <c r="SE319" s="129"/>
      <c r="SF319" s="129"/>
      <c r="SG319" s="129"/>
      <c r="SH319" s="129"/>
      <c r="SI319" s="129"/>
      <c r="SJ319" s="129"/>
      <c r="SK319" s="129"/>
      <c r="SL319" s="129"/>
      <c r="SM319" s="129"/>
      <c r="SN319" s="129"/>
      <c r="SO319" s="129"/>
      <c r="SP319" s="129"/>
      <c r="SQ319" s="129"/>
      <c r="SR319" s="129"/>
      <c r="SS319" s="129"/>
      <c r="ST319" s="129"/>
      <c r="SU319" s="129"/>
      <c r="SV319" s="129"/>
      <c r="SW319" s="129"/>
      <c r="SX319" s="129"/>
      <c r="SY319" s="129"/>
      <c r="SZ319" s="129"/>
      <c r="TA319" s="129"/>
      <c r="TB319" s="129"/>
      <c r="TC319" s="129"/>
      <c r="TD319" s="129"/>
      <c r="TE319" s="129"/>
      <c r="TF319" s="129"/>
      <c r="TG319" s="129"/>
      <c r="TH319" s="129"/>
      <c r="TI319" s="129"/>
      <c r="TJ319" s="129"/>
      <c r="TK319" s="129"/>
      <c r="TL319" s="129"/>
      <c r="TM319" s="129"/>
      <c r="TN319" s="129"/>
      <c r="TO319" s="129"/>
      <c r="TP319" s="129"/>
      <c r="TQ319" s="129"/>
      <c r="TR319" s="129"/>
      <c r="TS319" s="129"/>
      <c r="TT319" s="129"/>
      <c r="TU319" s="129"/>
      <c r="TV319" s="129"/>
      <c r="TW319" s="129"/>
      <c r="TX319" s="129"/>
      <c r="TY319" s="129"/>
      <c r="TZ319" s="129"/>
      <c r="UA319" s="129"/>
      <c r="UB319" s="129"/>
      <c r="UC319" s="129"/>
      <c r="UD319" s="129"/>
      <c r="UE319" s="129"/>
      <c r="UF319" s="129"/>
      <c r="UG319" s="129"/>
      <c r="UH319" s="129"/>
      <c r="UI319" s="129"/>
      <c r="UJ319" s="129"/>
      <c r="UK319" s="129"/>
      <c r="UL319" s="129"/>
      <c r="UM319" s="129"/>
      <c r="UN319" s="129"/>
      <c r="UO319" s="129"/>
      <c r="UP319" s="129"/>
      <c r="UQ319" s="129"/>
      <c r="UR319" s="129"/>
      <c r="US319" s="129"/>
      <c r="UT319" s="129"/>
      <c r="UU319" s="129"/>
      <c r="UV319" s="129"/>
      <c r="UW319" s="129"/>
      <c r="UX319" s="129"/>
      <c r="UY319" s="129"/>
      <c r="UZ319" s="129"/>
      <c r="VA319" s="129"/>
      <c r="VB319" s="129"/>
      <c r="VC319" s="129"/>
      <c r="VD319" s="129"/>
      <c r="VE319" s="129"/>
      <c r="VF319" s="129"/>
      <c r="VG319" s="129"/>
      <c r="VH319" s="129"/>
      <c r="VI319" s="129"/>
      <c r="VJ319" s="129"/>
      <c r="VK319" s="129"/>
      <c r="VL319" s="129"/>
      <c r="VM319" s="129"/>
      <c r="VN319" s="129"/>
      <c r="VO319" s="129"/>
      <c r="VP319" s="129"/>
      <c r="VQ319" s="129"/>
      <c r="VR319" s="129"/>
      <c r="VS319" s="129"/>
      <c r="VT319" s="129"/>
      <c r="VU319" s="129"/>
      <c r="VV319" s="129"/>
      <c r="VW319" s="129"/>
      <c r="VX319" s="129"/>
      <c r="VY319" s="129"/>
      <c r="VZ319" s="129"/>
      <c r="WA319" s="129"/>
      <c r="WB319" s="129"/>
      <c r="WC319" s="129"/>
      <c r="WD319" s="129"/>
      <c r="WE319" s="129"/>
      <c r="WF319" s="129"/>
      <c r="WG319" s="129"/>
      <c r="WH319" s="129"/>
      <c r="WI319" s="129"/>
      <c r="WJ319" s="129"/>
      <c r="WK319" s="129"/>
      <c r="WL319" s="129"/>
      <c r="WM319" s="129"/>
      <c r="WN319" s="129"/>
      <c r="WO319" s="129"/>
      <c r="WP319" s="129"/>
      <c r="WQ319" s="129"/>
      <c r="WR319" s="129"/>
      <c r="WS319" s="129"/>
      <c r="WT319" s="129"/>
      <c r="WU319" s="129"/>
      <c r="WV319" s="129"/>
      <c r="WW319" s="129"/>
      <c r="WX319" s="129"/>
      <c r="WY319" s="129"/>
      <c r="WZ319" s="129"/>
      <c r="XA319" s="129"/>
      <c r="XB319" s="129"/>
      <c r="XC319" s="129"/>
      <c r="XD319" s="129"/>
      <c r="XE319" s="129"/>
      <c r="XF319" s="129"/>
      <c r="XG319" s="129"/>
      <c r="XH319" s="129"/>
      <c r="XI319" s="129"/>
      <c r="XJ319" s="129"/>
      <c r="XK319" s="129"/>
      <c r="XL319" s="129"/>
      <c r="XM319" s="129"/>
      <c r="XN319" s="129"/>
      <c r="XO319" s="129"/>
      <c r="XP319" s="129"/>
      <c r="XQ319" s="129"/>
      <c r="XR319" s="129"/>
      <c r="XS319" s="129"/>
      <c r="XT319" s="129"/>
      <c r="XU319" s="129"/>
      <c r="XV319" s="129"/>
      <c r="XW319" s="129"/>
      <c r="XX319" s="129"/>
      <c r="XY319" s="129"/>
      <c r="XZ319" s="129"/>
      <c r="YA319" s="129"/>
      <c r="YB319" s="129"/>
      <c r="YC319" s="129"/>
      <c r="YD319" s="129"/>
      <c r="YE319" s="129"/>
      <c r="YF319" s="129"/>
      <c r="YG319" s="129"/>
      <c r="YH319" s="129"/>
      <c r="YI319" s="129"/>
      <c r="YJ319" s="129"/>
      <c r="YK319" s="129"/>
      <c r="YL319" s="129"/>
      <c r="YM319" s="129"/>
      <c r="YN319" s="129"/>
      <c r="YO319" s="129"/>
      <c r="YP319" s="129"/>
      <c r="YQ319" s="129"/>
      <c r="YR319" s="129"/>
      <c r="YS319" s="129"/>
      <c r="YT319" s="129"/>
      <c r="YU319" s="129"/>
      <c r="YV319" s="129"/>
      <c r="YW319" s="129"/>
      <c r="YX319" s="129"/>
      <c r="YY319" s="129"/>
      <c r="YZ319" s="129"/>
      <c r="ZA319" s="129"/>
      <c r="ZB319" s="129"/>
      <c r="ZC319" s="129"/>
      <c r="ZD319" s="129"/>
      <c r="ZE319" s="129"/>
      <c r="ZF319" s="129"/>
      <c r="ZG319" s="129"/>
      <c r="ZH319" s="129"/>
      <c r="ZI319" s="129"/>
      <c r="ZJ319" s="129"/>
      <c r="ZK319" s="129"/>
      <c r="ZL319" s="129"/>
      <c r="ZM319" s="129"/>
      <c r="ZN319" s="129"/>
      <c r="ZO319" s="129"/>
      <c r="ZP319" s="129"/>
      <c r="ZQ319" s="129"/>
      <c r="ZR319" s="129"/>
      <c r="ZS319" s="129"/>
      <c r="ZT319" s="129"/>
      <c r="ZU319" s="129"/>
      <c r="ZV319" s="129"/>
      <c r="ZW319" s="129"/>
      <c r="ZX319" s="129"/>
      <c r="ZY319" s="129"/>
      <c r="ZZ319" s="129"/>
      <c r="AAA319" s="129"/>
      <c r="AAB319" s="129"/>
      <c r="AAC319" s="129"/>
      <c r="AAD319" s="129"/>
      <c r="AAE319" s="129"/>
      <c r="AAF319" s="129"/>
      <c r="AAG319" s="129"/>
      <c r="AAH319" s="129"/>
      <c r="AAI319" s="129"/>
      <c r="AAJ319" s="129"/>
      <c r="AAK319" s="129"/>
      <c r="AAL319" s="129"/>
      <c r="AAM319" s="129"/>
      <c r="AAN319" s="129"/>
      <c r="AAO319" s="129"/>
      <c r="AAP319" s="129"/>
      <c r="AAQ319" s="129"/>
      <c r="AAR319" s="129"/>
      <c r="AAS319" s="129"/>
      <c r="AAT319" s="129"/>
      <c r="AAU319" s="129"/>
      <c r="AAV319" s="129"/>
      <c r="AAW319" s="129"/>
      <c r="AAX319" s="129"/>
      <c r="AAY319" s="129"/>
      <c r="AAZ319" s="129"/>
      <c r="ABA319" s="129"/>
      <c r="ABB319" s="129"/>
      <c r="ABC319" s="129"/>
      <c r="ABD319" s="129"/>
      <c r="ABE319" s="129"/>
      <c r="ABF319" s="129"/>
      <c r="ABG319" s="129"/>
      <c r="ABH319" s="129"/>
      <c r="ABI319" s="129"/>
      <c r="ABJ319" s="129"/>
      <c r="ABK319" s="129"/>
      <c r="ABL319" s="129"/>
      <c r="ABM319" s="129"/>
      <c r="ABN319" s="129"/>
      <c r="ABO319" s="129"/>
      <c r="ABP319" s="129"/>
      <c r="ABQ319" s="129"/>
      <c r="ABR319" s="129"/>
      <c r="ABS319" s="129"/>
      <c r="ABT319" s="129"/>
      <c r="ABU319" s="129"/>
      <c r="ABV319" s="129"/>
      <c r="ABW319" s="129"/>
      <c r="ABX319" s="129"/>
      <c r="ABY319" s="129"/>
      <c r="ABZ319" s="129"/>
      <c r="ACA319" s="129"/>
      <c r="ACB319" s="129"/>
      <c r="ACC319" s="129"/>
      <c r="ACD319" s="129"/>
      <c r="ACE319" s="129"/>
      <c r="ACF319" s="129"/>
      <c r="ACG319" s="129"/>
      <c r="ACH319" s="129"/>
      <c r="ACI319" s="129"/>
      <c r="ACJ319" s="129"/>
      <c r="ACK319" s="129"/>
      <c r="ACL319" s="129"/>
      <c r="ACM319" s="129"/>
      <c r="ACN319" s="129"/>
      <c r="ACO319" s="129"/>
      <c r="ACP319" s="129"/>
      <c r="ACQ319" s="129"/>
      <c r="ACR319" s="129"/>
      <c r="ACS319" s="129"/>
      <c r="ACT319" s="129"/>
      <c r="ACU319" s="129"/>
      <c r="ACV319" s="129"/>
      <c r="ACW319" s="129"/>
      <c r="ACX319" s="129"/>
      <c r="ACY319" s="129"/>
      <c r="ACZ319" s="129"/>
      <c r="ADA319" s="129"/>
      <c r="ADB319" s="129"/>
      <c r="ADC319" s="129"/>
      <c r="ADD319" s="129"/>
      <c r="ADE319" s="129"/>
      <c r="ADF319" s="129"/>
      <c r="ADG319" s="129"/>
      <c r="ADH319" s="129"/>
      <c r="ADI319" s="129"/>
      <c r="ADJ319" s="129"/>
      <c r="ADK319" s="129"/>
      <c r="ADL319" s="129"/>
      <c r="ADM319" s="129"/>
      <c r="ADN319" s="129"/>
      <c r="ADO319" s="129"/>
      <c r="ADP319" s="129"/>
      <c r="ADQ319" s="129"/>
      <c r="ADR319" s="129"/>
      <c r="ADS319" s="129"/>
      <c r="ADT319" s="129"/>
      <c r="ADU319" s="129"/>
      <c r="ADV319" s="129"/>
      <c r="ADW319" s="129"/>
      <c r="ADX319" s="129"/>
      <c r="ADY319" s="129"/>
      <c r="ADZ319" s="129"/>
      <c r="AEA319" s="129"/>
      <c r="AEB319" s="129"/>
      <c r="AEC319" s="129"/>
      <c r="AED319" s="129"/>
      <c r="AEE319" s="129"/>
      <c r="AEF319" s="129"/>
      <c r="AEG319" s="129"/>
      <c r="AEH319" s="129"/>
      <c r="AEI319" s="129"/>
      <c r="AEJ319" s="129"/>
      <c r="AEK319" s="129"/>
      <c r="AEL319" s="129"/>
      <c r="AEM319" s="129"/>
      <c r="AEN319" s="129"/>
      <c r="AEO319" s="129"/>
      <c r="AEP319" s="129"/>
      <c r="AEQ319" s="129"/>
      <c r="AER319" s="129"/>
      <c r="AES319" s="129"/>
      <c r="AET319" s="129"/>
      <c r="AEU319" s="129"/>
      <c r="AEV319" s="129"/>
      <c r="AEW319" s="129"/>
      <c r="AEX319" s="129"/>
      <c r="AEY319" s="129"/>
      <c r="AEZ319" s="129"/>
      <c r="AFA319" s="129"/>
      <c r="AFB319" s="129"/>
      <c r="AFC319" s="129"/>
      <c r="AFD319" s="129"/>
      <c r="AFE319" s="129"/>
      <c r="AFF319" s="129"/>
      <c r="AFG319" s="129"/>
      <c r="AFH319" s="129"/>
      <c r="AFI319" s="129"/>
      <c r="AFJ319" s="129"/>
      <c r="AFK319" s="129"/>
      <c r="AFL319" s="129"/>
      <c r="AFM319" s="129"/>
      <c r="AFN319" s="129"/>
      <c r="AFO319" s="129"/>
      <c r="AFP319" s="129"/>
      <c r="AFQ319" s="129"/>
      <c r="AFR319" s="129"/>
      <c r="AFS319" s="129"/>
      <c r="AFT319" s="129"/>
      <c r="AFU319" s="129"/>
      <c r="AFV319" s="129"/>
      <c r="AFW319" s="129"/>
      <c r="AFX319" s="129"/>
      <c r="AFY319" s="129"/>
      <c r="AFZ319" s="129"/>
      <c r="AGA319" s="129"/>
      <c r="AGB319" s="129"/>
      <c r="AGC319" s="129"/>
      <c r="AGD319" s="129"/>
      <c r="AGE319" s="129"/>
      <c r="AGF319" s="129"/>
      <c r="AGG319" s="129"/>
      <c r="AGH319" s="129"/>
      <c r="AGI319" s="129"/>
      <c r="AGJ319" s="129"/>
      <c r="AGK319" s="129"/>
      <c r="AGL319" s="129"/>
      <c r="AGM319" s="129"/>
      <c r="AGN319" s="129"/>
      <c r="AGO319" s="129"/>
      <c r="AGP319" s="129"/>
      <c r="AGQ319" s="129"/>
      <c r="AGR319" s="129"/>
      <c r="AGS319" s="129"/>
      <c r="AGT319" s="129"/>
      <c r="AGU319" s="129"/>
      <c r="AGV319" s="129"/>
      <c r="AGW319" s="129"/>
      <c r="AGX319" s="129"/>
      <c r="AGY319" s="129"/>
      <c r="AGZ319" s="129"/>
      <c r="AHA319" s="129"/>
      <c r="AHB319" s="129"/>
      <c r="AHC319" s="129"/>
      <c r="AHD319" s="129"/>
      <c r="AHE319" s="129"/>
      <c r="AHF319" s="129"/>
      <c r="AHG319" s="129"/>
      <c r="AHH319" s="129"/>
      <c r="AHI319" s="129"/>
      <c r="AHJ319" s="129"/>
      <c r="AHK319" s="129"/>
      <c r="AHL319" s="129"/>
      <c r="AHM319" s="129"/>
      <c r="AHN319" s="129"/>
      <c r="AHO319" s="129"/>
      <c r="AHP319" s="129"/>
      <c r="AHQ319" s="129"/>
      <c r="AHR319" s="129"/>
      <c r="AHS319" s="129"/>
      <c r="AHT319" s="129"/>
      <c r="AHU319" s="129"/>
      <c r="AHV319" s="129"/>
      <c r="AHW319" s="129"/>
      <c r="AHX319" s="129"/>
      <c r="AHY319" s="129"/>
      <c r="AHZ319" s="129"/>
      <c r="AIA319" s="129"/>
      <c r="AIB319" s="129"/>
      <c r="AIC319" s="129"/>
      <c r="AID319" s="129"/>
      <c r="AIE319" s="129"/>
      <c r="AIF319" s="129"/>
      <c r="AIG319" s="129"/>
      <c r="AIH319" s="129"/>
      <c r="AII319" s="129"/>
      <c r="AIJ319" s="129"/>
      <c r="AIK319" s="129"/>
      <c r="AIL319" s="129"/>
      <c r="AIM319" s="129"/>
      <c r="AIN319" s="129"/>
      <c r="AIO319" s="129"/>
      <c r="AIP319" s="129"/>
      <c r="AIQ319" s="129"/>
      <c r="AIR319" s="129"/>
      <c r="AIS319" s="129"/>
      <c r="AIT319" s="129"/>
      <c r="AIU319" s="129"/>
      <c r="AIV319" s="129"/>
      <c r="AIW319" s="129"/>
      <c r="AIX319" s="129"/>
      <c r="AIY319" s="129"/>
      <c r="AIZ319" s="129"/>
      <c r="AJA319" s="129"/>
      <c r="AJB319" s="129"/>
      <c r="AJC319" s="129"/>
      <c r="AJD319" s="129"/>
      <c r="AJE319" s="129"/>
      <c r="AJF319" s="129"/>
      <c r="AJG319" s="129"/>
      <c r="AJH319" s="129"/>
      <c r="AJI319" s="129"/>
      <c r="AJJ319" s="129"/>
      <c r="AJK319" s="129"/>
      <c r="AJL319" s="129"/>
      <c r="AJM319" s="129"/>
      <c r="AJN319" s="129"/>
      <c r="AJO319" s="129"/>
      <c r="AJP319" s="129"/>
      <c r="AJQ319" s="129"/>
      <c r="AJR319" s="129"/>
      <c r="AJS319" s="129"/>
      <c r="AJT319" s="129"/>
      <c r="AJU319" s="129"/>
      <c r="AJV319" s="129"/>
      <c r="AJW319" s="129"/>
      <c r="AJX319" s="129"/>
      <c r="AJY319" s="129"/>
      <c r="AJZ319" s="129"/>
      <c r="AKA319" s="129"/>
      <c r="AKB319" s="129"/>
      <c r="AKC319" s="129"/>
      <c r="AKD319" s="129"/>
      <c r="AKE319" s="129"/>
      <c r="AKF319" s="129"/>
      <c r="AKG319" s="129"/>
      <c r="AKH319" s="129"/>
      <c r="AKI319" s="129"/>
      <c r="AKJ319" s="129"/>
      <c r="AKK319" s="129"/>
      <c r="AKL319" s="129"/>
      <c r="AKM319" s="129"/>
      <c r="AKN319" s="129"/>
      <c r="AKO319" s="129"/>
      <c r="AKP319" s="129"/>
      <c r="AKQ319" s="129"/>
      <c r="AKR319" s="129"/>
      <c r="AKS319" s="129"/>
      <c r="AKT319" s="129"/>
      <c r="AKU319" s="129"/>
      <c r="AKV319" s="129"/>
      <c r="AKW319" s="129"/>
      <c r="AKX319" s="129"/>
      <c r="AKY319" s="129"/>
      <c r="AKZ319" s="129"/>
      <c r="ALA319" s="129"/>
      <c r="ALB319" s="129"/>
      <c r="ALC319" s="129"/>
      <c r="ALD319" s="129"/>
      <c r="ALE319" s="129"/>
      <c r="ALF319" s="129"/>
      <c r="ALG319" s="129"/>
      <c r="ALH319" s="129"/>
      <c r="ALI319" s="129"/>
      <c r="ALJ319" s="129"/>
      <c r="ALK319" s="129"/>
      <c r="ALL319" s="129"/>
      <c r="ALM319" s="129"/>
      <c r="ALN319" s="129"/>
      <c r="ALO319" s="129"/>
      <c r="ALP319" s="129"/>
      <c r="ALQ319" s="129"/>
      <c r="ALR319" s="129"/>
      <c r="ALS319" s="129"/>
      <c r="ALT319" s="129"/>
      <c r="ALU319" s="129"/>
      <c r="ALV319" s="129"/>
      <c r="ALW319" s="129"/>
      <c r="ALX319" s="129"/>
      <c r="ALY319" s="129"/>
      <c r="ALZ319" s="129"/>
      <c r="AMA319" s="129"/>
      <c r="AMB319" s="129"/>
      <c r="AMC319" s="129"/>
      <c r="AMD319" s="129"/>
      <c r="AME319" s="129"/>
      <c r="AMF319" s="129"/>
      <c r="AMG319" s="129"/>
      <c r="AMH319" s="129"/>
      <c r="AMI319" s="129"/>
      <c r="AMJ319" s="129"/>
      <c r="AMK319" s="129"/>
      <c r="AML319" s="129"/>
      <c r="AMM319" s="129"/>
      <c r="AMN319" s="129"/>
      <c r="AMO319" s="129"/>
      <c r="AMP319" s="129"/>
    </row>
    <row r="320" spans="1:1030" x14ac:dyDescent="0.2">
      <c r="A320" s="3" t="str">
        <f t="shared" si="1761"/>
        <v>calrl_human__wt</v>
      </c>
      <c r="B320" s="2" t="s">
        <v>402</v>
      </c>
      <c r="C320" s="3" t="s">
        <v>100</v>
      </c>
      <c r="D320" s="3" t="str">
        <f>IFERROR(MID(VLOOKUP($B320,Seqs!$A:$B,2,0),E320,1),"")</f>
        <v>N</v>
      </c>
      <c r="E320" s="3">
        <v>130</v>
      </c>
      <c r="F320" s="3" t="str">
        <f>IFERROR(MID(VLOOKUP($B320,Seqs!$A:$B,2,0),G320,1),"")</f>
        <v>F</v>
      </c>
      <c r="G320" s="3">
        <v>166</v>
      </c>
      <c r="H320" s="3" t="str">
        <f>IFERROR(MID(VLOOKUP($B320,Seqs!$A:$B,2,0),I320,1),"")</f>
        <v>K</v>
      </c>
      <c r="I320" s="23">
        <v>167</v>
      </c>
      <c r="J320" s="3" t="str">
        <f>IFERROR(MID(VLOOKUP($B320,Seqs!$A:$B,2,0),K320,1),"")</f>
        <v>S</v>
      </c>
      <c r="K320" s="23">
        <v>170</v>
      </c>
      <c r="L320" s="3" t="str">
        <f>IFERROR(MID(VLOOKUP($B320,Seqs!$A:$B,2,0),M320,1),"")</f>
        <v>C</v>
      </c>
      <c r="M320" s="3">
        <v>171</v>
      </c>
      <c r="N320" s="3" t="str">
        <f>IFERROR(MID(VLOOKUP($B320,Seqs!$A:$B,2,0),O320,1),"")</f>
        <v>V</v>
      </c>
      <c r="O320" s="3">
        <v>198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V</v>
      </c>
      <c r="U320" s="3">
        <v>210</v>
      </c>
      <c r="V320" s="3" t="str">
        <f>IFERROR(MID(VLOOKUP($B320,Seqs!$A:$B,2,0),W320,1),"")</f>
        <v>V</v>
      </c>
      <c r="W320" s="3">
        <v>243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H</v>
      </c>
      <c r="AC320" s="3">
        <v>251</v>
      </c>
      <c r="AD320" s="3" t="str">
        <f>IFERROR(MID(VLOOKUP($B320,Seqs!$A:$B,2,0),AE320,1),"")</f>
        <v>Y</v>
      </c>
      <c r="AE320" s="3">
        <v>277</v>
      </c>
      <c r="AF320" s="3" t="str">
        <f>IFERROR(MID(VLOOKUP($B320,Seqs!$A:$B,2,0),AG320,1),"")</f>
        <v>C</v>
      </c>
      <c r="AG320" s="3">
        <v>282</v>
      </c>
      <c r="AH320" s="3" t="str">
        <f>IFERROR(MID(VLOOKUP($B320,Seqs!$A:$B,2,0),AI320,1),"")</f>
        <v>I</v>
      </c>
      <c r="AI320" s="3">
        <v>284</v>
      </c>
      <c r="AJ320" s="3" t="str">
        <f>IFERROR(MID(VLOOKUP($B320,Seqs!$A:$B,2,0),AK320,1),"")</f>
        <v>L</v>
      </c>
      <c r="AK320" s="3">
        <v>290</v>
      </c>
      <c r="AL320" s="3" t="str">
        <f>IFERROR(MID(VLOOKUP($B320,Seqs!$A:$B,2,0),AM320,1),"")</f>
        <v>K</v>
      </c>
      <c r="AM320" s="3">
        <v>321</v>
      </c>
      <c r="AN320" s="3" t="str">
        <f>IFERROR(MID(VLOOKUP($B320,Seqs!$A:$B,2,0),AO320,1),"")</f>
        <v>Y</v>
      </c>
      <c r="AO320" s="3">
        <v>331</v>
      </c>
      <c r="AP320" s="3" t="str">
        <f>IFERROR(MID(VLOOKUP($B320,Seqs!$A:$B,2,0),AQ320,1),"")</f>
        <v>W</v>
      </c>
      <c r="AQ320" s="3">
        <v>354</v>
      </c>
      <c r="AR320" s="3" t="str">
        <f>IFERROR(MID(VLOOKUP($B320,Seqs!$A:$B,2,0),AS320,1),"")</f>
        <v>K</v>
      </c>
      <c r="AS320" s="3">
        <v>359</v>
      </c>
      <c r="AT320" s="3" t="str">
        <f>IFERROR(MID(VLOOKUP($B320,Seqs!$A:$B,2,0),AU320,1),"")</f>
        <v>F</v>
      </c>
      <c r="AU320" s="3">
        <v>387</v>
      </c>
      <c r="AV320" s="3" t="str">
        <f>IFERROR(MID(VLOOKUP($B320,Seqs!$A:$B,2,0),AW320,1),"")</f>
        <v>N</v>
      </c>
      <c r="AW320" s="3">
        <v>388</v>
      </c>
      <c r="AX320" s="3" t="str">
        <f>IFERROR(MID(VLOOKUP($B320,Seqs!$A:$B,2,0),AY320,1),"")</f>
        <v>S</v>
      </c>
      <c r="AY320" s="3">
        <v>413</v>
      </c>
      <c r="AZ320" s="77" t="str">
        <f>VLOOKUP(B320,Classification!A:D,2,0)</f>
        <v>B1</v>
      </c>
      <c r="BA320" s="94" t="str">
        <f>VLOOKUP(B320,Classification!A:D,4,0)</f>
        <v>Calcitonin</v>
      </c>
      <c r="BB320" s="27" t="b">
        <f t="shared" ref="BB320" si="1846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 t="shared" ref="BC320" si="1847">_xlfn.AGGREGATE(9,6,CH320:CS320)-_xlfn.AGGREGATE(9,6,BV320:CG320)+12</f>
        <v>246</v>
      </c>
      <c r="BD320" s="4" t="s">
        <v>23</v>
      </c>
      <c r="BE320" s="3" t="s">
        <v>23</v>
      </c>
      <c r="BF320" s="119" t="s">
        <v>23</v>
      </c>
      <c r="BG320" s="49" t="s">
        <v>1378</v>
      </c>
      <c r="BH320" s="49" t="s">
        <v>1378</v>
      </c>
      <c r="BI320" s="1"/>
      <c r="BJ320" s="70" t="s">
        <v>1288</v>
      </c>
      <c r="BK320" s="57" t="s">
        <v>1288</v>
      </c>
      <c r="BL320" s="57" t="s">
        <v>1288</v>
      </c>
      <c r="BM320" s="57" t="s">
        <v>1288</v>
      </c>
      <c r="BN320" s="57" t="s">
        <v>1288</v>
      </c>
      <c r="BO320" s="57" t="s">
        <v>1288</v>
      </c>
      <c r="BP320" s="57" t="s">
        <v>1288</v>
      </c>
      <c r="BQ320" s="57" t="s">
        <v>1288</v>
      </c>
      <c r="BR320" s="57" t="s">
        <v>1288</v>
      </c>
      <c r="BS320" s="57" t="s">
        <v>1288</v>
      </c>
      <c r="BT320" s="57" t="s">
        <v>1288</v>
      </c>
      <c r="BU320" s="57" t="s">
        <v>1288</v>
      </c>
      <c r="BV320" s="70">
        <f t="shared" ref="BV320" si="1848">E320</f>
        <v>130</v>
      </c>
      <c r="BW320" s="71">
        <f t="shared" ref="BW320" si="1849">I320</f>
        <v>167</v>
      </c>
      <c r="BX320" s="72">
        <f t="shared" ref="BX320" si="1850">M320</f>
        <v>171</v>
      </c>
      <c r="BY320" s="71" t="str">
        <f t="shared" ref="BY320" si="1851">Q320</f>
        <v>-</v>
      </c>
      <c r="BZ320" s="72">
        <f t="shared" ref="BZ320" si="1852">U320</f>
        <v>210</v>
      </c>
      <c r="CA320" s="71" t="str">
        <f t="shared" ref="CA320" si="1853">Y320</f>
        <v>-</v>
      </c>
      <c r="CB320" s="72">
        <f t="shared" ref="CB320" si="1854">AC320</f>
        <v>251</v>
      </c>
      <c r="CC320" s="71">
        <f t="shared" ref="CC320" si="1855">AG320</f>
        <v>282</v>
      </c>
      <c r="CD320" s="72">
        <f t="shared" ref="CD320" si="1856">AK320</f>
        <v>290</v>
      </c>
      <c r="CE320" s="71">
        <f t="shared" ref="CE320" si="1857">AO320</f>
        <v>331</v>
      </c>
      <c r="CF320" s="72">
        <f t="shared" ref="CF320" si="1858">AS320</f>
        <v>359</v>
      </c>
      <c r="CG320" s="71">
        <f t="shared" ref="CG320" si="1859">AW320</f>
        <v>388</v>
      </c>
      <c r="CH320" s="70">
        <f t="shared" ref="CH320" si="1860">G320</f>
        <v>166</v>
      </c>
      <c r="CI320" s="71">
        <f t="shared" ref="CI320" si="1861">K320</f>
        <v>170</v>
      </c>
      <c r="CJ320" s="72">
        <f t="shared" ref="CJ320" si="1862">O320</f>
        <v>198</v>
      </c>
      <c r="CK320" s="72" t="str">
        <f t="shared" ref="CK320" si="1863">S320</f>
        <v>-</v>
      </c>
      <c r="CL320" s="72">
        <f t="shared" ref="CL320" si="1864">W320</f>
        <v>243</v>
      </c>
      <c r="CM320" s="72" t="str">
        <f t="shared" ref="CM320" si="1865">AA320</f>
        <v>-</v>
      </c>
      <c r="CN320" s="72">
        <f t="shared" ref="CN320" si="1866">AE320</f>
        <v>277</v>
      </c>
      <c r="CO320" s="72">
        <f t="shared" ref="CO320" si="1867">AI320</f>
        <v>284</v>
      </c>
      <c r="CP320" s="72">
        <f t="shared" ref="CP320" si="1868">AM320</f>
        <v>321</v>
      </c>
      <c r="CQ320" s="72">
        <f t="shared" ref="CQ320" si="1869">AQ320</f>
        <v>354</v>
      </c>
      <c r="CR320" s="72">
        <f t="shared" ref="CR320" si="1870">AU320</f>
        <v>387</v>
      </c>
      <c r="CS320" s="72">
        <f t="shared" ref="CS320" si="1871">AY320</f>
        <v>413</v>
      </c>
      <c r="CT320" s="23">
        <f t="shared" ref="CT320" si="1872">M320-K320</f>
        <v>1</v>
      </c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6"/>
      <c r="ACQ320" s="6"/>
      <c r="ACR320" s="6"/>
      <c r="ACS320" s="6"/>
      <c r="ACT320" s="6"/>
      <c r="ACU320" s="6"/>
      <c r="ACV320" s="6"/>
      <c r="ACW320" s="6"/>
      <c r="ACX320" s="6"/>
      <c r="ACY320" s="6"/>
      <c r="ACZ320" s="6"/>
      <c r="ADA320" s="6"/>
      <c r="ADB320" s="6"/>
      <c r="ADC320" s="6"/>
      <c r="ADD320" s="6"/>
      <c r="ADE320" s="6"/>
      <c r="ADF320" s="6"/>
      <c r="ADG320" s="6"/>
      <c r="ADH320" s="6"/>
      <c r="ADI320" s="6"/>
      <c r="ADJ320" s="6"/>
      <c r="ADK320" s="6"/>
      <c r="ADL320" s="6"/>
      <c r="ADM320" s="6"/>
      <c r="ADN320" s="6"/>
      <c r="ADO320" s="6"/>
      <c r="ADP320" s="6"/>
      <c r="ADQ320" s="6"/>
      <c r="ADR320" s="6"/>
      <c r="ADS320" s="6"/>
      <c r="ADT320" s="6"/>
      <c r="ADU320" s="6"/>
      <c r="ADV320" s="6"/>
      <c r="ADW320" s="6"/>
      <c r="ADX320" s="6"/>
      <c r="ADY320" s="6"/>
      <c r="ADZ320" s="6"/>
      <c r="AEA320" s="6"/>
      <c r="AEB320" s="6"/>
      <c r="AEC320" s="6"/>
      <c r="AED320" s="6"/>
      <c r="AEE320" s="6"/>
      <c r="AEF320" s="6"/>
      <c r="AEG320" s="6"/>
      <c r="AEH320" s="6"/>
      <c r="AEI320" s="6"/>
      <c r="AEJ320" s="6"/>
      <c r="AEK320" s="6"/>
      <c r="AEL320" s="6"/>
      <c r="AEM320" s="6"/>
      <c r="AEN320" s="6"/>
      <c r="AEO320" s="6"/>
      <c r="AEP320" s="6"/>
      <c r="AEQ320" s="6"/>
      <c r="AER320" s="6"/>
      <c r="AES320" s="6"/>
      <c r="AET320" s="6"/>
      <c r="AEU320" s="6"/>
      <c r="AEV320" s="6"/>
      <c r="AEW320" s="6"/>
      <c r="AEX320" s="6"/>
      <c r="AEY320" s="6"/>
      <c r="AEZ320" s="6"/>
      <c r="AFA320" s="6"/>
      <c r="AFB320" s="6"/>
      <c r="AFC320" s="6"/>
      <c r="AFD320" s="6"/>
      <c r="AFE320" s="6"/>
      <c r="AFF320" s="6"/>
      <c r="AFG320" s="6"/>
      <c r="AFH320" s="6"/>
      <c r="AFI320" s="6"/>
      <c r="AFJ320" s="6"/>
      <c r="AFK320" s="6"/>
      <c r="AFL320" s="6"/>
      <c r="AFM320" s="6"/>
      <c r="AFN320" s="6"/>
      <c r="AFO320" s="6"/>
      <c r="AFP320" s="6"/>
      <c r="AFQ320" s="6"/>
      <c r="AFR320" s="6"/>
      <c r="AFS320" s="6"/>
      <c r="AFT320" s="6"/>
      <c r="AFU320" s="6"/>
      <c r="AFV320" s="6"/>
      <c r="AFW320" s="6"/>
      <c r="AFX320" s="6"/>
      <c r="AFY320" s="6"/>
      <c r="AFZ320" s="6"/>
      <c r="AGA320" s="6"/>
      <c r="AGB320" s="6"/>
      <c r="AGC320" s="6"/>
      <c r="AGD320" s="6"/>
      <c r="AGE320" s="6"/>
      <c r="AGF320" s="6"/>
      <c r="AGG320" s="6"/>
      <c r="AGH320" s="6"/>
      <c r="AGI320" s="6"/>
      <c r="AGJ320" s="6"/>
      <c r="AGK320" s="6"/>
      <c r="AGL320" s="6"/>
      <c r="AGM320" s="6"/>
      <c r="AGN320" s="6"/>
      <c r="AGO320" s="6"/>
      <c r="AGP320" s="6"/>
      <c r="AGQ320" s="6"/>
      <c r="AGR320" s="6"/>
      <c r="AGS320" s="6"/>
      <c r="AGT320" s="6"/>
      <c r="AGU320" s="6"/>
      <c r="AGV320" s="6"/>
      <c r="AGW320" s="6"/>
      <c r="AGX320" s="6"/>
      <c r="AGY320" s="6"/>
      <c r="AGZ320" s="6"/>
      <c r="AHA320" s="6"/>
      <c r="AHB320" s="6"/>
      <c r="AHC320" s="6"/>
      <c r="AHD320" s="6"/>
      <c r="AHE320" s="6"/>
      <c r="AHF320" s="6"/>
      <c r="AHG320" s="6"/>
      <c r="AHH320" s="6"/>
      <c r="AHI320" s="6"/>
      <c r="AHJ320" s="6"/>
      <c r="AHK320" s="6"/>
      <c r="AHL320" s="6"/>
      <c r="AHM320" s="6"/>
      <c r="AHN320" s="6"/>
      <c r="AHO320" s="6"/>
      <c r="AHP320" s="6"/>
      <c r="AHQ320" s="6"/>
      <c r="AHR320" s="6"/>
      <c r="AHS320" s="6"/>
      <c r="AHT320" s="6"/>
      <c r="AHU320" s="6"/>
      <c r="AHV320" s="6"/>
      <c r="AHW320" s="6"/>
      <c r="AHX320" s="6"/>
      <c r="AHY320" s="6"/>
      <c r="AHZ320" s="6"/>
      <c r="AIA320" s="6"/>
      <c r="AIB320" s="6"/>
      <c r="AIC320" s="6"/>
      <c r="AID320" s="6"/>
      <c r="AIE320" s="6"/>
      <c r="AIF320" s="6"/>
      <c r="AIG320" s="6"/>
      <c r="AIH320" s="6"/>
      <c r="AII320" s="6"/>
      <c r="AIJ320" s="6"/>
      <c r="AIK320" s="6"/>
      <c r="AIL320" s="6"/>
      <c r="AIM320" s="6"/>
      <c r="AIN320" s="6"/>
      <c r="AIO320" s="6"/>
      <c r="AIP320" s="6"/>
      <c r="AIQ320" s="6"/>
      <c r="AIR320" s="6"/>
      <c r="AIS320" s="6"/>
      <c r="AIT320" s="6"/>
      <c r="AIU320" s="6"/>
      <c r="AIV320" s="6"/>
      <c r="AIW320" s="6"/>
      <c r="AIX320" s="6"/>
      <c r="AIY320" s="6"/>
      <c r="AIZ320" s="6"/>
      <c r="AJA320" s="6"/>
      <c r="AJB320" s="6"/>
      <c r="AJC320" s="6"/>
      <c r="AJD320" s="6"/>
      <c r="AJE320" s="6"/>
      <c r="AJF320" s="6"/>
      <c r="AJG320" s="6"/>
      <c r="AJH320" s="6"/>
      <c r="AJI320" s="6"/>
      <c r="AJJ320" s="6"/>
      <c r="AJK320" s="6"/>
      <c r="AJL320" s="6"/>
      <c r="AJM320" s="6"/>
      <c r="AJN320" s="6"/>
      <c r="AJO320" s="6"/>
      <c r="AJP320" s="6"/>
      <c r="AJQ320" s="6"/>
      <c r="AJR320" s="6"/>
      <c r="AJS320" s="6"/>
      <c r="AJT320" s="6"/>
      <c r="AJU320" s="6"/>
      <c r="AJV320" s="6"/>
      <c r="AJW320" s="6"/>
      <c r="AJX320" s="6"/>
      <c r="AJY320" s="6"/>
      <c r="AJZ320" s="6"/>
      <c r="AKA320" s="6"/>
      <c r="AKB320" s="6"/>
      <c r="AKC320" s="6"/>
      <c r="AKD320" s="6"/>
      <c r="AKE320" s="6"/>
      <c r="AKF320" s="6"/>
      <c r="AKG320" s="6"/>
      <c r="AKH320" s="6"/>
      <c r="AKI320" s="6"/>
      <c r="AKJ320" s="6"/>
      <c r="AKK320" s="6"/>
      <c r="AKL320" s="6"/>
      <c r="AKM320" s="6"/>
      <c r="AKN320" s="6"/>
      <c r="AKO320" s="6"/>
      <c r="AKP320" s="6"/>
      <c r="AKQ320" s="6"/>
      <c r="AKR320" s="6"/>
      <c r="AKS320" s="6"/>
      <c r="AKT320" s="6"/>
      <c r="AKU320" s="6"/>
      <c r="AKV320" s="6"/>
      <c r="AKW320" s="6"/>
      <c r="AKX320" s="6"/>
      <c r="AKY320" s="6"/>
      <c r="AKZ320" s="6"/>
      <c r="ALA320" s="6"/>
      <c r="ALB320" s="6"/>
      <c r="ALC320" s="6"/>
      <c r="ALD320" s="6"/>
      <c r="ALE320" s="6"/>
      <c r="ALF320" s="6"/>
      <c r="ALG320" s="6"/>
      <c r="ALH320" s="6"/>
      <c r="ALI320" s="6"/>
      <c r="ALJ320" s="6"/>
      <c r="ALK320" s="6"/>
      <c r="ALL320" s="6"/>
      <c r="ALM320" s="6"/>
      <c r="ALN320" s="6"/>
      <c r="ALO320" s="6"/>
      <c r="ALP320" s="6"/>
      <c r="ALQ320" s="6"/>
      <c r="ALR320" s="6"/>
      <c r="ALS320" s="6"/>
      <c r="ALT320" s="6"/>
      <c r="ALU320" s="6"/>
      <c r="ALV320" s="6"/>
      <c r="ALW320" s="6"/>
      <c r="ALX320" s="6"/>
      <c r="ALY320" s="6"/>
      <c r="ALZ320" s="6"/>
      <c r="AMA320" s="6"/>
      <c r="AMB320" s="6"/>
      <c r="AMC320" s="6"/>
      <c r="AMD320" s="6"/>
      <c r="AME320" s="6"/>
      <c r="AMF320" s="6"/>
      <c r="AMG320" s="6"/>
      <c r="AMH320" s="6"/>
      <c r="AMI320" s="6"/>
      <c r="AMJ320" s="6"/>
      <c r="AMK320" s="6"/>
      <c r="AML320" s="6"/>
      <c r="AMM320" s="6"/>
      <c r="AMN320" s="6"/>
      <c r="AMO320" s="6"/>
      <c r="AMP320" s="6"/>
    </row>
    <row r="321" spans="1:1030" x14ac:dyDescent="0.2">
      <c r="A321" s="3" t="str">
        <f t="shared" si="1761"/>
        <v>calrl_human_6E3Y</v>
      </c>
      <c r="B321" s="2" t="s">
        <v>402</v>
      </c>
      <c r="C321" s="3" t="s">
        <v>1517</v>
      </c>
      <c r="D321" s="3" t="str">
        <f>IFERROR(MID(VLOOKUP($B321,Seqs!$A:$B,2,0),E321,1),"")</f>
        <v>N</v>
      </c>
      <c r="E321" s="3">
        <v>130</v>
      </c>
      <c r="F321" s="3" t="str">
        <f>IFERROR(MID(VLOOKUP($B321,Seqs!$A:$B,2,0),G321,1),"")</f>
        <v>F</v>
      </c>
      <c r="G321" s="3">
        <v>166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C</v>
      </c>
      <c r="M321" s="3">
        <v>171</v>
      </c>
      <c r="N321" s="3" t="str">
        <f>IFERROR(MID(VLOOKUP($B321,Seqs!$A:$B,2,0),O321,1),"")</f>
        <v>V</v>
      </c>
      <c r="O321" s="3">
        <v>198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V</v>
      </c>
      <c r="U321" s="3">
        <v>210</v>
      </c>
      <c r="V321" s="3" t="str">
        <f>IFERROR(MID(VLOOKUP($B321,Seqs!$A:$B,2,0),W321,1),"")</f>
        <v>V</v>
      </c>
      <c r="W321" s="3">
        <v>242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M</v>
      </c>
      <c r="AC321" s="3">
        <v>253</v>
      </c>
      <c r="AD321" s="3" t="str">
        <f>IFERROR(MID(VLOOKUP($B321,Seqs!$A:$B,2,0),AE321,1),"")</f>
        <v>Y</v>
      </c>
      <c r="AE321" s="3">
        <v>277</v>
      </c>
      <c r="AF321" s="3" t="str">
        <f>IFERROR(MID(VLOOKUP($B321,Seqs!$A:$B,2,0),AG321,1),"")</f>
        <v>C</v>
      </c>
      <c r="AG321" s="3">
        <v>282</v>
      </c>
      <c r="AH321" s="3" t="str">
        <f>IFERROR(MID(VLOOKUP($B321,Seqs!$A:$B,2,0),AI321,1),"")</f>
        <v>I</v>
      </c>
      <c r="AI321" s="3">
        <v>284</v>
      </c>
      <c r="AJ321" s="3" t="str">
        <f>IFERROR(MID(VLOOKUP($B321,Seqs!$A:$B,2,0),AK321,1),"")</f>
        <v>L</v>
      </c>
      <c r="AK321" s="3">
        <v>290</v>
      </c>
      <c r="AL321" s="3" t="str">
        <f>IFERROR(MID(VLOOKUP($B321,Seqs!$A:$B,2,0),AM321,1),"")</f>
        <v>K</v>
      </c>
      <c r="AM321" s="3">
        <v>321</v>
      </c>
      <c r="AN321" s="3" t="str">
        <f>IFERROR(MID(VLOOKUP($B321,Seqs!$A:$B,2,0),AO321,1),"")</f>
        <v>N</v>
      </c>
      <c r="AO321" s="3">
        <v>329</v>
      </c>
      <c r="AP321" s="3" t="str">
        <f>IFERROR(MID(VLOOKUP($B321,Seqs!$A:$B,2,0),AQ321,1),"")</f>
        <v>V</v>
      </c>
      <c r="AQ321" s="3">
        <v>350</v>
      </c>
      <c r="AR321" s="3" t="str">
        <f>IFERROR(MID(VLOOKUP($B321,Seqs!$A:$B,2,0),AS321,1),"")</f>
        <v>V</v>
      </c>
      <c r="AS321" s="3">
        <v>364</v>
      </c>
      <c r="AT321" s="3" t="str">
        <f>IFERROR(MID(VLOOKUP($B321,Seqs!$A:$B,2,0),AU321,1),"")</f>
        <v>F</v>
      </c>
      <c r="AU321" s="3">
        <v>387</v>
      </c>
      <c r="AV321" s="3" t="str">
        <f>IFERROR(MID(VLOOKUP($B321,Seqs!$A:$B,2,0),AW321,1),"")</f>
        <v>N</v>
      </c>
      <c r="AW321" s="3">
        <v>388</v>
      </c>
      <c r="AX321" s="3" t="str">
        <f>IFERROR(MID(VLOOKUP($B321,Seqs!$A:$B,2,0),AY321,1),"")</f>
        <v>W</v>
      </c>
      <c r="AY321" s="3">
        <v>399</v>
      </c>
      <c r="AZ321" s="77" t="str">
        <f>VLOOKUP(B321,Classification!A:D,2,0)</f>
        <v>B1</v>
      </c>
      <c r="BA321" s="94" t="str">
        <f>VLOOKUP(B321,Classification!A:D,4,0)</f>
        <v>Calcitonin</v>
      </c>
      <c r="BB321" s="27" t="b">
        <f t="shared" ref="BB321" si="1873"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 t="shared" ref="BC321" si="1874">_xlfn.AGGREGATE(9,6,CH321:CS321)-_xlfn.AGGREGATE(9,6,BV321:CG321)+12</f>
        <v>219</v>
      </c>
      <c r="BD321" s="4" t="s">
        <v>1376</v>
      </c>
      <c r="BE321" s="3" t="s">
        <v>1292</v>
      </c>
      <c r="BF321" s="119">
        <v>3.3</v>
      </c>
      <c r="BG321" s="49" t="s">
        <v>1423</v>
      </c>
      <c r="BH321" s="49" t="s">
        <v>1423</v>
      </c>
      <c r="BI321" s="1"/>
      <c r="BJ321" s="70" t="s">
        <v>1288</v>
      </c>
      <c r="BK321" s="57" t="s">
        <v>1288</v>
      </c>
      <c r="BL321" s="57" t="s">
        <v>1288</v>
      </c>
      <c r="BM321" s="57" t="s">
        <v>1288</v>
      </c>
      <c r="BN321" s="57" t="s">
        <v>1288</v>
      </c>
      <c r="BO321" s="57" t="s">
        <v>1288</v>
      </c>
      <c r="BP321" s="57" t="s">
        <v>1288</v>
      </c>
      <c r="BQ321" s="57" t="s">
        <v>1288</v>
      </c>
      <c r="BR321" s="57" t="s">
        <v>1288</v>
      </c>
      <c r="BS321" s="57" t="s">
        <v>1288</v>
      </c>
      <c r="BT321" s="57" t="s">
        <v>1288</v>
      </c>
      <c r="BU321" s="57" t="s">
        <v>1288</v>
      </c>
      <c r="BV321" s="70">
        <f t="shared" ref="BV321" si="1875">E321</f>
        <v>130</v>
      </c>
      <c r="BW321" s="71" t="str">
        <f t="shared" ref="BW321" si="1876">I321</f>
        <v>-</v>
      </c>
      <c r="BX321" s="72">
        <f t="shared" ref="BX321" si="1877">M321</f>
        <v>171</v>
      </c>
      <c r="BY321" s="71" t="str">
        <f t="shared" ref="BY321" si="1878">Q321</f>
        <v>-</v>
      </c>
      <c r="BZ321" s="72">
        <f t="shared" ref="BZ321" si="1879">U321</f>
        <v>210</v>
      </c>
      <c r="CA321" s="71" t="str">
        <f t="shared" ref="CA321" si="1880">Y321</f>
        <v>-</v>
      </c>
      <c r="CB321" s="72">
        <f t="shared" ref="CB321" si="1881">AC321</f>
        <v>253</v>
      </c>
      <c r="CC321" s="71">
        <f t="shared" ref="CC321" si="1882">AG321</f>
        <v>282</v>
      </c>
      <c r="CD321" s="72">
        <f t="shared" ref="CD321" si="1883">AK321</f>
        <v>290</v>
      </c>
      <c r="CE321" s="71">
        <f t="shared" ref="CE321" si="1884">AO321</f>
        <v>329</v>
      </c>
      <c r="CF321" s="72">
        <f t="shared" ref="CF321" si="1885">AS321</f>
        <v>364</v>
      </c>
      <c r="CG321" s="71">
        <f t="shared" ref="CG321" si="1886">AW321</f>
        <v>388</v>
      </c>
      <c r="CH321" s="70">
        <f t="shared" ref="CH321" si="1887">G321</f>
        <v>166</v>
      </c>
      <c r="CI321" s="71" t="str">
        <f t="shared" ref="CI321" si="1888">K321</f>
        <v>-</v>
      </c>
      <c r="CJ321" s="72">
        <f t="shared" ref="CJ321" si="1889">O321</f>
        <v>198</v>
      </c>
      <c r="CK321" s="72" t="str">
        <f t="shared" ref="CK321" si="1890">S321</f>
        <v>-</v>
      </c>
      <c r="CL321" s="72">
        <f t="shared" ref="CL321" si="1891">W321</f>
        <v>242</v>
      </c>
      <c r="CM321" s="72" t="str">
        <f t="shared" ref="CM321" si="1892">AA321</f>
        <v>-</v>
      </c>
      <c r="CN321" s="72">
        <f t="shared" ref="CN321" si="1893">AE321</f>
        <v>277</v>
      </c>
      <c r="CO321" s="72">
        <f t="shared" ref="CO321" si="1894">AI321</f>
        <v>284</v>
      </c>
      <c r="CP321" s="72">
        <f t="shared" ref="CP321" si="1895">AM321</f>
        <v>321</v>
      </c>
      <c r="CQ321" s="72">
        <f t="shared" ref="CQ321" si="1896">AQ321</f>
        <v>350</v>
      </c>
      <c r="CR321" s="72">
        <f t="shared" ref="CR321" si="1897">AU321</f>
        <v>387</v>
      </c>
      <c r="CS321" s="72">
        <f t="shared" ref="CS321" si="1898">AY321</f>
        <v>399</v>
      </c>
      <c r="CT321" s="23" t="e">
        <f t="shared" ref="CT321" si="1899">M321-K321</f>
        <v>#VALUE!</v>
      </c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6"/>
      <c r="ACQ321" s="6"/>
      <c r="ACR321" s="6"/>
      <c r="ACS321" s="6"/>
      <c r="ACT321" s="6"/>
      <c r="ACU321" s="6"/>
      <c r="ACV321" s="6"/>
      <c r="ACW321" s="6"/>
      <c r="ACX321" s="6"/>
      <c r="ACY321" s="6"/>
      <c r="ACZ321" s="6"/>
      <c r="ADA321" s="6"/>
      <c r="ADB321" s="6"/>
      <c r="ADC321" s="6"/>
      <c r="ADD321" s="6"/>
      <c r="ADE321" s="6"/>
      <c r="ADF321" s="6"/>
      <c r="ADG321" s="6"/>
      <c r="ADH321" s="6"/>
      <c r="ADI321" s="6"/>
      <c r="ADJ321" s="6"/>
      <c r="ADK321" s="6"/>
      <c r="ADL321" s="6"/>
      <c r="ADM321" s="6"/>
      <c r="ADN321" s="6"/>
      <c r="ADO321" s="6"/>
      <c r="ADP321" s="6"/>
      <c r="ADQ321" s="6"/>
      <c r="ADR321" s="6"/>
      <c r="ADS321" s="6"/>
      <c r="ADT321" s="6"/>
      <c r="ADU321" s="6"/>
      <c r="ADV321" s="6"/>
      <c r="ADW321" s="6"/>
      <c r="ADX321" s="6"/>
      <c r="ADY321" s="6"/>
      <c r="ADZ321" s="6"/>
      <c r="AEA321" s="6"/>
      <c r="AEB321" s="6"/>
      <c r="AEC321" s="6"/>
      <c r="AED321" s="6"/>
      <c r="AEE321" s="6"/>
      <c r="AEF321" s="6"/>
      <c r="AEG321" s="6"/>
      <c r="AEH321" s="6"/>
      <c r="AEI321" s="6"/>
      <c r="AEJ321" s="6"/>
      <c r="AEK321" s="6"/>
      <c r="AEL321" s="6"/>
      <c r="AEM321" s="6"/>
      <c r="AEN321" s="6"/>
      <c r="AEO321" s="6"/>
      <c r="AEP321" s="6"/>
      <c r="AEQ321" s="6"/>
      <c r="AER321" s="6"/>
      <c r="AES321" s="6"/>
      <c r="AET321" s="6"/>
      <c r="AEU321" s="6"/>
      <c r="AEV321" s="6"/>
      <c r="AEW321" s="6"/>
      <c r="AEX321" s="6"/>
      <c r="AEY321" s="6"/>
      <c r="AEZ321" s="6"/>
      <c r="AFA321" s="6"/>
      <c r="AFB321" s="6"/>
      <c r="AFC321" s="6"/>
      <c r="AFD321" s="6"/>
      <c r="AFE321" s="6"/>
      <c r="AFF321" s="6"/>
      <c r="AFG321" s="6"/>
      <c r="AFH321" s="6"/>
      <c r="AFI321" s="6"/>
      <c r="AFJ321" s="6"/>
      <c r="AFK321" s="6"/>
      <c r="AFL321" s="6"/>
      <c r="AFM321" s="6"/>
      <c r="AFN321" s="6"/>
      <c r="AFO321" s="6"/>
      <c r="AFP321" s="6"/>
      <c r="AFQ321" s="6"/>
      <c r="AFR321" s="6"/>
      <c r="AFS321" s="6"/>
      <c r="AFT321" s="6"/>
      <c r="AFU321" s="6"/>
      <c r="AFV321" s="6"/>
      <c r="AFW321" s="6"/>
      <c r="AFX321" s="6"/>
      <c r="AFY321" s="6"/>
      <c r="AFZ321" s="6"/>
      <c r="AGA321" s="6"/>
      <c r="AGB321" s="6"/>
      <c r="AGC321" s="6"/>
      <c r="AGD321" s="6"/>
      <c r="AGE321" s="6"/>
      <c r="AGF321" s="6"/>
      <c r="AGG321" s="6"/>
      <c r="AGH321" s="6"/>
      <c r="AGI321" s="6"/>
      <c r="AGJ321" s="6"/>
      <c r="AGK321" s="6"/>
      <c r="AGL321" s="6"/>
      <c r="AGM321" s="6"/>
      <c r="AGN321" s="6"/>
      <c r="AGO321" s="6"/>
      <c r="AGP321" s="6"/>
      <c r="AGQ321" s="6"/>
      <c r="AGR321" s="6"/>
      <c r="AGS321" s="6"/>
      <c r="AGT321" s="6"/>
      <c r="AGU321" s="6"/>
      <c r="AGV321" s="6"/>
      <c r="AGW321" s="6"/>
      <c r="AGX321" s="6"/>
      <c r="AGY321" s="6"/>
      <c r="AGZ321" s="6"/>
      <c r="AHA321" s="6"/>
      <c r="AHB321" s="6"/>
      <c r="AHC321" s="6"/>
      <c r="AHD321" s="6"/>
      <c r="AHE321" s="6"/>
      <c r="AHF321" s="6"/>
      <c r="AHG321" s="6"/>
      <c r="AHH321" s="6"/>
      <c r="AHI321" s="6"/>
      <c r="AHJ321" s="6"/>
      <c r="AHK321" s="6"/>
      <c r="AHL321" s="6"/>
      <c r="AHM321" s="6"/>
      <c r="AHN321" s="6"/>
      <c r="AHO321" s="6"/>
      <c r="AHP321" s="6"/>
      <c r="AHQ321" s="6"/>
      <c r="AHR321" s="6"/>
      <c r="AHS321" s="6"/>
      <c r="AHT321" s="6"/>
      <c r="AHU321" s="6"/>
      <c r="AHV321" s="6"/>
      <c r="AHW321" s="6"/>
      <c r="AHX321" s="6"/>
      <c r="AHY321" s="6"/>
      <c r="AHZ321" s="6"/>
      <c r="AIA321" s="6"/>
      <c r="AIB321" s="6"/>
      <c r="AIC321" s="6"/>
      <c r="AID321" s="6"/>
      <c r="AIE321" s="6"/>
      <c r="AIF321" s="6"/>
      <c r="AIG321" s="6"/>
      <c r="AIH321" s="6"/>
      <c r="AII321" s="6"/>
      <c r="AIJ321" s="6"/>
      <c r="AIK321" s="6"/>
      <c r="AIL321" s="6"/>
      <c r="AIM321" s="6"/>
      <c r="AIN321" s="6"/>
      <c r="AIO321" s="6"/>
      <c r="AIP321" s="6"/>
      <c r="AIQ321" s="6"/>
      <c r="AIR321" s="6"/>
      <c r="AIS321" s="6"/>
      <c r="AIT321" s="6"/>
      <c r="AIU321" s="6"/>
      <c r="AIV321" s="6"/>
      <c r="AIW321" s="6"/>
      <c r="AIX321" s="6"/>
      <c r="AIY321" s="6"/>
      <c r="AIZ321" s="6"/>
      <c r="AJA321" s="6"/>
      <c r="AJB321" s="6"/>
      <c r="AJC321" s="6"/>
      <c r="AJD321" s="6"/>
      <c r="AJE321" s="6"/>
      <c r="AJF321" s="6"/>
      <c r="AJG321" s="6"/>
      <c r="AJH321" s="6"/>
      <c r="AJI321" s="6"/>
      <c r="AJJ321" s="6"/>
      <c r="AJK321" s="6"/>
      <c r="AJL321" s="6"/>
      <c r="AJM321" s="6"/>
      <c r="AJN321" s="6"/>
      <c r="AJO321" s="6"/>
      <c r="AJP321" s="6"/>
      <c r="AJQ321" s="6"/>
      <c r="AJR321" s="6"/>
      <c r="AJS321" s="6"/>
      <c r="AJT321" s="6"/>
      <c r="AJU321" s="6"/>
      <c r="AJV321" s="6"/>
      <c r="AJW321" s="6"/>
      <c r="AJX321" s="6"/>
      <c r="AJY321" s="6"/>
      <c r="AJZ321" s="6"/>
      <c r="AKA321" s="6"/>
      <c r="AKB321" s="6"/>
      <c r="AKC321" s="6"/>
      <c r="AKD321" s="6"/>
      <c r="AKE321" s="6"/>
      <c r="AKF321" s="6"/>
      <c r="AKG321" s="6"/>
      <c r="AKH321" s="6"/>
      <c r="AKI321" s="6"/>
      <c r="AKJ321" s="6"/>
      <c r="AKK321" s="6"/>
      <c r="AKL321" s="6"/>
      <c r="AKM321" s="6"/>
      <c r="AKN321" s="6"/>
      <c r="AKO321" s="6"/>
      <c r="AKP321" s="6"/>
      <c r="AKQ321" s="6"/>
      <c r="AKR321" s="6"/>
      <c r="AKS321" s="6"/>
      <c r="AKT321" s="6"/>
      <c r="AKU321" s="6"/>
      <c r="AKV321" s="6"/>
      <c r="AKW321" s="6"/>
      <c r="AKX321" s="6"/>
      <c r="AKY321" s="6"/>
      <c r="AKZ321" s="6"/>
      <c r="ALA321" s="6"/>
      <c r="ALB321" s="6"/>
      <c r="ALC321" s="6"/>
      <c r="ALD321" s="6"/>
      <c r="ALE321" s="6"/>
      <c r="ALF321" s="6"/>
      <c r="ALG321" s="6"/>
      <c r="ALH321" s="6"/>
      <c r="ALI321" s="6"/>
      <c r="ALJ321" s="6"/>
      <c r="ALK321" s="6"/>
      <c r="ALL321" s="6"/>
      <c r="ALM321" s="6"/>
      <c r="ALN321" s="6"/>
      <c r="ALO321" s="6"/>
      <c r="ALP321" s="6"/>
      <c r="ALQ321" s="6"/>
      <c r="ALR321" s="6"/>
      <c r="ALS321" s="6"/>
      <c r="ALT321" s="6"/>
      <c r="ALU321" s="6"/>
      <c r="ALV321" s="6"/>
      <c r="ALW321" s="6"/>
      <c r="ALX321" s="6"/>
      <c r="ALY321" s="6"/>
      <c r="ALZ321" s="6"/>
      <c r="AMA321" s="6"/>
      <c r="AMB321" s="6"/>
      <c r="AMC321" s="6"/>
      <c r="AMD321" s="6"/>
      <c r="AME321" s="6"/>
      <c r="AMF321" s="6"/>
      <c r="AMG321" s="6"/>
      <c r="AMH321" s="6"/>
      <c r="AMI321" s="6"/>
      <c r="AMJ321" s="6"/>
      <c r="AMK321" s="6"/>
      <c r="AML321" s="6"/>
      <c r="AMM321" s="6"/>
      <c r="AMN321" s="6"/>
      <c r="AMO321" s="6"/>
      <c r="AMP321" s="6"/>
    </row>
    <row r="322" spans="1:1030" x14ac:dyDescent="0.2">
      <c r="A322" s="3" t="str">
        <f t="shared" si="1480"/>
        <v>crfr1_human__wt</v>
      </c>
      <c r="B322" s="3" t="s">
        <v>38</v>
      </c>
      <c r="C322" s="3" t="s">
        <v>100</v>
      </c>
      <c r="D322" s="3" t="str">
        <f>IFERROR(MID(VLOOKUP($B322,Seqs!$A:$B,2,0),E322,1),"")</f>
        <v>Q</v>
      </c>
      <c r="E322" s="3">
        <v>103</v>
      </c>
      <c r="F322" s="3" t="str">
        <f>IFERROR(MID(VLOOKUP($B322,Seqs!$A:$B,2,0),G322,1),"")</f>
        <v>L</v>
      </c>
      <c r="G322" s="3">
        <v>144</v>
      </c>
      <c r="H322" s="3" t="str">
        <f>IFERROR(MID(VLOOKUP($B322,Seqs!$A:$B,2,0),I322,1),"")</f>
        <v>R</v>
      </c>
      <c r="I322" s="23">
        <v>145</v>
      </c>
      <c r="J322" s="3" t="str">
        <f>IFERROR(MID(VLOOKUP($B322,Seqs!$A:$B,2,0),K322,1),"")</f>
        <v>R</v>
      </c>
      <c r="K322" s="23">
        <v>148</v>
      </c>
      <c r="L322" s="3" t="str">
        <f>IFERROR(MID(VLOOKUP($B322,Seqs!$A:$B,2,0),M322,1),"")</f>
        <v>C</v>
      </c>
      <c r="M322" s="23">
        <v>149</v>
      </c>
      <c r="N322" s="3" t="str">
        <f>IFERROR(MID(VLOOKUP($B322,Seqs!$A:$B,2,0),O322,1),"")</f>
        <v>T</v>
      </c>
      <c r="O322" s="3">
        <v>175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V</v>
      </c>
      <c r="U322" s="3">
        <v>185</v>
      </c>
      <c r="V322" s="3" t="str">
        <f>IFERROR(MID(VLOOKUP($B322,Seqs!$A:$B,2,0),W322,1),"")</f>
        <v>L</v>
      </c>
      <c r="W322" s="3">
        <v>219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L</v>
      </c>
      <c r="AC322" s="9">
        <v>226</v>
      </c>
      <c r="AD322" s="3" t="str">
        <f>IFERROR(MID(VLOOKUP($B322,Seqs!$A:$B,2,0),AE322,1),"")</f>
        <v>D</v>
      </c>
      <c r="AE322" s="3">
        <v>254</v>
      </c>
      <c r="AF322" s="3" t="str">
        <f>IFERROR(MID(VLOOKUP($B322,Seqs!$A:$B,2,0),AG322,1),"")</f>
        <v>C</v>
      </c>
      <c r="AG322" s="3">
        <v>258</v>
      </c>
      <c r="AH322" s="3" t="str">
        <f>IFERROR(MID(VLOOKUP($B322,Seqs!$A:$B,2,0),AI322,1),"")</f>
        <v>F</v>
      </c>
      <c r="AI322" s="3">
        <v>260</v>
      </c>
      <c r="AJ322" s="3" t="str">
        <f>IFERROR(MID(VLOOKUP($B322,Seqs!$A:$B,2,0),AK322,1),"")</f>
        <v>T</v>
      </c>
      <c r="AK322" s="3">
        <v>268</v>
      </c>
      <c r="AL322" s="3" t="str">
        <f>IFERROR(MID(VLOOKUP($B322,Seqs!$A:$B,2,0),AM322,1),"")</f>
        <v>L</v>
      </c>
      <c r="AM322" s="3">
        <v>298</v>
      </c>
      <c r="AN322" s="3" t="str">
        <f>IFERROR(MID(VLOOKUP($B322,Seqs!$A:$B,2,0),AO322,1),"")</f>
        <v>S</v>
      </c>
      <c r="AO322" s="3">
        <v>304</v>
      </c>
      <c r="AP322" s="3" t="str">
        <f>IFERROR(MID(VLOOKUP($B322,Seqs!$A:$B,2,0),AQ322,1),"")</f>
        <v>V</v>
      </c>
      <c r="AQ322" s="3">
        <v>332</v>
      </c>
      <c r="AR322" s="3" t="str">
        <f>IFERROR(MID(VLOOKUP($B322,Seqs!$A:$B,2,0),AS322,1),"")</f>
        <v>V</v>
      </c>
      <c r="AS322" s="3">
        <v>339</v>
      </c>
      <c r="AT322" s="3" t="str">
        <f>IFERROR(MID(VLOOKUP($B322,Seqs!$A:$B,2,0),AU322,1),"")</f>
        <v>L</v>
      </c>
      <c r="AU322" s="3">
        <v>366</v>
      </c>
      <c r="AV322" s="3" t="str">
        <f>IFERROR(MID(VLOOKUP($B322,Seqs!$A:$B,2,0),AW322,1),"")</f>
        <v>N</v>
      </c>
      <c r="AW322" s="3">
        <v>367</v>
      </c>
      <c r="AX322" s="3" t="str">
        <f>IFERROR(MID(VLOOKUP($B322,Seqs!$A:$B,2,0),AY322,1),"")</f>
        <v>A</v>
      </c>
      <c r="AY322" s="3">
        <v>392</v>
      </c>
      <c r="AZ322" s="77" t="str">
        <f>VLOOKUP(B322,Classification!A:D,2,0)</f>
        <v>B1</v>
      </c>
      <c r="BA322" s="94" t="str">
        <f>VLOOKUP(B322,Classification!A:D,4,0)</f>
        <v>Corticotropin-releasingfact</v>
      </c>
      <c r="BB322" s="27" t="b">
        <f t="shared" si="1481"/>
        <v>1</v>
      </c>
      <c r="BC322" s="23">
        <f t="shared" ref="BC322:BC365" si="1900">_xlfn.AGGREGATE(9,6,CH322:CS322)-_xlfn.AGGREGATE(9,6,BV322:CG322)+12</f>
        <v>256</v>
      </c>
      <c r="BD322" s="56" t="s">
        <v>23</v>
      </c>
      <c r="BE322" s="3" t="s">
        <v>23</v>
      </c>
      <c r="BF322" s="119" t="s">
        <v>23</v>
      </c>
      <c r="BG322" s="49" t="s">
        <v>1373</v>
      </c>
      <c r="BH322" s="49" t="s">
        <v>1378</v>
      </c>
      <c r="BI322" s="1"/>
      <c r="BJ322" s="70" t="s">
        <v>1288</v>
      </c>
      <c r="BK322" s="57" t="s">
        <v>1288</v>
      </c>
      <c r="BL322" s="57" t="s">
        <v>1288</v>
      </c>
      <c r="BM322" s="57" t="s">
        <v>1288</v>
      </c>
      <c r="BN322" s="57" t="s">
        <v>1288</v>
      </c>
      <c r="BO322" s="57" t="s">
        <v>1288</v>
      </c>
      <c r="BP322" s="57" t="s">
        <v>1288</v>
      </c>
      <c r="BQ322" s="57" t="s">
        <v>1288</v>
      </c>
      <c r="BR322" s="57" t="s">
        <v>1288</v>
      </c>
      <c r="BS322" s="57" t="s">
        <v>1288</v>
      </c>
      <c r="BT322" s="57" t="s">
        <v>1288</v>
      </c>
      <c r="BU322" s="57" t="s">
        <v>1288</v>
      </c>
      <c r="BV322" s="70">
        <f t="shared" ref="BV322:BV365" si="1901">E322</f>
        <v>103</v>
      </c>
      <c r="BW322" s="71">
        <f t="shared" ref="BW322:BW365" si="1902">I322</f>
        <v>145</v>
      </c>
      <c r="BX322" s="72">
        <f t="shared" ref="BX322:BX365" si="1903">M322</f>
        <v>149</v>
      </c>
      <c r="BY322" s="71" t="str">
        <f t="shared" ref="BY322:BY365" si="1904">Q322</f>
        <v>-</v>
      </c>
      <c r="BZ322" s="72">
        <f t="shared" ref="BZ322:BZ365" si="1905">U322</f>
        <v>185</v>
      </c>
      <c r="CA322" s="71" t="str">
        <f t="shared" ref="CA322:CA365" si="1906">Y322</f>
        <v>-</v>
      </c>
      <c r="CB322" s="72">
        <f t="shared" ref="CB322:CB365" si="1907">AC322</f>
        <v>226</v>
      </c>
      <c r="CC322" s="71">
        <f t="shared" ref="CC322:CC365" si="1908">AG322</f>
        <v>258</v>
      </c>
      <c r="CD322" s="72">
        <f t="shared" ref="CD322:CD365" si="1909">AK322</f>
        <v>268</v>
      </c>
      <c r="CE322" s="71">
        <f t="shared" ref="CE322:CE365" si="1910">AO322</f>
        <v>304</v>
      </c>
      <c r="CF322" s="72">
        <f t="shared" ref="CF322:CF365" si="1911">AS322</f>
        <v>339</v>
      </c>
      <c r="CG322" s="71">
        <f t="shared" ref="CG322:CG365" si="1912">AW322</f>
        <v>367</v>
      </c>
      <c r="CH322" s="70">
        <f t="shared" ref="CH322:CH365" si="1913">G322</f>
        <v>144</v>
      </c>
      <c r="CI322" s="71">
        <f t="shared" ref="CI322:CI365" si="1914">K322</f>
        <v>148</v>
      </c>
      <c r="CJ322" s="72">
        <f t="shared" ref="CJ322:CJ365" si="1915">O322</f>
        <v>175</v>
      </c>
      <c r="CK322" s="72" t="str">
        <f t="shared" ref="CK322:CK365" si="1916">S322</f>
        <v>-</v>
      </c>
      <c r="CL322" s="72">
        <f t="shared" ref="CL322:CL365" si="1917">W322</f>
        <v>219</v>
      </c>
      <c r="CM322" s="72" t="str">
        <f t="shared" ref="CM322:CM365" si="1918">AA322</f>
        <v>-</v>
      </c>
      <c r="CN322" s="72">
        <f t="shared" ref="CN322:CN365" si="1919">AE322</f>
        <v>254</v>
      </c>
      <c r="CO322" s="72">
        <f t="shared" ref="CO322:CO365" si="1920">AI322</f>
        <v>260</v>
      </c>
      <c r="CP322" s="72">
        <f t="shared" ref="CP322:CP365" si="1921">AM322</f>
        <v>298</v>
      </c>
      <c r="CQ322" s="72">
        <f t="shared" ref="CQ322:CQ365" si="1922">AQ322</f>
        <v>332</v>
      </c>
      <c r="CR322" s="72">
        <f t="shared" ref="CR322:CR365" si="1923">AU322</f>
        <v>366</v>
      </c>
      <c r="CS322" s="72">
        <f t="shared" ref="CS322:CS365" si="1924">AY322</f>
        <v>392</v>
      </c>
      <c r="CT322" s="23">
        <f t="shared" ref="CT322:CT365" si="1925">M322-K322</f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1480"/>
        <v>crfr1_human_4K5Y</v>
      </c>
      <c r="B323" s="3" t="s">
        <v>38</v>
      </c>
      <c r="C323" s="3" t="s">
        <v>95</v>
      </c>
      <c r="D323" s="3" t="str">
        <f>IFERROR(MID(VLOOKUP($B323,Seqs!$A:$B,2,0),E323,1),"")</f>
        <v>H</v>
      </c>
      <c r="E323" s="3">
        <v>117</v>
      </c>
      <c r="F323" s="3" t="str">
        <f>IFERROR(MID(VLOOKUP($B323,Seqs!$A:$B,2,0),G323,1),"")</f>
        <v>L</v>
      </c>
      <c r="G323" s="3">
        <v>144</v>
      </c>
      <c r="H323" s="3" t="str">
        <f>IFERROR(MID(VLOOKUP($B323,Seqs!$A:$B,2,0),I323,1),"")</f>
        <v>R</v>
      </c>
      <c r="I323" s="23">
        <v>145</v>
      </c>
      <c r="J323" s="3" t="str">
        <f>IFERROR(MID(VLOOKUP($B323,Seqs!$A:$B,2,0),K323,1),"")</f>
        <v>R</v>
      </c>
      <c r="K323" s="23">
        <v>148</v>
      </c>
      <c r="L323" s="3" t="str">
        <f>IFERROR(MID(VLOOKUP($B323,Seqs!$A:$B,2,0),M323,1),"")</f>
        <v>C</v>
      </c>
      <c r="M323" s="23">
        <v>149</v>
      </c>
      <c r="N323" s="3" t="str">
        <f>IFERROR(MID(VLOOKUP($B323,Seqs!$A:$B,2,0),O323,1),"")</f>
        <v>T</v>
      </c>
      <c r="O323" s="3">
        <v>175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V</v>
      </c>
      <c r="U323" s="3">
        <v>185</v>
      </c>
      <c r="V323" s="3" t="str">
        <f>IFERROR(MID(VLOOKUP($B323,Seqs!$A:$B,2,0),W323,1),"")</f>
        <v>L</v>
      </c>
      <c r="W323" s="3">
        <v>219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L</v>
      </c>
      <c r="AC323" s="9">
        <v>226</v>
      </c>
      <c r="AD323" s="3" t="str">
        <f>IFERROR(MID(VLOOKUP($B323,Seqs!$A:$B,2,0),AE323,1),"")</f>
        <v>D</v>
      </c>
      <c r="AE323" s="3">
        <v>254</v>
      </c>
      <c r="AF323" s="3" t="str">
        <f>IFERROR(MID(VLOOKUP($B323,Seqs!$A:$B,2,0),AG323,1),"")</f>
        <v>C</v>
      </c>
      <c r="AG323" s="3">
        <v>258</v>
      </c>
      <c r="AH323" s="3" t="str">
        <f>IFERROR(MID(VLOOKUP($B323,Seqs!$A:$B,2,0),AI323,1),"")</f>
        <v>F</v>
      </c>
      <c r="AI323" s="3">
        <v>260</v>
      </c>
      <c r="AJ323" s="3" t="str">
        <f>IFERROR(MID(VLOOKUP($B323,Seqs!$A:$B,2,0),AK323,1),"")</f>
        <v>T</v>
      </c>
      <c r="AK323" s="3">
        <v>268</v>
      </c>
      <c r="AL323" s="3" t="str">
        <f>IFERROR(MID(VLOOKUP($B323,Seqs!$A:$B,2,0),AM323,1),"")</f>
        <v>L</v>
      </c>
      <c r="AM323" s="3">
        <v>298</v>
      </c>
      <c r="AN323" s="3" t="str">
        <f>IFERROR(MID(VLOOKUP($B323,Seqs!$A:$B,2,0),AO323,1),"")</f>
        <v>S</v>
      </c>
      <c r="AO323" s="3">
        <v>304</v>
      </c>
      <c r="AP323" s="3" t="str">
        <f>IFERROR(MID(VLOOKUP($B323,Seqs!$A:$B,2,0),AQ323,1),"")</f>
        <v>V</v>
      </c>
      <c r="AQ323" s="3">
        <v>332</v>
      </c>
      <c r="AR323" s="3" t="str">
        <f>IFERROR(MID(VLOOKUP($B323,Seqs!$A:$B,2,0),AS323,1),"")</f>
        <v>V</v>
      </c>
      <c r="AS323" s="3">
        <v>339</v>
      </c>
      <c r="AT323" s="3" t="str">
        <f>IFERROR(MID(VLOOKUP($B323,Seqs!$A:$B,2,0),AU323,1),"")</f>
        <v>F</v>
      </c>
      <c r="AU323" s="3">
        <v>362</v>
      </c>
      <c r="AV323" s="3" t="str">
        <f>IFERROR(MID(VLOOKUP($B323,Seqs!$A:$B,2,0),AW323,1),"")</f>
        <v/>
      </c>
      <c r="AW323" s="3" t="s">
        <v>23</v>
      </c>
      <c r="AX323" s="3" t="str">
        <f>IFERROR(MID(VLOOKUP($B323,Seqs!$A:$B,2,0),AY323,1),"")</f>
        <v/>
      </c>
      <c r="AY323" s="3" t="s">
        <v>23</v>
      </c>
      <c r="AZ323" s="77" t="str">
        <f>VLOOKUP(B323,Classification!A:D,2,0)</f>
        <v>B1</v>
      </c>
      <c r="BA323" s="94" t="str">
        <f>VLOOKUP(B323,Classification!A:D,4,0)</f>
        <v>Corticotropin-releasingfact</v>
      </c>
      <c r="BB323" s="27" t="b">
        <f t="shared" si="1481"/>
        <v>1</v>
      </c>
      <c r="BC323" s="23">
        <f t="shared" si="1900"/>
        <v>213</v>
      </c>
      <c r="BD323" s="4" t="s">
        <v>23</v>
      </c>
      <c r="BE323" s="3" t="s">
        <v>1375</v>
      </c>
      <c r="BF323" s="119">
        <v>2.98</v>
      </c>
      <c r="BG323" s="49" t="s">
        <v>1378</v>
      </c>
      <c r="BH323" s="49" t="s">
        <v>1378</v>
      </c>
      <c r="BI323" s="1"/>
      <c r="BJ323" s="70" t="s">
        <v>1288</v>
      </c>
      <c r="BK323" s="57" t="s">
        <v>1288</v>
      </c>
      <c r="BL323" s="57" t="s">
        <v>1288</v>
      </c>
      <c r="BM323" s="57" t="s">
        <v>1288</v>
      </c>
      <c r="BN323" s="57" t="s">
        <v>1288</v>
      </c>
      <c r="BO323" s="57" t="s">
        <v>1288</v>
      </c>
      <c r="BP323" s="57" t="s">
        <v>1288</v>
      </c>
      <c r="BQ323" s="57" t="s">
        <v>1288</v>
      </c>
      <c r="BR323" s="57" t="s">
        <v>1288</v>
      </c>
      <c r="BS323" s="57" t="s">
        <v>1288</v>
      </c>
      <c r="BT323" s="57" t="s">
        <v>1288</v>
      </c>
      <c r="BU323" s="57" t="s">
        <v>1288</v>
      </c>
      <c r="BV323" s="70">
        <f t="shared" si="1901"/>
        <v>117</v>
      </c>
      <c r="BW323" s="71">
        <f t="shared" si="1902"/>
        <v>145</v>
      </c>
      <c r="BX323" s="72">
        <f t="shared" si="1903"/>
        <v>149</v>
      </c>
      <c r="BY323" s="71" t="str">
        <f t="shared" si="1904"/>
        <v>-</v>
      </c>
      <c r="BZ323" s="72">
        <f t="shared" si="1905"/>
        <v>185</v>
      </c>
      <c r="CA323" s="71" t="str">
        <f t="shared" si="1906"/>
        <v>-</v>
      </c>
      <c r="CB323" s="72">
        <f t="shared" si="1907"/>
        <v>226</v>
      </c>
      <c r="CC323" s="71">
        <f t="shared" si="1908"/>
        <v>258</v>
      </c>
      <c r="CD323" s="72">
        <f t="shared" si="1909"/>
        <v>268</v>
      </c>
      <c r="CE323" s="71">
        <f t="shared" si="1910"/>
        <v>304</v>
      </c>
      <c r="CF323" s="72">
        <f t="shared" si="1911"/>
        <v>339</v>
      </c>
      <c r="CG323" s="71" t="str">
        <f t="shared" si="1912"/>
        <v>-</v>
      </c>
      <c r="CH323" s="70">
        <f t="shared" si="1913"/>
        <v>144</v>
      </c>
      <c r="CI323" s="71">
        <f t="shared" si="1914"/>
        <v>148</v>
      </c>
      <c r="CJ323" s="72">
        <f t="shared" si="1915"/>
        <v>175</v>
      </c>
      <c r="CK323" s="72" t="str">
        <f t="shared" si="1916"/>
        <v>-</v>
      </c>
      <c r="CL323" s="72">
        <f t="shared" si="1917"/>
        <v>219</v>
      </c>
      <c r="CM323" s="72" t="str">
        <f t="shared" si="1918"/>
        <v>-</v>
      </c>
      <c r="CN323" s="72">
        <f t="shared" si="1919"/>
        <v>254</v>
      </c>
      <c r="CO323" s="72">
        <f t="shared" si="1920"/>
        <v>260</v>
      </c>
      <c r="CP323" s="72">
        <f t="shared" si="1921"/>
        <v>298</v>
      </c>
      <c r="CQ323" s="72">
        <f t="shared" si="1922"/>
        <v>332</v>
      </c>
      <c r="CR323" s="72">
        <f t="shared" si="1923"/>
        <v>362</v>
      </c>
      <c r="CS323" s="72" t="str">
        <f t="shared" si="1924"/>
        <v>-</v>
      </c>
      <c r="CT323" s="23">
        <f t="shared" si="1925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1480"/>
        <v>crfr1_human_4K5Y_dist</v>
      </c>
      <c r="B324" s="3" t="s">
        <v>38</v>
      </c>
      <c r="C324" s="3" t="s">
        <v>1161</v>
      </c>
      <c r="D324" s="3" t="str">
        <f>IFERROR(MID(VLOOKUP($B324,Seqs!$A:$B,2,0),E324,1),"")</f>
        <v>H</v>
      </c>
      <c r="E324" s="3">
        <v>117</v>
      </c>
      <c r="F324" s="3" t="str">
        <f>IFERROR(MID(VLOOKUP($B324,Seqs!$A:$B,2,0),G324,1),"")</f>
        <v>L</v>
      </c>
      <c r="G324" s="3">
        <v>144</v>
      </c>
      <c r="H324" s="3" t="str">
        <f>IFERROR(MID(VLOOKUP($B324,Seqs!$A:$B,2,0),I324,1),"")</f>
        <v>R</v>
      </c>
      <c r="I324" s="23">
        <v>145</v>
      </c>
      <c r="J324" s="3" t="str">
        <f>IFERROR(MID(VLOOKUP($B324,Seqs!$A:$B,2,0),K324,1),"")</f>
        <v>R</v>
      </c>
      <c r="K324" s="23">
        <v>148</v>
      </c>
      <c r="L324" s="3" t="str">
        <f>IFERROR(MID(VLOOKUP($B324,Seqs!$A:$B,2,0),M324,1),"")</f>
        <v>C</v>
      </c>
      <c r="M324" s="23">
        <v>149</v>
      </c>
      <c r="N324" s="3" t="str">
        <f>IFERROR(MID(VLOOKUP($B324,Seqs!$A:$B,2,0),O324,1),"")</f>
        <v>T</v>
      </c>
      <c r="O324" s="3">
        <v>175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V</v>
      </c>
      <c r="U324" s="3">
        <v>185</v>
      </c>
      <c r="V324" s="3" t="str">
        <f>IFERROR(MID(VLOOKUP($B324,Seqs!$A:$B,2,0),W324,1),"")</f>
        <v>L</v>
      </c>
      <c r="W324" s="3">
        <v>219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L</v>
      </c>
      <c r="AC324" s="9">
        <v>226</v>
      </c>
      <c r="AD324" s="3" t="str">
        <f>IFERROR(MID(VLOOKUP($B324,Seqs!$A:$B,2,0),AE324,1),"")</f>
        <v>D</v>
      </c>
      <c r="AE324" s="3">
        <v>254</v>
      </c>
      <c r="AF324" s="3" t="str">
        <f>IFERROR(MID(VLOOKUP($B324,Seqs!$A:$B,2,0),AG324,1),"")</f>
        <v>C</v>
      </c>
      <c r="AG324" s="3">
        <v>258</v>
      </c>
      <c r="AH324" s="3" t="str">
        <f>IFERROR(MID(VLOOKUP($B324,Seqs!$A:$B,2,0),AI324,1),"")</f>
        <v>F</v>
      </c>
      <c r="AI324" s="3">
        <v>260</v>
      </c>
      <c r="AJ324" s="3" t="str">
        <f>IFERROR(MID(VLOOKUP($B324,Seqs!$A:$B,2,0),AK324,1),"")</f>
        <v>T</v>
      </c>
      <c r="AK324" s="3">
        <v>268</v>
      </c>
      <c r="AL324" s="3" t="str">
        <f>IFERROR(MID(VLOOKUP($B324,Seqs!$A:$B,2,0),AM324,1),"")</f>
        <v>L</v>
      </c>
      <c r="AM324" s="3">
        <v>298</v>
      </c>
      <c r="AN324" s="3" t="str">
        <f>IFERROR(MID(VLOOKUP($B324,Seqs!$A:$B,2,0),AO324,1),"")</f>
        <v>S</v>
      </c>
      <c r="AO324" s="3">
        <v>304</v>
      </c>
      <c r="AP324" s="3" t="str">
        <f>IFERROR(MID(VLOOKUP($B324,Seqs!$A:$B,2,0),AQ324,1),"")</f>
        <v>V</v>
      </c>
      <c r="AQ324" s="3">
        <v>332</v>
      </c>
      <c r="AR324" s="3" t="str">
        <f>IFERROR(MID(VLOOKUP($B324,Seqs!$A:$B,2,0),AS324,1),"")</f>
        <v>V</v>
      </c>
      <c r="AS324" s="3">
        <v>339</v>
      </c>
      <c r="AT324" s="3" t="str">
        <f>IFERROR(MID(VLOOKUP($B324,Seqs!$A:$B,2,0),AU324,1),"")</f>
        <v>L</v>
      </c>
      <c r="AU324" s="3">
        <v>366</v>
      </c>
      <c r="AV324" s="3" t="str">
        <f>IFERROR(MID(VLOOKUP($B324,Seqs!$A:$B,2,0),AW324,1),"")</f>
        <v/>
      </c>
      <c r="AW324" s="3" t="s">
        <v>23</v>
      </c>
      <c r="AX324" s="3" t="str">
        <f>IFERROR(MID(VLOOKUP($B324,Seqs!$A:$B,2,0),AY324,1),"")</f>
        <v/>
      </c>
      <c r="AY324" s="3" t="s">
        <v>23</v>
      </c>
      <c r="AZ324" s="77" t="str">
        <f>VLOOKUP(B324,Classification!A:D,2,0)</f>
        <v>B1</v>
      </c>
      <c r="BA324" s="94" t="str">
        <f>VLOOKUP(B324,Classification!A:D,4,0)</f>
        <v>Corticotropin-releasingfact</v>
      </c>
      <c r="BB324" s="27" t="b">
        <f t="shared" si="1481"/>
        <v>1</v>
      </c>
      <c r="BC324" s="23">
        <f t="shared" si="1900"/>
        <v>217</v>
      </c>
      <c r="BD324" s="56" t="s">
        <v>23</v>
      </c>
      <c r="BE324" s="3" t="s">
        <v>1375</v>
      </c>
      <c r="BF324" s="119">
        <v>2.98</v>
      </c>
      <c r="BG324" s="49" t="s">
        <v>1378</v>
      </c>
      <c r="BH324" s="49" t="s">
        <v>1378</v>
      </c>
      <c r="BI324" s="3" t="s">
        <v>1163</v>
      </c>
      <c r="BJ324" s="70" t="s">
        <v>1288</v>
      </c>
      <c r="BK324" s="57" t="s">
        <v>1288</v>
      </c>
      <c r="BL324" s="57" t="s">
        <v>1288</v>
      </c>
      <c r="BM324" s="57" t="s">
        <v>1288</v>
      </c>
      <c r="BN324" s="57" t="s">
        <v>1288</v>
      </c>
      <c r="BO324" s="57" t="s">
        <v>1288</v>
      </c>
      <c r="BP324" s="57" t="s">
        <v>1288</v>
      </c>
      <c r="BQ324" s="57" t="s">
        <v>1288</v>
      </c>
      <c r="BR324" s="57" t="s">
        <v>1288</v>
      </c>
      <c r="BS324" s="57" t="s">
        <v>1288</v>
      </c>
      <c r="BT324" s="57" t="s">
        <v>1288</v>
      </c>
      <c r="BU324" s="57" t="s">
        <v>1288</v>
      </c>
      <c r="BV324" s="70">
        <f t="shared" si="1901"/>
        <v>117</v>
      </c>
      <c r="BW324" s="71">
        <f t="shared" si="1902"/>
        <v>145</v>
      </c>
      <c r="BX324" s="72">
        <f t="shared" si="1903"/>
        <v>149</v>
      </c>
      <c r="BY324" s="71" t="str">
        <f t="shared" si="1904"/>
        <v>-</v>
      </c>
      <c r="BZ324" s="72">
        <f t="shared" si="1905"/>
        <v>185</v>
      </c>
      <c r="CA324" s="71" t="str">
        <f t="shared" si="1906"/>
        <v>-</v>
      </c>
      <c r="CB324" s="72">
        <f t="shared" si="1907"/>
        <v>226</v>
      </c>
      <c r="CC324" s="71">
        <f t="shared" si="1908"/>
        <v>258</v>
      </c>
      <c r="CD324" s="72">
        <f t="shared" si="1909"/>
        <v>268</v>
      </c>
      <c r="CE324" s="71">
        <f t="shared" si="1910"/>
        <v>304</v>
      </c>
      <c r="CF324" s="72">
        <f t="shared" si="1911"/>
        <v>339</v>
      </c>
      <c r="CG324" s="71" t="str">
        <f t="shared" si="1912"/>
        <v>-</v>
      </c>
      <c r="CH324" s="70">
        <f t="shared" si="1913"/>
        <v>144</v>
      </c>
      <c r="CI324" s="71">
        <f t="shared" si="1914"/>
        <v>148</v>
      </c>
      <c r="CJ324" s="72">
        <f t="shared" si="1915"/>
        <v>175</v>
      </c>
      <c r="CK324" s="72" t="str">
        <f t="shared" si="1916"/>
        <v>-</v>
      </c>
      <c r="CL324" s="72">
        <f t="shared" si="1917"/>
        <v>219</v>
      </c>
      <c r="CM324" s="72" t="str">
        <f t="shared" si="1918"/>
        <v>-</v>
      </c>
      <c r="CN324" s="72">
        <f t="shared" si="1919"/>
        <v>254</v>
      </c>
      <c r="CO324" s="72">
        <f t="shared" si="1920"/>
        <v>260</v>
      </c>
      <c r="CP324" s="72">
        <f t="shared" si="1921"/>
        <v>298</v>
      </c>
      <c r="CQ324" s="72">
        <f t="shared" si="1922"/>
        <v>332</v>
      </c>
      <c r="CR324" s="72">
        <f t="shared" si="1923"/>
        <v>366</v>
      </c>
      <c r="CS324" s="72" t="str">
        <f t="shared" si="1924"/>
        <v>-</v>
      </c>
      <c r="CT324" s="23">
        <f t="shared" si="1925"/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si="1480"/>
        <v>crfr1_human_4Z9G</v>
      </c>
      <c r="B325" s="3" t="s">
        <v>38</v>
      </c>
      <c r="C325" s="3" t="s">
        <v>1060</v>
      </c>
      <c r="D325" s="3" t="str">
        <f>IFERROR(MID(VLOOKUP($B325,Seqs!$A:$B,2,0),E325,1),"")</f>
        <v>S</v>
      </c>
      <c r="E325" s="3">
        <v>112</v>
      </c>
      <c r="F325" s="3" t="str">
        <f>IFERROR(MID(VLOOKUP($B325,Seqs!$A:$B,2,0),G325,1),"")</f>
        <v>L</v>
      </c>
      <c r="G325" s="3">
        <v>144</v>
      </c>
      <c r="H325" s="3" t="str">
        <f>IFERROR(MID(VLOOKUP($B325,Seqs!$A:$B,2,0),I325,1),"")</f>
        <v>R</v>
      </c>
      <c r="I325" s="23">
        <v>145</v>
      </c>
      <c r="J325" s="3" t="str">
        <f>IFERROR(MID(VLOOKUP($B325,Seqs!$A:$B,2,0),K325,1),"")</f>
        <v>R</v>
      </c>
      <c r="K325" s="23">
        <v>148</v>
      </c>
      <c r="L325" s="3" t="str">
        <f>IFERROR(MID(VLOOKUP($B325,Seqs!$A:$B,2,0),M325,1),"")</f>
        <v>C</v>
      </c>
      <c r="M325" s="23">
        <v>149</v>
      </c>
      <c r="N325" s="3" t="str">
        <f>IFERROR(MID(VLOOKUP($B325,Seqs!$A:$B,2,0),O325,1),"")</f>
        <v>T</v>
      </c>
      <c r="O325" s="3">
        <v>175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V</v>
      </c>
      <c r="U325" s="3">
        <v>185</v>
      </c>
      <c r="V325" s="3" t="str">
        <f>IFERROR(MID(VLOOKUP($B325,Seqs!$A:$B,2,0),W325,1),"")</f>
        <v>L</v>
      </c>
      <c r="W325" s="3">
        <v>219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L</v>
      </c>
      <c r="AC325" s="9">
        <v>226</v>
      </c>
      <c r="AD325" s="3" t="str">
        <f>IFERROR(MID(VLOOKUP($B325,Seqs!$A:$B,2,0),AE325,1),"")</f>
        <v>D</v>
      </c>
      <c r="AE325" s="3">
        <v>254</v>
      </c>
      <c r="AF325" s="3" t="str">
        <f>IFERROR(MID(VLOOKUP($B325,Seqs!$A:$B,2,0),AG325,1),"")</f>
        <v>C</v>
      </c>
      <c r="AG325" s="3">
        <v>258</v>
      </c>
      <c r="AH325" s="3" t="str">
        <f>IFERROR(MID(VLOOKUP($B325,Seqs!$A:$B,2,0),AI325,1),"")</f>
        <v>F</v>
      </c>
      <c r="AI325" s="3">
        <v>260</v>
      </c>
      <c r="AJ325" s="3" t="str">
        <f>IFERROR(MID(VLOOKUP($B325,Seqs!$A:$B,2,0),AK325,1),"")</f>
        <v>T</v>
      </c>
      <c r="AK325" s="3">
        <v>268</v>
      </c>
      <c r="AL325" s="3" t="str">
        <f>IFERROR(MID(VLOOKUP($B325,Seqs!$A:$B,2,0),AM325,1),"")</f>
        <v>L</v>
      </c>
      <c r="AM325" s="3">
        <v>298</v>
      </c>
      <c r="AN325" s="3" t="str">
        <f>IFERROR(MID(VLOOKUP($B325,Seqs!$A:$B,2,0),AO325,1),"")</f>
        <v>S</v>
      </c>
      <c r="AO325" s="3">
        <v>304</v>
      </c>
      <c r="AP325" s="3" t="str">
        <f>IFERROR(MID(VLOOKUP($B325,Seqs!$A:$B,2,0),AQ325,1),"")</f>
        <v>V</v>
      </c>
      <c r="AQ325" s="3">
        <v>332</v>
      </c>
      <c r="AR325" s="3" t="str">
        <f>IFERROR(MID(VLOOKUP($B325,Seqs!$A:$B,2,0),AS325,1),"")</f>
        <v>V</v>
      </c>
      <c r="AS325" s="3">
        <v>339</v>
      </c>
      <c r="AT325" s="3" t="str">
        <f>IFERROR(MID(VLOOKUP($B325,Seqs!$A:$B,2,0),AU325,1),"")</f>
        <v>F</v>
      </c>
      <c r="AU325" s="3">
        <v>362</v>
      </c>
      <c r="AV325" s="3" t="str">
        <f>IFERROR(MID(VLOOKUP($B325,Seqs!$A:$B,2,0),AW325,1),"")</f>
        <v/>
      </c>
      <c r="AW325" s="3" t="s">
        <v>23</v>
      </c>
      <c r="AX325" s="3" t="str">
        <f>IFERROR(MID(VLOOKUP($B325,Seqs!$A:$B,2,0),AY325,1),"")</f>
        <v/>
      </c>
      <c r="AY325" s="3" t="s">
        <v>23</v>
      </c>
      <c r="AZ325" s="77" t="str">
        <f>VLOOKUP(B325,Classification!A:D,2,0)</f>
        <v>B1</v>
      </c>
      <c r="BA325" s="94" t="str">
        <f>VLOOKUP(B325,Classification!A:D,4,0)</f>
        <v>Corticotropin-releasingfact</v>
      </c>
      <c r="BB325" s="27" t="b">
        <f t="shared" si="1481"/>
        <v>1</v>
      </c>
      <c r="BC325" s="23">
        <f t="shared" si="1900"/>
        <v>218</v>
      </c>
      <c r="BD325" s="2" t="s">
        <v>1377</v>
      </c>
      <c r="BE325" s="3" t="s">
        <v>1375</v>
      </c>
      <c r="BF325" s="119">
        <v>3.18</v>
      </c>
      <c r="BG325" s="49" t="s">
        <v>1378</v>
      </c>
      <c r="BH325" s="49" t="s">
        <v>1378</v>
      </c>
      <c r="BI325" s="1"/>
      <c r="BJ325" s="70" t="s">
        <v>1288</v>
      </c>
      <c r="BK325" s="57" t="s">
        <v>1288</v>
      </c>
      <c r="BL325" s="57" t="s">
        <v>1288</v>
      </c>
      <c r="BM325" s="57" t="s">
        <v>1288</v>
      </c>
      <c r="BN325" s="57" t="s">
        <v>1288</v>
      </c>
      <c r="BO325" s="57" t="s">
        <v>1288</v>
      </c>
      <c r="BP325" s="57" t="s">
        <v>1288</v>
      </c>
      <c r="BQ325" s="57" t="s">
        <v>1288</v>
      </c>
      <c r="BR325" s="57" t="s">
        <v>1288</v>
      </c>
      <c r="BS325" s="57" t="s">
        <v>1288</v>
      </c>
      <c r="BT325" s="57" t="s">
        <v>1288</v>
      </c>
      <c r="BU325" s="57" t="s">
        <v>1288</v>
      </c>
      <c r="BV325" s="70">
        <f t="shared" si="1901"/>
        <v>112</v>
      </c>
      <c r="BW325" s="71">
        <f t="shared" si="1902"/>
        <v>145</v>
      </c>
      <c r="BX325" s="72">
        <f t="shared" si="1903"/>
        <v>149</v>
      </c>
      <c r="BY325" s="71" t="str">
        <f t="shared" si="1904"/>
        <v>-</v>
      </c>
      <c r="BZ325" s="72">
        <f t="shared" si="1905"/>
        <v>185</v>
      </c>
      <c r="CA325" s="71" t="str">
        <f t="shared" si="1906"/>
        <v>-</v>
      </c>
      <c r="CB325" s="72">
        <f t="shared" si="1907"/>
        <v>226</v>
      </c>
      <c r="CC325" s="71">
        <f t="shared" si="1908"/>
        <v>258</v>
      </c>
      <c r="CD325" s="72">
        <f t="shared" si="1909"/>
        <v>268</v>
      </c>
      <c r="CE325" s="71">
        <f t="shared" si="1910"/>
        <v>304</v>
      </c>
      <c r="CF325" s="72">
        <f t="shared" si="1911"/>
        <v>339</v>
      </c>
      <c r="CG325" s="71" t="str">
        <f t="shared" si="1912"/>
        <v>-</v>
      </c>
      <c r="CH325" s="70">
        <f t="shared" si="1913"/>
        <v>144</v>
      </c>
      <c r="CI325" s="71">
        <f t="shared" si="1914"/>
        <v>148</v>
      </c>
      <c r="CJ325" s="72">
        <f t="shared" si="1915"/>
        <v>175</v>
      </c>
      <c r="CK325" s="72" t="str">
        <f t="shared" si="1916"/>
        <v>-</v>
      </c>
      <c r="CL325" s="72">
        <f t="shared" si="1917"/>
        <v>219</v>
      </c>
      <c r="CM325" s="72" t="str">
        <f t="shared" si="1918"/>
        <v>-</v>
      </c>
      <c r="CN325" s="72">
        <f t="shared" si="1919"/>
        <v>254</v>
      </c>
      <c r="CO325" s="72">
        <f t="shared" si="1920"/>
        <v>260</v>
      </c>
      <c r="CP325" s="72">
        <f t="shared" si="1921"/>
        <v>298</v>
      </c>
      <c r="CQ325" s="72">
        <f t="shared" si="1922"/>
        <v>332</v>
      </c>
      <c r="CR325" s="72">
        <f t="shared" si="1923"/>
        <v>362</v>
      </c>
      <c r="CS325" s="72" t="str">
        <f t="shared" si="1924"/>
        <v>-</v>
      </c>
      <c r="CT325" s="23">
        <f t="shared" si="1925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1480"/>
        <v>crfr1_human_4Z9G_dist</v>
      </c>
      <c r="B326" s="3" t="s">
        <v>38</v>
      </c>
      <c r="C326" s="3" t="s">
        <v>1162</v>
      </c>
      <c r="D326" s="3" t="str">
        <f>IFERROR(MID(VLOOKUP($B326,Seqs!$A:$B,2,0),E326,1),"")</f>
        <v>S</v>
      </c>
      <c r="E326" s="3">
        <v>112</v>
      </c>
      <c r="F326" s="3" t="str">
        <f>IFERROR(MID(VLOOKUP($B326,Seqs!$A:$B,2,0),G326,1),"")</f>
        <v>L</v>
      </c>
      <c r="G326" s="3">
        <v>144</v>
      </c>
      <c r="H326" s="3" t="str">
        <f>IFERROR(MID(VLOOKUP($B326,Seqs!$A:$B,2,0),I326,1),"")</f>
        <v>R</v>
      </c>
      <c r="I326" s="23">
        <v>145</v>
      </c>
      <c r="J326" s="3" t="str">
        <f>IFERROR(MID(VLOOKUP($B326,Seqs!$A:$B,2,0),K326,1),"")</f>
        <v>R</v>
      </c>
      <c r="K326" s="23">
        <v>148</v>
      </c>
      <c r="L326" s="3" t="str">
        <f>IFERROR(MID(VLOOKUP($B326,Seqs!$A:$B,2,0),M326,1),"")</f>
        <v>C</v>
      </c>
      <c r="M326" s="23">
        <v>149</v>
      </c>
      <c r="N326" s="3" t="str">
        <f>IFERROR(MID(VLOOKUP($B326,Seqs!$A:$B,2,0),O326,1),"")</f>
        <v>T</v>
      </c>
      <c r="O326" s="3">
        <v>175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V</v>
      </c>
      <c r="U326" s="3">
        <v>185</v>
      </c>
      <c r="V326" s="3" t="str">
        <f>IFERROR(MID(VLOOKUP($B326,Seqs!$A:$B,2,0),W326,1),"")</f>
        <v>L</v>
      </c>
      <c r="W326" s="3">
        <v>219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L</v>
      </c>
      <c r="AC326" s="9">
        <v>226</v>
      </c>
      <c r="AD326" s="3" t="str">
        <f>IFERROR(MID(VLOOKUP($B326,Seqs!$A:$B,2,0),AE326,1),"")</f>
        <v>D</v>
      </c>
      <c r="AE326" s="3">
        <v>254</v>
      </c>
      <c r="AF326" s="3" t="str">
        <f>IFERROR(MID(VLOOKUP($B326,Seqs!$A:$B,2,0),AG326,1),"")</f>
        <v>C</v>
      </c>
      <c r="AG326" s="3">
        <v>258</v>
      </c>
      <c r="AH326" s="3" t="str">
        <f>IFERROR(MID(VLOOKUP($B326,Seqs!$A:$B,2,0),AI326,1),"")</f>
        <v>F</v>
      </c>
      <c r="AI326" s="3">
        <v>260</v>
      </c>
      <c r="AJ326" s="3" t="str">
        <f>IFERROR(MID(VLOOKUP($B326,Seqs!$A:$B,2,0),AK326,1),"")</f>
        <v>T</v>
      </c>
      <c r="AK326" s="3">
        <v>268</v>
      </c>
      <c r="AL326" s="3" t="str">
        <f>IFERROR(MID(VLOOKUP($B326,Seqs!$A:$B,2,0),AM326,1),"")</f>
        <v>L</v>
      </c>
      <c r="AM326" s="3">
        <v>298</v>
      </c>
      <c r="AN326" s="3" t="str">
        <f>IFERROR(MID(VLOOKUP($B326,Seqs!$A:$B,2,0),AO326,1),"")</f>
        <v>S</v>
      </c>
      <c r="AO326" s="3">
        <v>304</v>
      </c>
      <c r="AP326" s="3" t="str">
        <f>IFERROR(MID(VLOOKUP($B326,Seqs!$A:$B,2,0),AQ326,1),"")</f>
        <v>V</v>
      </c>
      <c r="AQ326" s="3">
        <v>332</v>
      </c>
      <c r="AR326" s="3" t="str">
        <f>IFERROR(MID(VLOOKUP($B326,Seqs!$A:$B,2,0),AS326,1),"")</f>
        <v>V</v>
      </c>
      <c r="AS326" s="3">
        <v>339</v>
      </c>
      <c r="AT326" s="3" t="str">
        <f>IFERROR(MID(VLOOKUP($B326,Seqs!$A:$B,2,0),AU326,1),"")</f>
        <v>E</v>
      </c>
      <c r="AU326" s="3">
        <v>369</v>
      </c>
      <c r="AV326" s="3" t="str">
        <f>IFERROR(MID(VLOOKUP($B326,Seqs!$A:$B,2,0),AW326,1),"")</f>
        <v/>
      </c>
      <c r="AW326" s="3" t="s">
        <v>23</v>
      </c>
      <c r="AX326" s="3" t="str">
        <f>IFERROR(MID(VLOOKUP($B326,Seqs!$A:$B,2,0),AY326,1),"")</f>
        <v/>
      </c>
      <c r="AY326" s="3" t="s">
        <v>23</v>
      </c>
      <c r="AZ326" s="77" t="str">
        <f>VLOOKUP(B326,Classification!A:D,2,0)</f>
        <v>B1</v>
      </c>
      <c r="BA326" s="94" t="str">
        <f>VLOOKUP(B326,Classification!A:D,4,0)</f>
        <v>Corticotropin-releasingfact</v>
      </c>
      <c r="BB326" s="27" t="b">
        <f t="shared" si="1481"/>
        <v>1</v>
      </c>
      <c r="BC326" s="23">
        <f t="shared" si="1900"/>
        <v>225</v>
      </c>
      <c r="BD326" s="56" t="s">
        <v>23</v>
      </c>
      <c r="BE326" s="3" t="s">
        <v>1375</v>
      </c>
      <c r="BF326" s="119">
        <v>3.18</v>
      </c>
      <c r="BG326" s="49" t="s">
        <v>1378</v>
      </c>
      <c r="BH326" s="49" t="s">
        <v>1378</v>
      </c>
      <c r="BI326" s="3" t="s">
        <v>1163</v>
      </c>
      <c r="BJ326" s="70" t="s">
        <v>1288</v>
      </c>
      <c r="BK326" s="57" t="s">
        <v>1288</v>
      </c>
      <c r="BL326" s="57" t="s">
        <v>1288</v>
      </c>
      <c r="BM326" s="57" t="s">
        <v>1288</v>
      </c>
      <c r="BN326" s="57" t="s">
        <v>1288</v>
      </c>
      <c r="BO326" s="57" t="s">
        <v>1288</v>
      </c>
      <c r="BP326" s="57" t="s">
        <v>1288</v>
      </c>
      <c r="BQ326" s="57" t="s">
        <v>1288</v>
      </c>
      <c r="BR326" s="57" t="s">
        <v>1288</v>
      </c>
      <c r="BS326" s="57" t="s">
        <v>1288</v>
      </c>
      <c r="BT326" s="57" t="s">
        <v>1288</v>
      </c>
      <c r="BU326" s="57" t="s">
        <v>1288</v>
      </c>
      <c r="BV326" s="70">
        <f t="shared" si="1901"/>
        <v>112</v>
      </c>
      <c r="BW326" s="71">
        <f t="shared" si="1902"/>
        <v>145</v>
      </c>
      <c r="BX326" s="72">
        <f t="shared" si="1903"/>
        <v>149</v>
      </c>
      <c r="BY326" s="71" t="str">
        <f t="shared" si="1904"/>
        <v>-</v>
      </c>
      <c r="BZ326" s="72">
        <f t="shared" si="1905"/>
        <v>185</v>
      </c>
      <c r="CA326" s="71" t="str">
        <f t="shared" si="1906"/>
        <v>-</v>
      </c>
      <c r="CB326" s="72">
        <f t="shared" si="1907"/>
        <v>226</v>
      </c>
      <c r="CC326" s="71">
        <f t="shared" si="1908"/>
        <v>258</v>
      </c>
      <c r="CD326" s="72">
        <f t="shared" si="1909"/>
        <v>268</v>
      </c>
      <c r="CE326" s="71">
        <f t="shared" si="1910"/>
        <v>304</v>
      </c>
      <c r="CF326" s="72">
        <f t="shared" si="1911"/>
        <v>339</v>
      </c>
      <c r="CG326" s="71" t="str">
        <f t="shared" si="1912"/>
        <v>-</v>
      </c>
      <c r="CH326" s="70">
        <f t="shared" si="1913"/>
        <v>144</v>
      </c>
      <c r="CI326" s="71">
        <f t="shared" si="1914"/>
        <v>148</v>
      </c>
      <c r="CJ326" s="72">
        <f t="shared" si="1915"/>
        <v>175</v>
      </c>
      <c r="CK326" s="72" t="str">
        <f t="shared" si="1916"/>
        <v>-</v>
      </c>
      <c r="CL326" s="72">
        <f t="shared" si="1917"/>
        <v>219</v>
      </c>
      <c r="CM326" s="72" t="str">
        <f t="shared" si="1918"/>
        <v>-</v>
      </c>
      <c r="CN326" s="72">
        <f t="shared" si="1919"/>
        <v>254</v>
      </c>
      <c r="CO326" s="72">
        <f t="shared" si="1920"/>
        <v>260</v>
      </c>
      <c r="CP326" s="72">
        <f t="shared" si="1921"/>
        <v>298</v>
      </c>
      <c r="CQ326" s="72">
        <f t="shared" si="1922"/>
        <v>332</v>
      </c>
      <c r="CR326" s="72">
        <f t="shared" si="1923"/>
        <v>369</v>
      </c>
      <c r="CS326" s="72" t="str">
        <f t="shared" si="1924"/>
        <v>-</v>
      </c>
      <c r="CT326" s="23">
        <f t="shared" si="1925"/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1480"/>
        <v>glr_human__wt</v>
      </c>
      <c r="B327" s="3" t="s">
        <v>32</v>
      </c>
      <c r="C327" s="3" t="s">
        <v>100</v>
      </c>
      <c r="D327" s="3" t="str">
        <f>IFERROR(MID(VLOOKUP($B327,Seqs!$A:$B,2,0),E327,1),"")</f>
        <v>Q</v>
      </c>
      <c r="E327" s="105">
        <v>131</v>
      </c>
      <c r="F327" s="3" t="str">
        <f>IFERROR(MID(VLOOKUP($B327,Seqs!$A:$B,2,0),G327,1),"")</f>
        <v>L</v>
      </c>
      <c r="G327" s="3">
        <v>166</v>
      </c>
      <c r="H327" s="3" t="str">
        <f>IFERROR(MID(VLOOKUP($B327,Seqs!$A:$B,2,0),I327,1),"")</f>
        <v>S</v>
      </c>
      <c r="I327" s="23">
        <v>167</v>
      </c>
      <c r="J327" s="3" t="str">
        <f>IFERROR(MID(VLOOKUP($B327,Seqs!$A:$B,2,0),K327,1),"")</f>
        <v>H</v>
      </c>
      <c r="K327" s="23">
        <v>170</v>
      </c>
      <c r="L327" s="3" t="str">
        <f>IFERROR(MID(VLOOKUP($B327,Seqs!$A:$B,2,0),M327,1),"")</f>
        <v>C</v>
      </c>
      <c r="M327" s="23">
        <v>171</v>
      </c>
      <c r="N327" s="3" t="str">
        <f>IFERROR(MID(VLOOKUP($B327,Seqs!$A:$B,2,0),O327,1),"")</f>
        <v>S</v>
      </c>
      <c r="O327" s="105">
        <v>203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A</v>
      </c>
      <c r="U327" s="3">
        <v>220</v>
      </c>
      <c r="V327" s="3" t="str">
        <f>IFERROR(MID(VLOOKUP($B327,Seqs!$A:$B,2,0),W327,1),"")</f>
        <v>L</v>
      </c>
      <c r="W327" s="3">
        <v>255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S</v>
      </c>
      <c r="AC327" s="9">
        <v>262</v>
      </c>
      <c r="AD327" s="3" t="str">
        <f>IFERROR(MID(VLOOKUP($B327,Seqs!$A:$B,2,0),AE327,1),"")</f>
        <v>E</v>
      </c>
      <c r="AE327" s="3">
        <v>290</v>
      </c>
      <c r="AF327" s="3" t="str">
        <f>IFERROR(MID(VLOOKUP($B327,Seqs!$A:$B,2,0),AG327,1),"")</f>
        <v>C</v>
      </c>
      <c r="AG327" s="3">
        <v>294</v>
      </c>
      <c r="AH327" s="3" t="str">
        <f>IFERROR(MID(VLOOKUP($B327,Seqs!$A:$B,2,0),AI327,1),"")</f>
        <v>T</v>
      </c>
      <c r="AI327" s="3">
        <v>296</v>
      </c>
      <c r="AJ327" s="3" t="str">
        <f>IFERROR(MID(VLOOKUP($B327,Seqs!$A:$B,2,0),AK327,1),"")</f>
        <v>N</v>
      </c>
      <c r="AK327" s="3">
        <v>300</v>
      </c>
      <c r="AL327" s="3" t="str">
        <f>IFERROR(MID(VLOOKUP($B327,Seqs!$A:$B,2,0),AM327,1),"")</f>
        <v>A</v>
      </c>
      <c r="AM327" s="3">
        <v>335</v>
      </c>
      <c r="AN327" s="3" t="str">
        <f>IFERROR(MID(VLOOKUP($B327,Seqs!$A:$B,2,0),AO327,1),"")</f>
        <v>D</v>
      </c>
      <c r="AO327" s="3">
        <v>342</v>
      </c>
      <c r="AP327" s="3" t="str">
        <f>IFERROR(MID(VLOOKUP($B327,Seqs!$A:$B,2,0),AQ327,1),"")</f>
        <v>F</v>
      </c>
      <c r="AQ327" s="3">
        <v>367</v>
      </c>
      <c r="AR327" s="3" t="str">
        <f>IFERROR(MID(VLOOKUP($B327,Seqs!$A:$B,2,0),AS327,1),"")</f>
        <v>Q</v>
      </c>
      <c r="AS327" s="3">
        <v>374</v>
      </c>
      <c r="AT327" s="3" t="str">
        <f>IFERROR(MID(VLOOKUP($B327,Seqs!$A:$B,2,0),AU327,1),"")</f>
        <v>L</v>
      </c>
      <c r="AU327" s="3">
        <v>403</v>
      </c>
      <c r="AV327" s="3" t="str">
        <f>IFERROR(MID(VLOOKUP($B327,Seqs!$A:$B,2,0),AW327,1),"")</f>
        <v>N</v>
      </c>
      <c r="AW327" s="3">
        <v>404</v>
      </c>
      <c r="AX327" s="3" t="str">
        <f>IFERROR(MID(VLOOKUP($B327,Seqs!$A:$B,2,0),AY327,1),"")</f>
        <v>N</v>
      </c>
      <c r="AY327" s="3">
        <v>429</v>
      </c>
      <c r="AZ327" s="77" t="str">
        <f>VLOOKUP(B327,Classification!A:D,2,0)</f>
        <v>B1</v>
      </c>
      <c r="BA327" s="94" t="str">
        <f>VLOOKUP(B327,Classification!A:D,4,0)</f>
        <v>Glucagonreceptorfamily</v>
      </c>
      <c r="BB327" s="27" t="b">
        <f t="shared" si="1481"/>
        <v>1</v>
      </c>
      <c r="BC327" s="23">
        <f t="shared" si="1900"/>
        <v>261</v>
      </c>
      <c r="BD327" s="56" t="s">
        <v>23</v>
      </c>
      <c r="BE327" s="3" t="s">
        <v>23</v>
      </c>
      <c r="BF327" s="119" t="s">
        <v>23</v>
      </c>
      <c r="BG327" s="49" t="s">
        <v>1373</v>
      </c>
      <c r="BH327" s="49" t="s">
        <v>1378</v>
      </c>
      <c r="BI327" s="1"/>
      <c r="BJ327" s="70" t="s">
        <v>1288</v>
      </c>
      <c r="BK327" s="57" t="s">
        <v>1288</v>
      </c>
      <c r="BL327" s="57" t="s">
        <v>1288</v>
      </c>
      <c r="BM327" s="57" t="s">
        <v>1288</v>
      </c>
      <c r="BN327" s="57" t="s">
        <v>1288</v>
      </c>
      <c r="BO327" s="57" t="s">
        <v>1288</v>
      </c>
      <c r="BP327" s="57" t="s">
        <v>1288</v>
      </c>
      <c r="BQ327" s="57" t="s">
        <v>1288</v>
      </c>
      <c r="BR327" s="57" t="s">
        <v>1288</v>
      </c>
      <c r="BS327" s="57" t="s">
        <v>1288</v>
      </c>
      <c r="BT327" s="57" t="s">
        <v>1288</v>
      </c>
      <c r="BU327" s="57" t="s">
        <v>1288</v>
      </c>
      <c r="BV327" s="70">
        <f t="shared" si="1901"/>
        <v>131</v>
      </c>
      <c r="BW327" s="71">
        <f t="shared" si="1902"/>
        <v>167</v>
      </c>
      <c r="BX327" s="72">
        <f t="shared" si="1903"/>
        <v>171</v>
      </c>
      <c r="BY327" s="71" t="str">
        <f t="shared" si="1904"/>
        <v>-</v>
      </c>
      <c r="BZ327" s="72">
        <f t="shared" si="1905"/>
        <v>220</v>
      </c>
      <c r="CA327" s="71" t="str">
        <f t="shared" si="1906"/>
        <v>-</v>
      </c>
      <c r="CB327" s="72">
        <f t="shared" si="1907"/>
        <v>262</v>
      </c>
      <c r="CC327" s="71">
        <f t="shared" si="1908"/>
        <v>294</v>
      </c>
      <c r="CD327" s="72">
        <f t="shared" si="1909"/>
        <v>300</v>
      </c>
      <c r="CE327" s="71">
        <f t="shared" si="1910"/>
        <v>342</v>
      </c>
      <c r="CF327" s="72">
        <f t="shared" si="1911"/>
        <v>374</v>
      </c>
      <c r="CG327" s="71">
        <f t="shared" si="1912"/>
        <v>404</v>
      </c>
      <c r="CH327" s="70">
        <f t="shared" si="1913"/>
        <v>166</v>
      </c>
      <c r="CI327" s="71">
        <f t="shared" si="1914"/>
        <v>170</v>
      </c>
      <c r="CJ327" s="72">
        <f t="shared" si="1915"/>
        <v>203</v>
      </c>
      <c r="CK327" s="72" t="str">
        <f t="shared" si="1916"/>
        <v>-</v>
      </c>
      <c r="CL327" s="72">
        <f t="shared" si="1917"/>
        <v>255</v>
      </c>
      <c r="CM327" s="72" t="str">
        <f t="shared" si="1918"/>
        <v>-</v>
      </c>
      <c r="CN327" s="72">
        <f t="shared" si="1919"/>
        <v>290</v>
      </c>
      <c r="CO327" s="72">
        <f t="shared" si="1920"/>
        <v>296</v>
      </c>
      <c r="CP327" s="72">
        <f t="shared" si="1921"/>
        <v>335</v>
      </c>
      <c r="CQ327" s="72">
        <f t="shared" si="1922"/>
        <v>367</v>
      </c>
      <c r="CR327" s="72">
        <f t="shared" si="1923"/>
        <v>403</v>
      </c>
      <c r="CS327" s="72">
        <f t="shared" si="1924"/>
        <v>429</v>
      </c>
      <c r="CT327" s="23">
        <f t="shared" si="1925"/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1480"/>
        <v>glr_human_4L6R</v>
      </c>
      <c r="B328" s="3" t="s">
        <v>32</v>
      </c>
      <c r="C328" s="3" t="s">
        <v>51</v>
      </c>
      <c r="D328" s="3" t="str">
        <f>IFERROR(MID(VLOOKUP($B328,Seqs!$A:$B,2,0),E328,1),"")</f>
        <v>G</v>
      </c>
      <c r="E328" s="3">
        <v>125</v>
      </c>
      <c r="F328" s="3" t="str">
        <f>IFERROR(MID(VLOOKUP($B328,Seqs!$A:$B,2,0),G328,1),"")</f>
        <v>G</v>
      </c>
      <c r="G328" s="3">
        <v>164</v>
      </c>
      <c r="H328" s="3" t="str">
        <f>IFERROR(MID(VLOOKUP($B328,Seqs!$A:$B,2,0),I328,1),"")</f>
        <v>S</v>
      </c>
      <c r="I328" s="23">
        <v>167</v>
      </c>
      <c r="J328" s="3" t="str">
        <f>IFERROR(MID(VLOOKUP($B328,Seqs!$A:$B,2,0),K328,1),"")</f>
        <v>H</v>
      </c>
      <c r="K328" s="23">
        <v>170</v>
      </c>
      <c r="L328" s="3" t="str">
        <f>IFERROR(MID(VLOOKUP($B328,Seqs!$A:$B,2,0),M328,1),"")</f>
        <v>C</v>
      </c>
      <c r="M328" s="23">
        <v>171</v>
      </c>
      <c r="N328" s="3" t="str">
        <f>IFERROR(MID(VLOOKUP($B328,Seqs!$A:$B,2,0),O328,1),"")</f>
        <v>R</v>
      </c>
      <c r="O328" s="3">
        <v>199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S</v>
      </c>
      <c r="U328" s="3">
        <v>217</v>
      </c>
      <c r="V328" s="3" t="str">
        <f>IFERROR(MID(VLOOKUP($B328,Seqs!$A:$B,2,0),W328,1),"")</f>
        <v>L</v>
      </c>
      <c r="W328" s="3">
        <v>255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A</v>
      </c>
      <c r="AC328" s="9">
        <v>274</v>
      </c>
      <c r="AD328" s="3" t="str">
        <f>IFERROR(MID(VLOOKUP($B328,Seqs!$A:$B,2,0),AE328,1),"")</f>
        <v>E</v>
      </c>
      <c r="AE328" s="3">
        <v>290</v>
      </c>
      <c r="AF328" s="3" t="str">
        <f>IFERROR(MID(VLOOKUP($B328,Seqs!$A:$B,2,0),AG328,1),"")</f>
        <v>C</v>
      </c>
      <c r="AG328" s="3">
        <v>294</v>
      </c>
      <c r="AH328" s="3" t="str">
        <f>IFERROR(MID(VLOOKUP($B328,Seqs!$A:$B,2,0),AI328,1),"")</f>
        <v>T</v>
      </c>
      <c r="AI328" s="3">
        <v>296</v>
      </c>
      <c r="AJ328" s="3" t="str">
        <f>IFERROR(MID(VLOOKUP($B328,Seqs!$A:$B,2,0),AK328,1),"")</f>
        <v>N</v>
      </c>
      <c r="AK328" s="3">
        <v>300</v>
      </c>
      <c r="AL328" s="3" t="str">
        <f>IFERROR(MID(VLOOKUP($B328,Seqs!$A:$B,2,0),AM328,1),"")</f>
        <v>A</v>
      </c>
      <c r="AM328" s="3">
        <v>335</v>
      </c>
      <c r="AN328" s="3" t="str">
        <f>IFERROR(MID(VLOOKUP($B328,Seqs!$A:$B,2,0),AO328,1),"")</f>
        <v>D</v>
      </c>
      <c r="AO328" s="3">
        <v>342</v>
      </c>
      <c r="AP328" s="3" t="str">
        <f>IFERROR(MID(VLOOKUP($B328,Seqs!$A:$B,2,0),AQ328,1),"")</f>
        <v>F</v>
      </c>
      <c r="AQ328" s="3">
        <v>367</v>
      </c>
      <c r="AR328" s="3" t="str">
        <f>IFERROR(MID(VLOOKUP($B328,Seqs!$A:$B,2,0),AS328,1),"")</f>
        <v>Q</v>
      </c>
      <c r="AS328" s="3">
        <v>374</v>
      </c>
      <c r="AT328" s="3" t="str">
        <f>IFERROR(MID(VLOOKUP($B328,Seqs!$A:$B,2,0),AU328,1),"")</f>
        <v>L</v>
      </c>
      <c r="AU328" s="3">
        <v>403</v>
      </c>
      <c r="AV328" s="3" t="str">
        <f>IFERROR(MID(VLOOKUP($B328,Seqs!$A:$B,2,0),AW328,1),"")</f>
        <v>N</v>
      </c>
      <c r="AW328" s="3">
        <v>404</v>
      </c>
      <c r="AX328" s="3" t="str">
        <f>IFERROR(MID(VLOOKUP($B328,Seqs!$A:$B,2,0),AY328,1),"")</f>
        <v>N</v>
      </c>
      <c r="AY328" s="3">
        <v>429</v>
      </c>
      <c r="AZ328" s="77" t="str">
        <f>VLOOKUP(B328,Classification!A:D,2,0)</f>
        <v>B1</v>
      </c>
      <c r="BA328" s="94" t="str">
        <f>VLOOKUP(B328,Classification!A:D,4,0)</f>
        <v>Glucagonreceptorfamily</v>
      </c>
      <c r="BB328" s="27" t="b">
        <f t="shared" si="1481"/>
        <v>1</v>
      </c>
      <c r="BC328" s="23">
        <f t="shared" si="1900"/>
        <v>252</v>
      </c>
      <c r="BD328" s="2" t="s">
        <v>23</v>
      </c>
      <c r="BE328" s="3" t="s">
        <v>1375</v>
      </c>
      <c r="BF328" s="119">
        <v>3.3</v>
      </c>
      <c r="BG328" s="49" t="s">
        <v>1378</v>
      </c>
      <c r="BH328" s="49" t="s">
        <v>1378</v>
      </c>
      <c r="BI328" s="1"/>
      <c r="BJ328" s="70" t="s">
        <v>1288</v>
      </c>
      <c r="BK328" s="57" t="s">
        <v>1288</v>
      </c>
      <c r="BL328" s="57" t="s">
        <v>1288</v>
      </c>
      <c r="BM328" s="57" t="s">
        <v>1288</v>
      </c>
      <c r="BN328" s="57" t="s">
        <v>1288</v>
      </c>
      <c r="BO328" s="57" t="s">
        <v>1288</v>
      </c>
      <c r="BP328" s="57" t="s">
        <v>1288</v>
      </c>
      <c r="BQ328" s="57" t="s">
        <v>1288</v>
      </c>
      <c r="BR328" s="57" t="s">
        <v>1288</v>
      </c>
      <c r="BS328" s="57" t="s">
        <v>1288</v>
      </c>
      <c r="BT328" s="57" t="s">
        <v>1288</v>
      </c>
      <c r="BU328" s="57" t="s">
        <v>1288</v>
      </c>
      <c r="BV328" s="70">
        <f t="shared" si="1901"/>
        <v>125</v>
      </c>
      <c r="BW328" s="71">
        <f t="shared" si="1902"/>
        <v>167</v>
      </c>
      <c r="BX328" s="72">
        <f t="shared" si="1903"/>
        <v>171</v>
      </c>
      <c r="BY328" s="71" t="str">
        <f t="shared" si="1904"/>
        <v>-</v>
      </c>
      <c r="BZ328" s="72">
        <f t="shared" si="1905"/>
        <v>217</v>
      </c>
      <c r="CA328" s="71" t="str">
        <f t="shared" si="1906"/>
        <v>-</v>
      </c>
      <c r="CB328" s="72">
        <f t="shared" si="1907"/>
        <v>274</v>
      </c>
      <c r="CC328" s="71">
        <f t="shared" si="1908"/>
        <v>294</v>
      </c>
      <c r="CD328" s="72">
        <f t="shared" si="1909"/>
        <v>300</v>
      </c>
      <c r="CE328" s="71">
        <f t="shared" si="1910"/>
        <v>342</v>
      </c>
      <c r="CF328" s="72">
        <f t="shared" si="1911"/>
        <v>374</v>
      </c>
      <c r="CG328" s="71">
        <f t="shared" si="1912"/>
        <v>404</v>
      </c>
      <c r="CH328" s="70">
        <f t="shared" si="1913"/>
        <v>164</v>
      </c>
      <c r="CI328" s="71">
        <f t="shared" si="1914"/>
        <v>170</v>
      </c>
      <c r="CJ328" s="72">
        <f t="shared" si="1915"/>
        <v>199</v>
      </c>
      <c r="CK328" s="72" t="str">
        <f t="shared" si="1916"/>
        <v>-</v>
      </c>
      <c r="CL328" s="72">
        <f t="shared" si="1917"/>
        <v>255</v>
      </c>
      <c r="CM328" s="72" t="str">
        <f t="shared" si="1918"/>
        <v>-</v>
      </c>
      <c r="CN328" s="72">
        <f t="shared" si="1919"/>
        <v>290</v>
      </c>
      <c r="CO328" s="72">
        <f t="shared" si="1920"/>
        <v>296</v>
      </c>
      <c r="CP328" s="72">
        <f t="shared" si="1921"/>
        <v>335</v>
      </c>
      <c r="CQ328" s="72">
        <f t="shared" si="1922"/>
        <v>367</v>
      </c>
      <c r="CR328" s="72">
        <f t="shared" si="1923"/>
        <v>403</v>
      </c>
      <c r="CS328" s="72">
        <f t="shared" si="1924"/>
        <v>429</v>
      </c>
      <c r="CT328" s="23">
        <f t="shared" si="1925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1480"/>
        <v>glr_human_4L6R_dist</v>
      </c>
      <c r="B329" s="3" t="s">
        <v>32</v>
      </c>
      <c r="C329" s="3" t="s">
        <v>1277</v>
      </c>
      <c r="D329" s="3" t="str">
        <f>IFERROR(MID(VLOOKUP($B329,Seqs!$A:$B,2,0),E329,1),"")</f>
        <v>G</v>
      </c>
      <c r="E329" s="3">
        <v>125</v>
      </c>
      <c r="F329" s="3" t="str">
        <f>IFERROR(MID(VLOOKUP($B329,Seqs!$A:$B,2,0),G329,1),"")</f>
        <v>G</v>
      </c>
      <c r="G329" s="3">
        <v>164</v>
      </c>
      <c r="H329" s="3" t="str">
        <f>IFERROR(MID(VLOOKUP($B329,Seqs!$A:$B,2,0),I329,1),"")</f>
        <v>S</v>
      </c>
      <c r="I329" s="23">
        <v>167</v>
      </c>
      <c r="J329" s="3" t="str">
        <f>IFERROR(MID(VLOOKUP($B329,Seqs!$A:$B,2,0),K329,1),"")</f>
        <v>H</v>
      </c>
      <c r="K329" s="23">
        <v>170</v>
      </c>
      <c r="L329" s="3" t="str">
        <f>IFERROR(MID(VLOOKUP($B329,Seqs!$A:$B,2,0),M329,1),"")</f>
        <v>C</v>
      </c>
      <c r="M329" s="23">
        <v>171</v>
      </c>
      <c r="N329" s="3" t="str">
        <f>IFERROR(MID(VLOOKUP($B329,Seqs!$A:$B,2,0),O329,1),"")</f>
        <v>R</v>
      </c>
      <c r="O329" s="3">
        <v>199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S</v>
      </c>
      <c r="U329" s="3">
        <v>217</v>
      </c>
      <c r="V329" s="3" t="str">
        <f>IFERROR(MID(VLOOKUP($B329,Seqs!$A:$B,2,0),W329,1),"")</f>
        <v>L</v>
      </c>
      <c r="W329" s="3">
        <v>255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262</v>
      </c>
      <c r="AD329" s="3" t="str">
        <f>IFERROR(MID(VLOOKUP($B329,Seqs!$A:$B,2,0),AE329,1),"")</f>
        <v>E</v>
      </c>
      <c r="AE329" s="3">
        <v>290</v>
      </c>
      <c r="AF329" s="3" t="str">
        <f>IFERROR(MID(VLOOKUP($B329,Seqs!$A:$B,2,0),AG329,1),"")</f>
        <v>C</v>
      </c>
      <c r="AG329" s="3">
        <v>294</v>
      </c>
      <c r="AH329" s="3" t="str">
        <f>IFERROR(MID(VLOOKUP($B329,Seqs!$A:$B,2,0),AI329,1),"")</f>
        <v>T</v>
      </c>
      <c r="AI329" s="3">
        <v>296</v>
      </c>
      <c r="AJ329" s="3" t="str">
        <f>IFERROR(MID(VLOOKUP($B329,Seqs!$A:$B,2,0),AK329,1),"")</f>
        <v>N</v>
      </c>
      <c r="AK329" s="3">
        <v>300</v>
      </c>
      <c r="AL329" s="3" t="str">
        <f>IFERROR(MID(VLOOKUP($B329,Seqs!$A:$B,2,0),AM329,1),"")</f>
        <v>A</v>
      </c>
      <c r="AM329" s="3">
        <v>335</v>
      </c>
      <c r="AN329" s="3" t="str">
        <f>IFERROR(MID(VLOOKUP($B329,Seqs!$A:$B,2,0),AO329,1),"")</f>
        <v>D</v>
      </c>
      <c r="AO329" s="3">
        <v>342</v>
      </c>
      <c r="AP329" s="3" t="str">
        <f>IFERROR(MID(VLOOKUP($B329,Seqs!$A:$B,2,0),AQ329,1),"")</f>
        <v>F</v>
      </c>
      <c r="AQ329" s="3">
        <v>367</v>
      </c>
      <c r="AR329" s="3" t="str">
        <f>IFERROR(MID(VLOOKUP($B329,Seqs!$A:$B,2,0),AS329,1),"")</f>
        <v>Q</v>
      </c>
      <c r="AS329" s="3">
        <v>374</v>
      </c>
      <c r="AT329" s="3" t="str">
        <f>IFERROR(MID(VLOOKUP($B329,Seqs!$A:$B,2,0),AU329,1),"")</f>
        <v>L</v>
      </c>
      <c r="AU329" s="3">
        <v>403</v>
      </c>
      <c r="AV329" s="3" t="str">
        <f>IFERROR(MID(VLOOKUP($B329,Seqs!$A:$B,2,0),AW329,1),"")</f>
        <v>N</v>
      </c>
      <c r="AW329" s="3">
        <v>404</v>
      </c>
      <c r="AX329" s="3" t="str">
        <f>IFERROR(MID(VLOOKUP($B329,Seqs!$A:$B,2,0),AY329,1),"")</f>
        <v>N</v>
      </c>
      <c r="AY329" s="3">
        <v>429</v>
      </c>
      <c r="AZ329" s="77" t="str">
        <f>VLOOKUP(B329,Classification!A:D,2,0)</f>
        <v>B1</v>
      </c>
      <c r="BA329" s="94" t="str">
        <f>VLOOKUP(B329,Classification!A:D,4,0)</f>
        <v>Glucagonreceptorfamily</v>
      </c>
      <c r="BB329" s="27" t="b">
        <f t="shared" si="1481"/>
        <v>1</v>
      </c>
      <c r="BC329" s="23">
        <f t="shared" si="1900"/>
        <v>264</v>
      </c>
      <c r="BD329" s="56" t="s">
        <v>23</v>
      </c>
      <c r="BE329" s="3" t="s">
        <v>1375</v>
      </c>
      <c r="BF329" s="119">
        <v>3.3</v>
      </c>
      <c r="BG329" s="49" t="s">
        <v>1378</v>
      </c>
      <c r="BH329" s="49" t="s">
        <v>1378</v>
      </c>
      <c r="BI329" s="1"/>
      <c r="BJ329" s="70" t="s">
        <v>1288</v>
      </c>
      <c r="BK329" s="57" t="s">
        <v>1288</v>
      </c>
      <c r="BL329" s="57" t="s">
        <v>1288</v>
      </c>
      <c r="BM329" s="57" t="s">
        <v>1288</v>
      </c>
      <c r="BN329" s="57" t="s">
        <v>1288</v>
      </c>
      <c r="BO329" s="57" t="s">
        <v>1288</v>
      </c>
      <c r="BP329" s="57" t="s">
        <v>1288</v>
      </c>
      <c r="BQ329" s="57" t="s">
        <v>1288</v>
      </c>
      <c r="BR329" s="57" t="s">
        <v>1288</v>
      </c>
      <c r="BS329" s="57" t="s">
        <v>1288</v>
      </c>
      <c r="BT329" s="57" t="s">
        <v>1288</v>
      </c>
      <c r="BU329" s="57" t="s">
        <v>1288</v>
      </c>
      <c r="BV329" s="70">
        <f t="shared" si="1901"/>
        <v>125</v>
      </c>
      <c r="BW329" s="71">
        <f t="shared" si="1902"/>
        <v>167</v>
      </c>
      <c r="BX329" s="72">
        <f t="shared" si="1903"/>
        <v>171</v>
      </c>
      <c r="BY329" s="71" t="str">
        <f t="shared" si="1904"/>
        <v>-</v>
      </c>
      <c r="BZ329" s="72">
        <f t="shared" si="1905"/>
        <v>217</v>
      </c>
      <c r="CA329" s="71" t="str">
        <f t="shared" si="1906"/>
        <v>-</v>
      </c>
      <c r="CB329" s="72">
        <f t="shared" si="1907"/>
        <v>262</v>
      </c>
      <c r="CC329" s="71">
        <f t="shared" si="1908"/>
        <v>294</v>
      </c>
      <c r="CD329" s="72">
        <f t="shared" si="1909"/>
        <v>300</v>
      </c>
      <c r="CE329" s="71">
        <f t="shared" si="1910"/>
        <v>342</v>
      </c>
      <c r="CF329" s="72">
        <f t="shared" si="1911"/>
        <v>374</v>
      </c>
      <c r="CG329" s="71">
        <f t="shared" si="1912"/>
        <v>404</v>
      </c>
      <c r="CH329" s="70">
        <f t="shared" si="1913"/>
        <v>164</v>
      </c>
      <c r="CI329" s="71">
        <f t="shared" si="1914"/>
        <v>170</v>
      </c>
      <c r="CJ329" s="72">
        <f t="shared" si="1915"/>
        <v>199</v>
      </c>
      <c r="CK329" s="72" t="str">
        <f t="shared" si="1916"/>
        <v>-</v>
      </c>
      <c r="CL329" s="72">
        <f t="shared" si="1917"/>
        <v>255</v>
      </c>
      <c r="CM329" s="72" t="str">
        <f t="shared" si="1918"/>
        <v>-</v>
      </c>
      <c r="CN329" s="72">
        <f t="shared" si="1919"/>
        <v>290</v>
      </c>
      <c r="CO329" s="72">
        <f t="shared" si="1920"/>
        <v>296</v>
      </c>
      <c r="CP329" s="72">
        <f t="shared" si="1921"/>
        <v>335</v>
      </c>
      <c r="CQ329" s="72">
        <f t="shared" si="1922"/>
        <v>367</v>
      </c>
      <c r="CR329" s="72">
        <f t="shared" si="1923"/>
        <v>403</v>
      </c>
      <c r="CS329" s="72">
        <f t="shared" si="1924"/>
        <v>429</v>
      </c>
      <c r="CT329" s="23">
        <f t="shared" si="1925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 t="shared" ref="A330:A365" si="1926">CONCATENATE(B330,"_",C330)</f>
        <v>glr_human_5EE7</v>
      </c>
      <c r="B330" s="3" t="s">
        <v>32</v>
      </c>
      <c r="C330" s="3" t="s">
        <v>49</v>
      </c>
      <c r="D330" s="3" t="str">
        <f>IFERROR(MID(VLOOKUP($B330,Seqs!$A:$B,2,0),E330,1),"")</f>
        <v>Y</v>
      </c>
      <c r="E330" s="3">
        <v>138</v>
      </c>
      <c r="F330" s="3" t="str">
        <f>IFERROR(MID(VLOOKUP($B330,Seqs!$A:$B,2,0),G330,1),"")</f>
        <v>L</v>
      </c>
      <c r="G330" s="3">
        <v>166</v>
      </c>
      <c r="H330" s="3" t="str">
        <f>IFERROR(MID(VLOOKUP($B330,Seqs!$A:$B,2,0),I330,1),"")</f>
        <v>S</v>
      </c>
      <c r="I330" s="23">
        <v>167</v>
      </c>
      <c r="J330" s="3" t="str">
        <f>IFERROR(MID(VLOOKUP($B330,Seqs!$A:$B,2,0),K330,1),"")</f>
        <v>H</v>
      </c>
      <c r="K330" s="23">
        <v>170</v>
      </c>
      <c r="L330" s="3" t="str">
        <f>IFERROR(MID(VLOOKUP($B330,Seqs!$A:$B,2,0),M330,1),"")</f>
        <v>C</v>
      </c>
      <c r="M330" s="23">
        <v>171</v>
      </c>
      <c r="N330" s="3" t="str">
        <f>IFERROR(MID(VLOOKUP($B330,Seqs!$A:$B,2,0),O330,1),"")</f>
        <v>R</v>
      </c>
      <c r="O330" s="3">
        <v>199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D</v>
      </c>
      <c r="U330" s="3">
        <v>218</v>
      </c>
      <c r="V330" s="3" t="str">
        <f>IFERROR(MID(VLOOKUP($B330,Seqs!$A:$B,2,0),W330,1),"")</f>
        <v>G</v>
      </c>
      <c r="W330" s="3">
        <v>254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S</v>
      </c>
      <c r="AC330" s="9">
        <v>262</v>
      </c>
      <c r="AD330" s="3" t="str">
        <f>IFERROR(MID(VLOOKUP($B330,Seqs!$A:$B,2,0),AE330,1),"")</f>
        <v>E</v>
      </c>
      <c r="AE330" s="3">
        <v>290</v>
      </c>
      <c r="AF330" s="3" t="str">
        <f>IFERROR(MID(VLOOKUP($B330,Seqs!$A:$B,2,0),AG330,1),"")</f>
        <v>C</v>
      </c>
      <c r="AG330" s="3">
        <v>294</v>
      </c>
      <c r="AH330" s="3" t="str">
        <f>IFERROR(MID(VLOOKUP($B330,Seqs!$A:$B,2,0),AI330,1),"")</f>
        <v>T</v>
      </c>
      <c r="AI330" s="3">
        <v>296</v>
      </c>
      <c r="AJ330" s="3" t="str">
        <f>IFERROR(MID(VLOOKUP($B330,Seqs!$A:$B,2,0),AK330,1),"")</f>
        <v>R</v>
      </c>
      <c r="AK330" s="105">
        <v>308</v>
      </c>
      <c r="AL330" s="3" t="str">
        <f>IFERROR(MID(VLOOKUP($B330,Seqs!$A:$B,2,0),AM330,1),"")</f>
        <v>A</v>
      </c>
      <c r="AM330" s="3">
        <v>335</v>
      </c>
      <c r="AN330" s="3" t="str">
        <f>IFERROR(MID(VLOOKUP($B330,Seqs!$A:$B,2,0),AO330,1),"")</f>
        <v>D</v>
      </c>
      <c r="AO330" s="3">
        <v>342</v>
      </c>
      <c r="AP330" s="3" t="str">
        <f>IFERROR(MID(VLOOKUP($B330,Seqs!$A:$B,2,0),AQ330,1),"")</f>
        <v>D</v>
      </c>
      <c r="AQ330" s="3">
        <v>370</v>
      </c>
      <c r="AR330" s="3" t="str">
        <f>IFERROR(MID(VLOOKUP($B330,Seqs!$A:$B,2,0),AS330,1),"")</f>
        <v>S</v>
      </c>
      <c r="AS330" s="3">
        <v>379</v>
      </c>
      <c r="AT330" s="3" t="str">
        <f>IFERROR(MID(VLOOKUP($B330,Seqs!$A:$B,2,0),AU330,1),"")</f>
        <v>F</v>
      </c>
      <c r="AU330" s="3">
        <v>402</v>
      </c>
      <c r="AV330" s="3" t="str">
        <f>IFERROR(MID(VLOOKUP($B330,Seqs!$A:$B,2,0),AW330,1),"")</f>
        <v>N</v>
      </c>
      <c r="AW330" s="3">
        <v>404</v>
      </c>
      <c r="AX330" s="3" t="str">
        <f>IFERROR(MID(VLOOKUP($B330,Seqs!$A:$B,2,0),AY330,1),"")</f>
        <v>R</v>
      </c>
      <c r="AY330" s="3">
        <v>417</v>
      </c>
      <c r="AZ330" s="77" t="str">
        <f>VLOOKUP(B330,Classification!A:D,2,0)</f>
        <v>B1</v>
      </c>
      <c r="BA330" s="94" t="str">
        <f>VLOOKUP(B330,Classification!A:D,4,0)</f>
        <v>Glucagonreceptorfamily</v>
      </c>
      <c r="BB330" s="27" t="b">
        <f t="shared" ref="BB330:BB365" si="1927"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 t="shared" si="1900"/>
        <v>228</v>
      </c>
      <c r="BD330" s="4" t="s">
        <v>23</v>
      </c>
      <c r="BE330" s="3" t="s">
        <v>1375</v>
      </c>
      <c r="BF330" s="119">
        <v>2.5</v>
      </c>
      <c r="BG330" s="49" t="s">
        <v>1378</v>
      </c>
      <c r="BH330" s="49" t="s">
        <v>1378</v>
      </c>
      <c r="BI330" s="1"/>
      <c r="BJ330" s="70" t="s">
        <v>1288</v>
      </c>
      <c r="BK330" s="57" t="s">
        <v>1288</v>
      </c>
      <c r="BL330" s="57" t="s">
        <v>1288</v>
      </c>
      <c r="BM330" s="57" t="s">
        <v>1288</v>
      </c>
      <c r="BN330" s="57" t="s">
        <v>1288</v>
      </c>
      <c r="BO330" s="57" t="s">
        <v>1288</v>
      </c>
      <c r="BP330" s="57" t="s">
        <v>1288</v>
      </c>
      <c r="BQ330" s="57" t="s">
        <v>1288</v>
      </c>
      <c r="BR330" s="57" t="s">
        <v>1288</v>
      </c>
      <c r="BS330" s="57" t="s">
        <v>1288</v>
      </c>
      <c r="BT330" s="57" t="s">
        <v>1288</v>
      </c>
      <c r="BU330" s="57" t="s">
        <v>1288</v>
      </c>
      <c r="BV330" s="70">
        <f t="shared" si="1901"/>
        <v>138</v>
      </c>
      <c r="BW330" s="71">
        <f t="shared" si="1902"/>
        <v>167</v>
      </c>
      <c r="BX330" s="72">
        <f t="shared" si="1903"/>
        <v>171</v>
      </c>
      <c r="BY330" s="71" t="str">
        <f t="shared" si="1904"/>
        <v>-</v>
      </c>
      <c r="BZ330" s="72">
        <f t="shared" si="1905"/>
        <v>218</v>
      </c>
      <c r="CA330" s="71" t="str">
        <f t="shared" si="1906"/>
        <v>-</v>
      </c>
      <c r="CB330" s="72">
        <f t="shared" si="1907"/>
        <v>262</v>
      </c>
      <c r="CC330" s="71">
        <f t="shared" si="1908"/>
        <v>294</v>
      </c>
      <c r="CD330" s="72">
        <f t="shared" si="1909"/>
        <v>308</v>
      </c>
      <c r="CE330" s="71">
        <f t="shared" si="1910"/>
        <v>342</v>
      </c>
      <c r="CF330" s="72">
        <f t="shared" si="1911"/>
        <v>379</v>
      </c>
      <c r="CG330" s="71">
        <f t="shared" si="1912"/>
        <v>404</v>
      </c>
      <c r="CH330" s="70">
        <f t="shared" si="1913"/>
        <v>166</v>
      </c>
      <c r="CI330" s="71">
        <f t="shared" si="1914"/>
        <v>170</v>
      </c>
      <c r="CJ330" s="72">
        <f t="shared" si="1915"/>
        <v>199</v>
      </c>
      <c r="CK330" s="72" t="str">
        <f t="shared" si="1916"/>
        <v>-</v>
      </c>
      <c r="CL330" s="72">
        <f t="shared" si="1917"/>
        <v>254</v>
      </c>
      <c r="CM330" s="72" t="str">
        <f t="shared" si="1918"/>
        <v>-</v>
      </c>
      <c r="CN330" s="72">
        <f t="shared" si="1919"/>
        <v>290</v>
      </c>
      <c r="CO330" s="72">
        <f t="shared" si="1920"/>
        <v>296</v>
      </c>
      <c r="CP330" s="72">
        <f t="shared" si="1921"/>
        <v>335</v>
      </c>
      <c r="CQ330" s="72">
        <f t="shared" si="1922"/>
        <v>370</v>
      </c>
      <c r="CR330" s="72">
        <f t="shared" si="1923"/>
        <v>402</v>
      </c>
      <c r="CS330" s="72">
        <f t="shared" si="1924"/>
        <v>417</v>
      </c>
      <c r="CT330" s="23">
        <f t="shared" si="1925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ref="A331:A340" si="1928">CONCATENATE(B331,"_",C331)</f>
        <v>glr_human_5XEZ</v>
      </c>
      <c r="B331" s="3" t="s">
        <v>32</v>
      </c>
      <c r="C331" s="3" t="s">
        <v>1410</v>
      </c>
      <c r="D331" s="3" t="str">
        <f>IFERROR(MID(VLOOKUP($B331,Seqs!$A:$B,2,0),E331,1),"")</f>
        <v>Q</v>
      </c>
      <c r="E331" s="3">
        <v>131</v>
      </c>
      <c r="F331" s="3" t="str">
        <f>IFERROR(MID(VLOOKUP($B331,Seqs!$A:$B,2,0),G331,1),"")</f>
        <v>G</v>
      </c>
      <c r="G331" s="3">
        <v>164</v>
      </c>
      <c r="H331" s="3" t="str">
        <f>IFERROR(MID(VLOOKUP($B331,Seqs!$A:$B,2,0),I331,1),"")</f>
        <v>S</v>
      </c>
      <c r="I331" s="23">
        <v>167</v>
      </c>
      <c r="J331" s="3" t="str">
        <f>IFERROR(MID(VLOOKUP($B331,Seqs!$A:$B,2,0),K331,1),"")</f>
        <v>H</v>
      </c>
      <c r="K331" s="23">
        <v>170</v>
      </c>
      <c r="L331" s="3" t="str">
        <f>IFERROR(MID(VLOOKUP($B331,Seqs!$A:$B,2,0),M331,1),"")</f>
        <v>C</v>
      </c>
      <c r="M331" s="23">
        <v>171</v>
      </c>
      <c r="N331" s="3" t="str">
        <f>IFERROR(MID(VLOOKUP($B331,Seqs!$A:$B,2,0),O331,1),"")</f>
        <v>R</v>
      </c>
      <c r="O331" s="3">
        <v>201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S</v>
      </c>
      <c r="U331" s="3">
        <v>217</v>
      </c>
      <c r="V331" s="3" t="str">
        <f>IFERROR(MID(VLOOKUP($B331,Seqs!$A:$B,2,0),W331,1),"")</f>
        <v>L</v>
      </c>
      <c r="W331" s="3">
        <v>255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E</v>
      </c>
      <c r="AC331" s="3">
        <v>260</v>
      </c>
      <c r="AD331" s="3" t="str">
        <f>IFERROR(MID(VLOOKUP($B331,Seqs!$A:$B,2,0),AE331,1),"")</f>
        <v>E</v>
      </c>
      <c r="AE331" s="3">
        <v>290</v>
      </c>
      <c r="AF331" s="3" t="str">
        <f>IFERROR(MID(VLOOKUP($B331,Seqs!$A:$B,2,0),AG331,1),"")</f>
        <v>C</v>
      </c>
      <c r="AG331" s="3">
        <v>294</v>
      </c>
      <c r="AH331" s="3" t="str">
        <f>IFERROR(MID(VLOOKUP($B331,Seqs!$A:$B,2,0),AI331,1),"")</f>
        <v>T</v>
      </c>
      <c r="AI331" s="3">
        <v>296</v>
      </c>
      <c r="AJ331" s="3" t="str">
        <f>IFERROR(MID(VLOOKUP($B331,Seqs!$A:$B,2,0),AK331,1),"")</f>
        <v>G</v>
      </c>
      <c r="AK331" s="3">
        <v>302</v>
      </c>
      <c r="AL331" s="3" t="str">
        <f>IFERROR(MID(VLOOKUP($B331,Seqs!$A:$B,2,0),AM331,1),"")</f>
        <v>R</v>
      </c>
      <c r="AM331" s="3">
        <v>334</v>
      </c>
      <c r="AN331" s="3" t="str">
        <f>IFERROR(MID(VLOOKUP($B331,Seqs!$A:$B,2,0),AO331,1),"")</f>
        <v>D</v>
      </c>
      <c r="AO331" s="3">
        <v>342</v>
      </c>
      <c r="AP331" s="3" t="str">
        <f>IFERROR(MID(VLOOKUP($B331,Seqs!$A:$B,2,0),AQ331,1),"")</f>
        <v>F</v>
      </c>
      <c r="AQ331" s="3">
        <v>367</v>
      </c>
      <c r="AR331" s="3" t="str">
        <f>IFERROR(MID(VLOOKUP($B331,Seqs!$A:$B,2,0),AS331,1),"")</f>
        <v>G</v>
      </c>
      <c r="AS331" s="3">
        <v>375</v>
      </c>
      <c r="AT331" s="3" t="str">
        <f>IFERROR(MID(VLOOKUP($B331,Seqs!$A:$B,2,0),AU331,1),"")</f>
        <v>L</v>
      </c>
      <c r="AU331" s="3">
        <v>403</v>
      </c>
      <c r="AV331" s="3" t="str">
        <f>IFERROR(MID(VLOOKUP($B331,Seqs!$A:$B,2,0),AW331,1),"")</f>
        <v>N</v>
      </c>
      <c r="AW331" s="3">
        <v>404</v>
      </c>
      <c r="AX331" s="3" t="str">
        <f>IFERROR(MID(VLOOKUP($B331,Seqs!$A:$B,2,0),AY331,1),"")</f>
        <v>W</v>
      </c>
      <c r="AY331" s="3">
        <v>415</v>
      </c>
      <c r="AZ331" s="77" t="str">
        <f>VLOOKUP(B331,Classification!A:D,2,0)</f>
        <v>B1</v>
      </c>
      <c r="BA331" s="94" t="str">
        <f>VLOOKUP(B331,Classification!A:D,4,0)</f>
        <v>Glucagonreceptorfamily</v>
      </c>
      <c r="BB331" s="27" t="b">
        <f t="shared" ref="BB331:BB340" si="1929"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 t="shared" ref="BC331:BC340" si="1930">_xlfn.AGGREGATE(9,6,CH331:CS331)-_xlfn.AGGREGATE(9,6,BV331:CG331)+12</f>
        <v>244</v>
      </c>
      <c r="BD331" s="4" t="s">
        <v>1377</v>
      </c>
      <c r="BE331" s="3" t="s">
        <v>1375</v>
      </c>
      <c r="BF331" s="119">
        <v>3</v>
      </c>
      <c r="BG331" s="49" t="s">
        <v>1282</v>
      </c>
      <c r="BH331" s="49" t="s">
        <v>1282</v>
      </c>
      <c r="BI331" s="1"/>
      <c r="BJ331" s="70" t="s">
        <v>1288</v>
      </c>
      <c r="BK331" s="57" t="s">
        <v>1288</v>
      </c>
      <c r="BL331" s="57" t="s">
        <v>1288</v>
      </c>
      <c r="BM331" s="57" t="s">
        <v>1288</v>
      </c>
      <c r="BN331" s="57" t="s">
        <v>1288</v>
      </c>
      <c r="BO331" s="57" t="s">
        <v>1288</v>
      </c>
      <c r="BP331" s="57" t="s">
        <v>1288</v>
      </c>
      <c r="BQ331" s="57" t="s">
        <v>1288</v>
      </c>
      <c r="BR331" s="57" t="s">
        <v>1288</v>
      </c>
      <c r="BS331" s="57" t="s">
        <v>1288</v>
      </c>
      <c r="BT331" s="57" t="s">
        <v>1288</v>
      </c>
      <c r="BU331" s="57" t="s">
        <v>1288</v>
      </c>
      <c r="BV331" s="70">
        <f t="shared" ref="BV331:BV340" si="1931">E331</f>
        <v>131</v>
      </c>
      <c r="BW331" s="71">
        <f t="shared" ref="BW331:BW340" si="1932">I331</f>
        <v>167</v>
      </c>
      <c r="BX331" s="72">
        <f t="shared" ref="BX331:BX340" si="1933">M331</f>
        <v>171</v>
      </c>
      <c r="BY331" s="71" t="str">
        <f t="shared" ref="BY331:BY340" si="1934">Q331</f>
        <v>-</v>
      </c>
      <c r="BZ331" s="72">
        <f t="shared" ref="BZ331:BZ340" si="1935">U331</f>
        <v>217</v>
      </c>
      <c r="CA331" s="71" t="str">
        <f t="shared" ref="CA331:CA340" si="1936">Y331</f>
        <v>-</v>
      </c>
      <c r="CB331" s="72">
        <f t="shared" ref="CB331:CB340" si="1937">AC331</f>
        <v>260</v>
      </c>
      <c r="CC331" s="71">
        <f t="shared" ref="CC331:CC340" si="1938">AG331</f>
        <v>294</v>
      </c>
      <c r="CD331" s="72">
        <f t="shared" ref="CD331:CD340" si="1939">AK331</f>
        <v>302</v>
      </c>
      <c r="CE331" s="71">
        <f t="shared" ref="CE331:CE340" si="1940">AO331</f>
        <v>342</v>
      </c>
      <c r="CF331" s="72">
        <f t="shared" ref="CF331:CF340" si="1941">AS331</f>
        <v>375</v>
      </c>
      <c r="CG331" s="71">
        <f t="shared" ref="CG331:CG340" si="1942">AW331</f>
        <v>404</v>
      </c>
      <c r="CH331" s="70">
        <f t="shared" ref="CH331:CH340" si="1943">G331</f>
        <v>164</v>
      </c>
      <c r="CI331" s="71">
        <f t="shared" ref="CI331:CI340" si="1944">K331</f>
        <v>170</v>
      </c>
      <c r="CJ331" s="72">
        <f t="shared" ref="CJ331:CJ340" si="1945">O331</f>
        <v>201</v>
      </c>
      <c r="CK331" s="72" t="str">
        <f t="shared" ref="CK331:CK340" si="1946">S331</f>
        <v>-</v>
      </c>
      <c r="CL331" s="72">
        <f t="shared" ref="CL331:CL340" si="1947">W331</f>
        <v>255</v>
      </c>
      <c r="CM331" s="72" t="str">
        <f t="shared" ref="CM331:CM340" si="1948">AA331</f>
        <v>-</v>
      </c>
      <c r="CN331" s="72">
        <f t="shared" ref="CN331:CN340" si="1949">AE331</f>
        <v>290</v>
      </c>
      <c r="CO331" s="72">
        <f t="shared" ref="CO331:CO340" si="1950">AI331</f>
        <v>296</v>
      </c>
      <c r="CP331" s="72">
        <f t="shared" ref="CP331:CP340" si="1951">AM331</f>
        <v>334</v>
      </c>
      <c r="CQ331" s="72">
        <f t="shared" ref="CQ331:CQ340" si="1952">AQ331</f>
        <v>367</v>
      </c>
      <c r="CR331" s="72">
        <f t="shared" ref="CR331:CR340" si="1953">AU331</f>
        <v>403</v>
      </c>
      <c r="CS331" s="72">
        <f t="shared" ref="CS331:CS340" si="1954">AY331</f>
        <v>415</v>
      </c>
      <c r="CT331" s="23">
        <f t="shared" ref="CT331:CT340" si="1955">M331-K331</f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1928"/>
        <v>glr_human_5XF1</v>
      </c>
      <c r="B332" s="3" t="s">
        <v>32</v>
      </c>
      <c r="C332" s="3" t="s">
        <v>1411</v>
      </c>
      <c r="D332" s="3" t="str">
        <f>IFERROR(MID(VLOOKUP($B332,Seqs!$A:$B,2,0),E332,1),"")</f>
        <v>Q</v>
      </c>
      <c r="E332" s="3">
        <v>131</v>
      </c>
      <c r="F332" s="3" t="str">
        <f>IFERROR(MID(VLOOKUP($B332,Seqs!$A:$B,2,0),G332,1),"")</f>
        <v>L</v>
      </c>
      <c r="G332" s="3">
        <v>166</v>
      </c>
      <c r="H332" s="3" t="str">
        <f>IFERROR(MID(VLOOKUP($B332,Seqs!$A:$B,2,0),I332,1),"")</f>
        <v>S</v>
      </c>
      <c r="I332" s="23">
        <v>167</v>
      </c>
      <c r="J332" s="3" t="str">
        <f>IFERROR(MID(VLOOKUP($B332,Seqs!$A:$B,2,0),K332,1),"")</f>
        <v>H</v>
      </c>
      <c r="K332" s="23">
        <v>170</v>
      </c>
      <c r="L332" s="3" t="str">
        <f>IFERROR(MID(VLOOKUP($B332,Seqs!$A:$B,2,0),M332,1),"")</f>
        <v>N</v>
      </c>
      <c r="M332" s="23">
        <v>174</v>
      </c>
      <c r="N332" s="3" t="str">
        <f>IFERROR(MID(VLOOKUP($B332,Seqs!$A:$B,2,0),O332,1),"")</f>
        <v>R</v>
      </c>
      <c r="O332" s="3">
        <v>201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S</v>
      </c>
      <c r="U332" s="3">
        <v>217</v>
      </c>
      <c r="V332" s="3" t="str">
        <f>IFERROR(MID(VLOOKUP($B332,Seqs!$A:$B,2,0),W332,1),"")</f>
        <v>L</v>
      </c>
      <c r="W332" s="3">
        <v>255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R</v>
      </c>
      <c r="AC332" s="3">
        <v>261</v>
      </c>
      <c r="AD332" s="3" t="str">
        <f>IFERROR(MID(VLOOKUP($B332,Seqs!$A:$B,2,0),AE332,1),"")</f>
        <v>F</v>
      </c>
      <c r="AE332" s="3">
        <v>289</v>
      </c>
      <c r="AF332" s="3" t="str">
        <f>IFERROR(MID(VLOOKUP($B332,Seqs!$A:$B,2,0),AG332,1),"")</f>
        <v>C</v>
      </c>
      <c r="AG332" s="3">
        <v>294</v>
      </c>
      <c r="AH332" s="3" t="str">
        <f>IFERROR(MID(VLOOKUP($B332,Seqs!$A:$B,2,0),AI332,1),"")</f>
        <v>T</v>
      </c>
      <c r="AI332" s="3">
        <v>296</v>
      </c>
      <c r="AJ332" s="3" t="str">
        <f>IFERROR(MID(VLOOKUP($B332,Seqs!$A:$B,2,0),AK332,1),"")</f>
        <v>D</v>
      </c>
      <c r="AK332" s="3">
        <v>299</v>
      </c>
      <c r="AL332" s="3" t="str">
        <f>IFERROR(MID(VLOOKUP($B332,Seqs!$A:$B,2,0),AM332,1),"")</f>
        <v>L</v>
      </c>
      <c r="AM332" s="3">
        <v>333</v>
      </c>
      <c r="AN332" s="3" t="str">
        <f>IFERROR(MID(VLOOKUP($B332,Seqs!$A:$B,2,0),AO332,1),"")</f>
        <v>D</v>
      </c>
      <c r="AO332" s="3">
        <v>342</v>
      </c>
      <c r="AP332" s="3" t="str">
        <f>IFERROR(MID(VLOOKUP($B332,Seqs!$A:$B,2,0),AQ332,1),"")</f>
        <v>V</v>
      </c>
      <c r="AQ332" s="3">
        <v>368</v>
      </c>
      <c r="AR332" s="3" t="str">
        <f>IFERROR(MID(VLOOKUP($B332,Seqs!$A:$B,2,0),AS332,1),"")</f>
        <v>L</v>
      </c>
      <c r="AS332" s="3">
        <v>377</v>
      </c>
      <c r="AT332" s="3" t="str">
        <f>IFERROR(MID(VLOOKUP($B332,Seqs!$A:$B,2,0),AU332,1),"")</f>
        <v>L</v>
      </c>
      <c r="AU332" s="3">
        <v>403</v>
      </c>
      <c r="AV332" s="3" t="str">
        <f>IFERROR(MID(VLOOKUP($B332,Seqs!$A:$B,2,0),AW332,1),"")</f>
        <v>N</v>
      </c>
      <c r="AW332" s="3">
        <v>404</v>
      </c>
      <c r="AX332" s="3" t="str">
        <f>IFERROR(MID(VLOOKUP($B332,Seqs!$A:$B,2,0),AY332,1),"")</f>
        <v>W</v>
      </c>
      <c r="AY332" s="3">
        <v>415</v>
      </c>
      <c r="AZ332" s="77" t="str">
        <f>VLOOKUP(B332,Classification!A:D,2,0)</f>
        <v>B1</v>
      </c>
      <c r="BA332" s="94" t="str">
        <f>VLOOKUP(B332,Classification!A:D,4,0)</f>
        <v>Glucagonreceptorfamily</v>
      </c>
      <c r="BB332" s="27" t="b">
        <f t="shared" si="1929"/>
        <v>1</v>
      </c>
      <c r="BC332" s="23">
        <f t="shared" si="1930"/>
        <v>242</v>
      </c>
      <c r="BD332" s="4" t="s">
        <v>23</v>
      </c>
      <c r="BE332" s="3" t="s">
        <v>1375</v>
      </c>
      <c r="BF332" s="119">
        <v>3.19</v>
      </c>
      <c r="BG332" s="49" t="s">
        <v>1282</v>
      </c>
      <c r="BH332" s="49" t="s">
        <v>1282</v>
      </c>
      <c r="BI332" s="1"/>
      <c r="BJ332" s="70" t="s">
        <v>1288</v>
      </c>
      <c r="BK332" s="57" t="s">
        <v>1288</v>
      </c>
      <c r="BL332" s="57" t="s">
        <v>1288</v>
      </c>
      <c r="BM332" s="57" t="s">
        <v>1288</v>
      </c>
      <c r="BN332" s="57" t="s">
        <v>1288</v>
      </c>
      <c r="BO332" s="57" t="s">
        <v>1288</v>
      </c>
      <c r="BP332" s="57" t="s">
        <v>1288</v>
      </c>
      <c r="BQ332" s="57" t="s">
        <v>1288</v>
      </c>
      <c r="BR332" s="57" t="s">
        <v>1288</v>
      </c>
      <c r="BS332" s="57" t="s">
        <v>1288</v>
      </c>
      <c r="BT332" s="57" t="s">
        <v>1288</v>
      </c>
      <c r="BU332" s="57" t="s">
        <v>1288</v>
      </c>
      <c r="BV332" s="70">
        <f t="shared" si="1931"/>
        <v>131</v>
      </c>
      <c r="BW332" s="71">
        <f t="shared" si="1932"/>
        <v>167</v>
      </c>
      <c r="BX332" s="72">
        <f t="shared" si="1933"/>
        <v>174</v>
      </c>
      <c r="BY332" s="71" t="str">
        <f t="shared" si="1934"/>
        <v>-</v>
      </c>
      <c r="BZ332" s="72">
        <f t="shared" si="1935"/>
        <v>217</v>
      </c>
      <c r="CA332" s="71" t="str">
        <f t="shared" si="1936"/>
        <v>-</v>
      </c>
      <c r="CB332" s="72">
        <f t="shared" si="1937"/>
        <v>261</v>
      </c>
      <c r="CC332" s="71">
        <f t="shared" si="1938"/>
        <v>294</v>
      </c>
      <c r="CD332" s="72">
        <f t="shared" si="1939"/>
        <v>299</v>
      </c>
      <c r="CE332" s="71">
        <f t="shared" si="1940"/>
        <v>342</v>
      </c>
      <c r="CF332" s="72">
        <f t="shared" si="1941"/>
        <v>377</v>
      </c>
      <c r="CG332" s="71">
        <f t="shared" si="1942"/>
        <v>404</v>
      </c>
      <c r="CH332" s="70">
        <f t="shared" si="1943"/>
        <v>166</v>
      </c>
      <c r="CI332" s="71">
        <f t="shared" si="1944"/>
        <v>170</v>
      </c>
      <c r="CJ332" s="72">
        <f t="shared" si="1945"/>
        <v>201</v>
      </c>
      <c r="CK332" s="72" t="str">
        <f t="shared" si="1946"/>
        <v>-</v>
      </c>
      <c r="CL332" s="72">
        <f t="shared" si="1947"/>
        <v>255</v>
      </c>
      <c r="CM332" s="72" t="str">
        <f t="shared" si="1948"/>
        <v>-</v>
      </c>
      <c r="CN332" s="72">
        <f t="shared" si="1949"/>
        <v>289</v>
      </c>
      <c r="CO332" s="72">
        <f t="shared" si="1950"/>
        <v>296</v>
      </c>
      <c r="CP332" s="72">
        <f t="shared" si="1951"/>
        <v>333</v>
      </c>
      <c r="CQ332" s="72">
        <f t="shared" si="1952"/>
        <v>368</v>
      </c>
      <c r="CR332" s="72">
        <f t="shared" si="1953"/>
        <v>403</v>
      </c>
      <c r="CS332" s="72">
        <f t="shared" si="1954"/>
        <v>415</v>
      </c>
      <c r="CT332" s="23">
        <f t="shared" si="1955"/>
        <v>4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1928"/>
        <v>glr_human_5YQZ</v>
      </c>
      <c r="B333" s="3" t="s">
        <v>32</v>
      </c>
      <c r="C333" s="3" t="s">
        <v>1463</v>
      </c>
      <c r="D333" s="3" t="str">
        <f>IFERROR(MID(VLOOKUP($B333,Seqs!$A:$B,2,0),E333,1),"")</f>
        <v>D</v>
      </c>
      <c r="E333" s="3">
        <v>124</v>
      </c>
      <c r="F333" s="3" t="str">
        <f>IFERROR(MID(VLOOKUP($B333,Seqs!$A:$B,2,0),G333,1),"")</f>
        <v>L</v>
      </c>
      <c r="G333" s="3">
        <v>166</v>
      </c>
      <c r="H333" s="3" t="str">
        <f>IFERROR(MID(VLOOKUP($B333,Seqs!$A:$B,2,0),I333,1),"")</f>
        <v>S</v>
      </c>
      <c r="I333" s="23">
        <v>167</v>
      </c>
      <c r="J333" s="3" t="str">
        <f>IFERROR(MID(VLOOKUP($B333,Seqs!$A:$B,2,0),K333,1),"")</f>
        <v>H</v>
      </c>
      <c r="K333" s="23">
        <v>170</v>
      </c>
      <c r="L333" s="3" t="str">
        <f>IFERROR(MID(VLOOKUP($B333,Seqs!$A:$B,2,0),M333,1),"")</f>
        <v>C</v>
      </c>
      <c r="M333" s="23">
        <v>171</v>
      </c>
      <c r="N333" s="3" t="str">
        <f>IFERROR(MID(VLOOKUP($B333,Seqs!$A:$B,2,0),O333,1),"")</f>
        <v>S</v>
      </c>
      <c r="O333" s="3">
        <v>203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A</v>
      </c>
      <c r="U333" s="3">
        <v>220</v>
      </c>
      <c r="V333" s="3" t="str">
        <f>IFERROR(MID(VLOOKUP($B333,Seqs!$A:$B,2,0),W333,1),"")</f>
        <v>L</v>
      </c>
      <c r="W333" s="3">
        <v>255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F</v>
      </c>
      <c r="AC333" s="3">
        <v>263</v>
      </c>
      <c r="AD333" s="3" t="str">
        <f>IFERROR(MID(VLOOKUP($B333,Seqs!$A:$B,2,0),AE333,1),"")</f>
        <v>E</v>
      </c>
      <c r="AE333" s="3">
        <v>290</v>
      </c>
      <c r="AF333" s="3" t="str">
        <f>IFERROR(MID(VLOOKUP($B333,Seqs!$A:$B,2,0),AG333,1),"")</f>
        <v>C</v>
      </c>
      <c r="AG333" s="3">
        <v>294</v>
      </c>
      <c r="AH333" s="3" t="str">
        <f>IFERROR(MID(VLOOKUP($B333,Seqs!$A:$B,2,0),AI333,1),"")</f>
        <v>T</v>
      </c>
      <c r="AI333" s="3">
        <v>296</v>
      </c>
      <c r="AJ333" s="3" t="str">
        <f>IFERROR(MID(VLOOKUP($B333,Seqs!$A:$B,2,0),AK333,1),"")</f>
        <v>F</v>
      </c>
      <c r="AK333" s="3">
        <v>303</v>
      </c>
      <c r="AL333" s="3" t="str">
        <f>IFERROR(MID(VLOOKUP($B333,Seqs!$A:$B,2,0),AM333,1),"")</f>
        <v>A</v>
      </c>
      <c r="AM333" s="3">
        <v>335</v>
      </c>
      <c r="AN333" s="3" t="str">
        <f>IFERROR(MID(VLOOKUP($B333,Seqs!$A:$B,2,0),AO333,1),"")</f>
        <v>D</v>
      </c>
      <c r="AO333" s="3">
        <v>342</v>
      </c>
      <c r="AP333" s="3" t="str">
        <f>IFERROR(MID(VLOOKUP($B333,Seqs!$A:$B,2,0),AQ333,1),"")</f>
        <v>T</v>
      </c>
      <c r="AQ333" s="3">
        <v>369</v>
      </c>
      <c r="AR333" s="3" t="str">
        <f>IFERROR(MID(VLOOKUP($B333,Seqs!$A:$B,2,0),AS333,1),"")</f>
        <v>G</v>
      </c>
      <c r="AS333" s="3">
        <v>375</v>
      </c>
      <c r="AT333" s="3" t="str">
        <f>IFERROR(MID(VLOOKUP($B333,Seqs!$A:$B,2,0),AU333,1),"")</f>
        <v>L</v>
      </c>
      <c r="AU333" s="3">
        <v>403</v>
      </c>
      <c r="AV333" s="3" t="str">
        <f>IFERROR(MID(VLOOKUP($B333,Seqs!$A:$B,2,0),AW333,1),"")</f>
        <v>N</v>
      </c>
      <c r="AW333" s="3">
        <v>404</v>
      </c>
      <c r="AX333" s="3" t="str">
        <f>IFERROR(MID(VLOOKUP($B333,Seqs!$A:$B,2,0),AY333,1),"")</f>
        <v>E</v>
      </c>
      <c r="AY333" s="3">
        <v>426</v>
      </c>
      <c r="AZ333" s="77" t="str">
        <f>VLOOKUP(B333,Classification!A:D,2,0)</f>
        <v>B1</v>
      </c>
      <c r="BA333" s="94" t="str">
        <f>VLOOKUP(B333,Classification!A:D,4,0)</f>
        <v>Glucagonreceptorfamily</v>
      </c>
      <c r="BB333" s="27" t="b">
        <f t="shared" si="1929"/>
        <v>1</v>
      </c>
      <c r="BC333" s="23">
        <f t="shared" si="1930"/>
        <v>262</v>
      </c>
      <c r="BD333" s="4" t="s">
        <v>23</v>
      </c>
      <c r="BE333" s="3" t="s">
        <v>1375</v>
      </c>
      <c r="BF333" s="119">
        <v>3</v>
      </c>
      <c r="BG333" s="49" t="s">
        <v>1423</v>
      </c>
      <c r="BH333" s="49" t="s">
        <v>1423</v>
      </c>
      <c r="BI333" s="1"/>
      <c r="BJ333" s="70" t="s">
        <v>1288</v>
      </c>
      <c r="BK333" s="57" t="s">
        <v>1288</v>
      </c>
      <c r="BL333" s="57" t="s">
        <v>1288</v>
      </c>
      <c r="BM333" s="57" t="s">
        <v>1288</v>
      </c>
      <c r="BN333" s="57" t="s">
        <v>1288</v>
      </c>
      <c r="BO333" s="57" t="s">
        <v>1288</v>
      </c>
      <c r="BP333" s="57" t="s">
        <v>1288</v>
      </c>
      <c r="BQ333" s="57" t="s">
        <v>1288</v>
      </c>
      <c r="BR333" s="57" t="s">
        <v>1288</v>
      </c>
      <c r="BS333" s="57" t="s">
        <v>1288</v>
      </c>
      <c r="BT333" s="57" t="s">
        <v>1288</v>
      </c>
      <c r="BU333" s="57" t="s">
        <v>1288</v>
      </c>
      <c r="BV333" s="70">
        <f t="shared" si="1931"/>
        <v>124</v>
      </c>
      <c r="BW333" s="71">
        <f t="shared" si="1932"/>
        <v>167</v>
      </c>
      <c r="BX333" s="72">
        <f t="shared" si="1933"/>
        <v>171</v>
      </c>
      <c r="BY333" s="71" t="str">
        <f t="shared" si="1934"/>
        <v>-</v>
      </c>
      <c r="BZ333" s="72">
        <f t="shared" si="1935"/>
        <v>220</v>
      </c>
      <c r="CA333" s="71" t="str">
        <f t="shared" si="1936"/>
        <v>-</v>
      </c>
      <c r="CB333" s="72">
        <f t="shared" si="1937"/>
        <v>263</v>
      </c>
      <c r="CC333" s="71">
        <f t="shared" si="1938"/>
        <v>294</v>
      </c>
      <c r="CD333" s="72">
        <f t="shared" si="1939"/>
        <v>303</v>
      </c>
      <c r="CE333" s="71">
        <f t="shared" si="1940"/>
        <v>342</v>
      </c>
      <c r="CF333" s="72">
        <f t="shared" si="1941"/>
        <v>375</v>
      </c>
      <c r="CG333" s="71">
        <f t="shared" si="1942"/>
        <v>404</v>
      </c>
      <c r="CH333" s="70">
        <f t="shared" si="1943"/>
        <v>166</v>
      </c>
      <c r="CI333" s="71">
        <f t="shared" si="1944"/>
        <v>170</v>
      </c>
      <c r="CJ333" s="72">
        <f t="shared" si="1945"/>
        <v>203</v>
      </c>
      <c r="CK333" s="72" t="str">
        <f t="shared" si="1946"/>
        <v>-</v>
      </c>
      <c r="CL333" s="72">
        <f t="shared" si="1947"/>
        <v>255</v>
      </c>
      <c r="CM333" s="72" t="str">
        <f t="shared" si="1948"/>
        <v>-</v>
      </c>
      <c r="CN333" s="72">
        <f t="shared" si="1949"/>
        <v>290</v>
      </c>
      <c r="CO333" s="72">
        <f t="shared" si="1950"/>
        <v>296</v>
      </c>
      <c r="CP333" s="72">
        <f t="shared" si="1951"/>
        <v>335</v>
      </c>
      <c r="CQ333" s="72">
        <f t="shared" si="1952"/>
        <v>369</v>
      </c>
      <c r="CR333" s="72">
        <f t="shared" si="1953"/>
        <v>403</v>
      </c>
      <c r="CS333" s="72">
        <f t="shared" si="1954"/>
        <v>426</v>
      </c>
      <c r="CT333" s="23">
        <f t="shared" si="1955"/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1928"/>
        <v>glp1r_human__wt</v>
      </c>
      <c r="B334" s="3" t="s">
        <v>406</v>
      </c>
      <c r="C334" s="3" t="s">
        <v>100</v>
      </c>
      <c r="D334" s="3" t="str">
        <f>IFERROR(MID(VLOOKUP($B334,Seqs!$A:$B,2,0),E334,1),"")</f>
        <v>E</v>
      </c>
      <c r="E334" s="3">
        <v>138</v>
      </c>
      <c r="F334" s="3" t="str">
        <f>IFERROR(MID(VLOOKUP($B334,Seqs!$A:$B,2,0),G334,1),"")</f>
        <v>F</v>
      </c>
      <c r="G334" s="3">
        <v>169</v>
      </c>
      <c r="H334" s="3" t="str">
        <f>IFERROR(MID(VLOOKUP($B334,Seqs!$A:$B,2,0),I334,1),"")</f>
        <v>R</v>
      </c>
      <c r="I334" s="23">
        <v>170</v>
      </c>
      <c r="J334" s="3" t="str">
        <f>IFERROR(MID(VLOOKUP($B334,Seqs!$A:$B,2,0),K334,1),"")</f>
        <v>H</v>
      </c>
      <c r="K334" s="23">
        <v>173</v>
      </c>
      <c r="L334" s="3" t="str">
        <f>IFERROR(MID(VLOOKUP($B334,Seqs!$A:$B,2,0),M334,1),"")</f>
        <v>C</v>
      </c>
      <c r="M334" s="23">
        <v>174</v>
      </c>
      <c r="N334" s="3" t="str">
        <f>IFERROR(MID(VLOOKUP($B334,Seqs!$A:$B,2,0),O334,1),"")</f>
        <v>S</v>
      </c>
      <c r="O334" s="3">
        <v>206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L</v>
      </c>
      <c r="U334" s="3">
        <v>224</v>
      </c>
      <c r="V334" s="3" t="str">
        <f>IFERROR(MID(VLOOKUP($B334,Seqs!$A:$B,2,0),W334,1),"")</f>
        <v>F</v>
      </c>
      <c r="W334" s="3">
        <v>257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E</v>
      </c>
      <c r="AC334" s="3">
        <v>262</v>
      </c>
      <c r="AD334" s="3" t="str">
        <f>IFERROR(MID(VLOOKUP($B334,Seqs!$A:$B,2,0),AE334,1),"")</f>
        <v>E</v>
      </c>
      <c r="AE334" s="3">
        <v>292</v>
      </c>
      <c r="AF334" s="3" t="str">
        <f>IFERROR(MID(VLOOKUP($B334,Seqs!$A:$B,2,0),AG334,1),"")</f>
        <v>C</v>
      </c>
      <c r="AG334" s="3">
        <v>296</v>
      </c>
      <c r="AH334" s="3" t="str">
        <f>IFERROR(MID(VLOOKUP($B334,Seqs!$A:$B,2,0),AI334,1),"")</f>
        <v>T</v>
      </c>
      <c r="AI334" s="3">
        <v>298</v>
      </c>
      <c r="AJ334" s="3" t="str">
        <f>IFERROR(MID(VLOOKUP($B334,Seqs!$A:$B,2,0),AK334,1),"")</f>
        <v>N</v>
      </c>
      <c r="AK334" s="3">
        <v>302</v>
      </c>
      <c r="AL334" s="3" t="str">
        <f>IFERROR(MID(VLOOKUP($B334,Seqs!$A:$B,2,0),AM334,1),"")</f>
        <v>A</v>
      </c>
      <c r="AM334" s="3">
        <v>337</v>
      </c>
      <c r="AN334" s="3" t="str">
        <f>IFERROR(MID(VLOOKUP($B334,Seqs!$A:$B,2,0),AO334,1),"")</f>
        <v>D</v>
      </c>
      <c r="AO334" s="3">
        <v>344</v>
      </c>
      <c r="AP334" s="3" t="str">
        <f>IFERROR(MID(VLOOKUP($B334,Seqs!$A:$B,2,0),AQ334,1),"")</f>
        <v>F</v>
      </c>
      <c r="AQ334" s="3">
        <v>369</v>
      </c>
      <c r="AR334" s="3" t="str">
        <f>IFERROR(MID(VLOOKUP($B334,Seqs!$A:$B,2,0),AS334,1),"")</f>
        <v>G</v>
      </c>
      <c r="AS334" s="3">
        <v>377</v>
      </c>
      <c r="AT334" s="3" t="str">
        <f>IFERROR(MID(VLOOKUP($B334,Seqs!$A:$B,2,0),AU334,1),"")</f>
        <v>V</v>
      </c>
      <c r="AU334" s="3">
        <v>405</v>
      </c>
      <c r="AV334" s="3" t="str">
        <f>IFERROR(MID(VLOOKUP($B334,Seqs!$A:$B,2,0),AW334,1),"")</f>
        <v>N</v>
      </c>
      <c r="AW334" s="3">
        <v>406</v>
      </c>
      <c r="AX334" s="3" t="str">
        <f>IFERROR(MID(VLOOKUP($B334,Seqs!$A:$B,2,0),AY334,1),"")</f>
        <v>S</v>
      </c>
      <c r="AY334" s="3">
        <v>431</v>
      </c>
      <c r="AZ334" s="77" t="str">
        <f>VLOOKUP(B334,Classification!A:D,2,0)</f>
        <v>B1</v>
      </c>
      <c r="BA334" s="94" t="str">
        <f>VLOOKUP(B334,Classification!A:D,4,0)</f>
        <v>Glucagonreceptorfamily</v>
      </c>
      <c r="BB334" s="27" t="b">
        <f t="shared" si="1929"/>
        <v>1</v>
      </c>
      <c r="BC334" s="23">
        <f t="shared" si="1930"/>
        <v>256</v>
      </c>
      <c r="BD334" s="4" t="s">
        <v>23</v>
      </c>
      <c r="BE334" s="3" t="s">
        <v>23</v>
      </c>
      <c r="BF334" s="119" t="s">
        <v>23</v>
      </c>
      <c r="BG334" s="49" t="s">
        <v>1378</v>
      </c>
      <c r="BH334" s="49" t="s">
        <v>1378</v>
      </c>
      <c r="BI334" s="1"/>
      <c r="BJ334" s="70" t="s">
        <v>1288</v>
      </c>
      <c r="BK334" s="57" t="s">
        <v>1288</v>
      </c>
      <c r="BL334" s="57" t="s">
        <v>1288</v>
      </c>
      <c r="BM334" s="57" t="s">
        <v>1288</v>
      </c>
      <c r="BN334" s="57" t="s">
        <v>1288</v>
      </c>
      <c r="BO334" s="57" t="s">
        <v>1288</v>
      </c>
      <c r="BP334" s="57" t="s">
        <v>1288</v>
      </c>
      <c r="BQ334" s="57" t="s">
        <v>1288</v>
      </c>
      <c r="BR334" s="57" t="s">
        <v>1288</v>
      </c>
      <c r="BS334" s="57" t="s">
        <v>1288</v>
      </c>
      <c r="BT334" s="57" t="s">
        <v>1288</v>
      </c>
      <c r="BU334" s="57" t="s">
        <v>1288</v>
      </c>
      <c r="BV334" s="70">
        <f t="shared" si="1931"/>
        <v>138</v>
      </c>
      <c r="BW334" s="71">
        <f t="shared" si="1932"/>
        <v>170</v>
      </c>
      <c r="BX334" s="72">
        <f t="shared" si="1933"/>
        <v>174</v>
      </c>
      <c r="BY334" s="71" t="str">
        <f t="shared" si="1934"/>
        <v>-</v>
      </c>
      <c r="BZ334" s="72">
        <f t="shared" si="1935"/>
        <v>224</v>
      </c>
      <c r="CA334" s="71" t="str">
        <f t="shared" si="1936"/>
        <v>-</v>
      </c>
      <c r="CB334" s="72">
        <f t="shared" si="1937"/>
        <v>262</v>
      </c>
      <c r="CC334" s="71">
        <f t="shared" si="1938"/>
        <v>296</v>
      </c>
      <c r="CD334" s="72">
        <f t="shared" si="1939"/>
        <v>302</v>
      </c>
      <c r="CE334" s="71">
        <f t="shared" si="1940"/>
        <v>344</v>
      </c>
      <c r="CF334" s="72">
        <f t="shared" si="1941"/>
        <v>377</v>
      </c>
      <c r="CG334" s="71">
        <f t="shared" si="1942"/>
        <v>406</v>
      </c>
      <c r="CH334" s="70">
        <f t="shared" si="1943"/>
        <v>169</v>
      </c>
      <c r="CI334" s="71">
        <f t="shared" si="1944"/>
        <v>173</v>
      </c>
      <c r="CJ334" s="72">
        <f t="shared" si="1945"/>
        <v>206</v>
      </c>
      <c r="CK334" s="72" t="str">
        <f t="shared" si="1946"/>
        <v>-</v>
      </c>
      <c r="CL334" s="72">
        <f t="shared" si="1947"/>
        <v>257</v>
      </c>
      <c r="CM334" s="72" t="str">
        <f t="shared" si="1948"/>
        <v>-</v>
      </c>
      <c r="CN334" s="72">
        <f t="shared" si="1949"/>
        <v>292</v>
      </c>
      <c r="CO334" s="72">
        <f t="shared" si="1950"/>
        <v>298</v>
      </c>
      <c r="CP334" s="72">
        <f t="shared" si="1951"/>
        <v>337</v>
      </c>
      <c r="CQ334" s="72">
        <f t="shared" si="1952"/>
        <v>369</v>
      </c>
      <c r="CR334" s="72">
        <f t="shared" si="1953"/>
        <v>405</v>
      </c>
      <c r="CS334" s="72">
        <f t="shared" si="1954"/>
        <v>431</v>
      </c>
      <c r="CT334" s="23">
        <f t="shared" si="1955"/>
        <v>1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1928"/>
        <v>glp1r_human_5VEW</v>
      </c>
      <c r="B335" s="3" t="s">
        <v>406</v>
      </c>
      <c r="C335" s="3" t="s">
        <v>1408</v>
      </c>
      <c r="D335" s="3" t="str">
        <f>IFERROR(MID(VLOOKUP($B335,Seqs!$A:$B,2,0),E335,1),"")</f>
        <v>S</v>
      </c>
      <c r="E335" s="3">
        <v>136</v>
      </c>
      <c r="F335" s="3" t="str">
        <f>IFERROR(MID(VLOOKUP($B335,Seqs!$A:$B,2,0),G335,1),"")</f>
        <v>F</v>
      </c>
      <c r="G335" s="3">
        <v>169</v>
      </c>
      <c r="H335" s="3" t="str">
        <f>IFERROR(MID(VLOOKUP($B335,Seqs!$A:$B,2,0),I335,1),"")</f>
        <v>R</v>
      </c>
      <c r="I335" s="23">
        <v>170</v>
      </c>
      <c r="J335" s="3" t="str">
        <f>IFERROR(MID(VLOOKUP($B335,Seqs!$A:$B,2,0),K335,1),"")</f>
        <v>H</v>
      </c>
      <c r="K335" s="23">
        <v>173</v>
      </c>
      <c r="L335" s="3" t="str">
        <f>IFERROR(MID(VLOOKUP($B335,Seqs!$A:$B,2,0),M335,1),"")</f>
        <v>C</v>
      </c>
      <c r="M335" s="23">
        <v>174</v>
      </c>
      <c r="N335" s="3" t="str">
        <f>IFERROR(MID(VLOOKUP($B335,Seqs!$A:$B,2,0),O335,1),"")</f>
        <v>L</v>
      </c>
      <c r="O335" s="3">
        <v>201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L</v>
      </c>
      <c r="U335" s="3">
        <v>224</v>
      </c>
      <c r="V335" s="3" t="str">
        <f>IFERROR(MID(VLOOKUP($B335,Seqs!$A:$B,2,0),W335,1),"")</f>
        <v>F</v>
      </c>
      <c r="W335" s="3">
        <v>257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E</v>
      </c>
      <c r="AC335" s="3">
        <v>262</v>
      </c>
      <c r="AD335" s="3" t="str">
        <f>IFERROR(MID(VLOOKUP($B335,Seqs!$A:$B,2,0),AE335,1),"")</f>
        <v>E</v>
      </c>
      <c r="AE335" s="3">
        <v>292</v>
      </c>
      <c r="AF335" s="3" t="str">
        <f>IFERROR(MID(VLOOKUP($B335,Seqs!$A:$B,2,0),AG335,1),"")</f>
        <v>C</v>
      </c>
      <c r="AG335" s="3">
        <v>296</v>
      </c>
      <c r="AH335" s="3" t="str">
        <f>IFERROR(MID(VLOOKUP($B335,Seqs!$A:$B,2,0),AI335,1),"")</f>
        <v>T</v>
      </c>
      <c r="AI335" s="3">
        <v>298</v>
      </c>
      <c r="AJ335" s="3" t="str">
        <f>IFERROR(MID(VLOOKUP($B335,Seqs!$A:$B,2,0),AK335,1),"")</f>
        <v>Y</v>
      </c>
      <c r="AK335" s="3">
        <v>305</v>
      </c>
      <c r="AL335" s="3" t="str">
        <f>IFERROR(MID(VLOOKUP($B335,Seqs!$A:$B,2,0),AM335,1),"")</f>
        <v>A</v>
      </c>
      <c r="AM335" s="3">
        <v>337</v>
      </c>
      <c r="AN335" s="3" t="str">
        <f>IFERROR(MID(VLOOKUP($B335,Seqs!$A:$B,2,0),AO335,1),"")</f>
        <v>D</v>
      </c>
      <c r="AO335" s="3">
        <v>344</v>
      </c>
      <c r="AP335" s="3" t="str">
        <f>IFERROR(MID(VLOOKUP($B335,Seqs!$A:$B,2,0),AQ335,1),"")</f>
        <v>F</v>
      </c>
      <c r="AQ335" s="3">
        <v>367</v>
      </c>
      <c r="AR335" s="3" t="str">
        <f>IFERROR(MID(VLOOKUP($B335,Seqs!$A:$B,2,0),AS335,1),"")</f>
        <v>R</v>
      </c>
      <c r="AS335" s="3">
        <v>380</v>
      </c>
      <c r="AT335" s="3" t="str">
        <f>IFERROR(MID(VLOOKUP($B335,Seqs!$A:$B,2,0),AU335,1),"")</f>
        <v>V</v>
      </c>
      <c r="AU335" s="3">
        <v>405</v>
      </c>
      <c r="AV335" s="3" t="str">
        <f>IFERROR(MID(VLOOKUP($B335,Seqs!$A:$B,2,0),AW335,1),"")</f>
        <v>N</v>
      </c>
      <c r="AW335" s="3">
        <v>406</v>
      </c>
      <c r="AX335" s="3" t="str">
        <f>IFERROR(MID(VLOOKUP($B335,Seqs!$A:$B,2,0),AY335,1),"")</f>
        <v>L</v>
      </c>
      <c r="AY335" s="3">
        <v>422</v>
      </c>
      <c r="AZ335" s="77" t="str">
        <f>VLOOKUP(B335,Classification!A:D,2,0)</f>
        <v>B1</v>
      </c>
      <c r="BA335" s="94" t="str">
        <f>VLOOKUP(B335,Classification!A:D,4,0)</f>
        <v>Glucagonreceptorfamily</v>
      </c>
      <c r="BB335" s="27" t="b">
        <f t="shared" si="1929"/>
        <v>1</v>
      </c>
      <c r="BC335" s="23">
        <f t="shared" si="1930"/>
        <v>236</v>
      </c>
      <c r="BD335" s="4" t="s">
        <v>1377</v>
      </c>
      <c r="BE335" s="3" t="s">
        <v>1375</v>
      </c>
      <c r="BF335" s="119">
        <v>2.7</v>
      </c>
      <c r="BG335" s="49" t="s">
        <v>1282</v>
      </c>
      <c r="BH335" s="49" t="s">
        <v>1282</v>
      </c>
      <c r="BI335" s="1"/>
      <c r="BJ335" s="70" t="s">
        <v>1288</v>
      </c>
      <c r="BK335" s="57" t="s">
        <v>1288</v>
      </c>
      <c r="BL335" s="57" t="s">
        <v>1288</v>
      </c>
      <c r="BM335" s="57" t="s">
        <v>1288</v>
      </c>
      <c r="BN335" s="57" t="s">
        <v>1288</v>
      </c>
      <c r="BO335" s="57" t="s">
        <v>1288</v>
      </c>
      <c r="BP335" s="57" t="s">
        <v>1288</v>
      </c>
      <c r="BQ335" s="57" t="s">
        <v>1288</v>
      </c>
      <c r="BR335" s="57" t="s">
        <v>1288</v>
      </c>
      <c r="BS335" s="57" t="s">
        <v>1288</v>
      </c>
      <c r="BT335" s="57" t="s">
        <v>1288</v>
      </c>
      <c r="BU335" s="57" t="s">
        <v>1288</v>
      </c>
      <c r="BV335" s="70">
        <f t="shared" si="1931"/>
        <v>136</v>
      </c>
      <c r="BW335" s="71">
        <f t="shared" si="1932"/>
        <v>170</v>
      </c>
      <c r="BX335" s="72">
        <f t="shared" si="1933"/>
        <v>174</v>
      </c>
      <c r="BY335" s="71" t="str">
        <f t="shared" si="1934"/>
        <v>-</v>
      </c>
      <c r="BZ335" s="72">
        <f t="shared" si="1935"/>
        <v>224</v>
      </c>
      <c r="CA335" s="71" t="str">
        <f t="shared" si="1936"/>
        <v>-</v>
      </c>
      <c r="CB335" s="72">
        <f t="shared" si="1937"/>
        <v>262</v>
      </c>
      <c r="CC335" s="71">
        <f t="shared" si="1938"/>
        <v>296</v>
      </c>
      <c r="CD335" s="72">
        <f t="shared" si="1939"/>
        <v>305</v>
      </c>
      <c r="CE335" s="71">
        <f t="shared" si="1940"/>
        <v>344</v>
      </c>
      <c r="CF335" s="72">
        <f t="shared" si="1941"/>
        <v>380</v>
      </c>
      <c r="CG335" s="71">
        <f t="shared" si="1942"/>
        <v>406</v>
      </c>
      <c r="CH335" s="70">
        <f t="shared" si="1943"/>
        <v>169</v>
      </c>
      <c r="CI335" s="71">
        <f t="shared" si="1944"/>
        <v>173</v>
      </c>
      <c r="CJ335" s="72">
        <f t="shared" si="1945"/>
        <v>201</v>
      </c>
      <c r="CK335" s="72" t="str">
        <f t="shared" si="1946"/>
        <v>-</v>
      </c>
      <c r="CL335" s="72">
        <f t="shared" si="1947"/>
        <v>257</v>
      </c>
      <c r="CM335" s="72" t="str">
        <f t="shared" si="1948"/>
        <v>-</v>
      </c>
      <c r="CN335" s="72">
        <f t="shared" si="1949"/>
        <v>292</v>
      </c>
      <c r="CO335" s="72">
        <f t="shared" si="1950"/>
        <v>298</v>
      </c>
      <c r="CP335" s="72">
        <f t="shared" si="1951"/>
        <v>337</v>
      </c>
      <c r="CQ335" s="72">
        <f t="shared" si="1952"/>
        <v>367</v>
      </c>
      <c r="CR335" s="72">
        <f t="shared" si="1953"/>
        <v>405</v>
      </c>
      <c r="CS335" s="72">
        <f t="shared" si="1954"/>
        <v>422</v>
      </c>
      <c r="CT335" s="23">
        <f t="shared" si="1955"/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1928"/>
        <v>glp1r_human_5VEX</v>
      </c>
      <c r="B336" s="3" t="s">
        <v>406</v>
      </c>
      <c r="C336" s="3" t="s">
        <v>1407</v>
      </c>
      <c r="D336" s="3" t="str">
        <f>IFERROR(MID(VLOOKUP($B336,Seqs!$A:$B,2,0),E336,1),"")</f>
        <v>S</v>
      </c>
      <c r="E336" s="3">
        <v>136</v>
      </c>
      <c r="F336" s="3" t="str">
        <f>IFERROR(MID(VLOOKUP($B336,Seqs!$A:$B,2,0),G336,1),"")</f>
        <v>F</v>
      </c>
      <c r="G336" s="3">
        <v>169</v>
      </c>
      <c r="H336" s="3" t="str">
        <f>IFERROR(MID(VLOOKUP($B336,Seqs!$A:$B,2,0),I336,1),"")</f>
        <v>R</v>
      </c>
      <c r="I336" s="23">
        <v>170</v>
      </c>
      <c r="J336" s="3" t="str">
        <f>IFERROR(MID(VLOOKUP($B336,Seqs!$A:$B,2,0),K336,1),"")</f>
        <v>H</v>
      </c>
      <c r="K336" s="23">
        <v>173</v>
      </c>
      <c r="L336" s="3" t="str">
        <f>IFERROR(MID(VLOOKUP($B336,Seqs!$A:$B,2,0),M336,1),"")</f>
        <v>C</v>
      </c>
      <c r="M336" s="23">
        <v>174</v>
      </c>
      <c r="N336" s="3" t="str">
        <f>IFERROR(MID(VLOOKUP($B336,Seqs!$A:$B,2,0),O336,1),"")</f>
        <v>L</v>
      </c>
      <c r="O336" s="3">
        <v>201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L</v>
      </c>
      <c r="U336" s="3">
        <v>224</v>
      </c>
      <c r="V336" s="3" t="str">
        <f>IFERROR(MID(VLOOKUP($B336,Seqs!$A:$B,2,0),W336,1),"")</f>
        <v>F</v>
      </c>
      <c r="W336" s="3">
        <v>257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E</v>
      </c>
      <c r="AC336" s="3">
        <v>262</v>
      </c>
      <c r="AD336" s="3" t="str">
        <f>IFERROR(MID(VLOOKUP($B336,Seqs!$A:$B,2,0),AE336,1),"")</f>
        <v>E</v>
      </c>
      <c r="AE336" s="3">
        <v>292</v>
      </c>
      <c r="AF336" s="3" t="str">
        <f>IFERROR(MID(VLOOKUP($B336,Seqs!$A:$B,2,0),AG336,1),"")</f>
        <v>C</v>
      </c>
      <c r="AG336" s="3">
        <v>296</v>
      </c>
      <c r="AH336" s="3" t="str">
        <f>IFERROR(MID(VLOOKUP($B336,Seqs!$A:$B,2,0),AI336,1),"")</f>
        <v>T</v>
      </c>
      <c r="AI336" s="3">
        <v>298</v>
      </c>
      <c r="AJ336" s="3" t="str">
        <f>IFERROR(MID(VLOOKUP($B336,Seqs!$A:$B,2,0),AK336,1),"")</f>
        <v>Y</v>
      </c>
      <c r="AK336" s="3">
        <v>305</v>
      </c>
      <c r="AL336" s="3" t="str">
        <f>IFERROR(MID(VLOOKUP($B336,Seqs!$A:$B,2,0),AM336,1),"")</f>
        <v>A</v>
      </c>
      <c r="AM336" s="3">
        <v>337</v>
      </c>
      <c r="AN336" s="3" t="str">
        <f>IFERROR(MID(VLOOKUP($B336,Seqs!$A:$B,2,0),AO336,1),"")</f>
        <v>D</v>
      </c>
      <c r="AO336" s="3">
        <v>344</v>
      </c>
      <c r="AP336" s="3" t="str">
        <f>IFERROR(MID(VLOOKUP($B336,Seqs!$A:$B,2,0),AQ336,1),"")</f>
        <v>F</v>
      </c>
      <c r="AQ336" s="3">
        <v>367</v>
      </c>
      <c r="AR336" s="3" t="str">
        <f>IFERROR(MID(VLOOKUP($B336,Seqs!$A:$B,2,0),AS336,1),"")</f>
        <v>R</v>
      </c>
      <c r="AS336" s="3">
        <v>380</v>
      </c>
      <c r="AT336" s="3" t="str">
        <f>IFERROR(MID(VLOOKUP($B336,Seqs!$A:$B,2,0),AU336,1),"")</f>
        <v>V</v>
      </c>
      <c r="AU336" s="3">
        <v>405</v>
      </c>
      <c r="AV336" s="3" t="str">
        <f>IFERROR(MID(VLOOKUP($B336,Seqs!$A:$B,2,0),AW336,1),"")</f>
        <v>N</v>
      </c>
      <c r="AW336" s="3">
        <v>406</v>
      </c>
      <c r="AX336" s="3" t="str">
        <f>IFERROR(MID(VLOOKUP($B336,Seqs!$A:$B,2,0),AY336,1),"")</f>
        <v>L</v>
      </c>
      <c r="AY336" s="3">
        <v>422</v>
      </c>
      <c r="AZ336" s="77" t="str">
        <f>VLOOKUP(B336,Classification!A:D,2,0)</f>
        <v>B1</v>
      </c>
      <c r="BA336" s="94" t="str">
        <f>VLOOKUP(B336,Classification!A:D,4,0)</f>
        <v>Glucagonreceptorfamily</v>
      </c>
      <c r="BB336" s="27" t="b">
        <f t="shared" si="1929"/>
        <v>1</v>
      </c>
      <c r="BC336" s="23">
        <f t="shared" si="1930"/>
        <v>236</v>
      </c>
      <c r="BD336" s="4" t="s">
        <v>23</v>
      </c>
      <c r="BE336" s="3" t="s">
        <v>1375</v>
      </c>
      <c r="BF336" s="119">
        <v>3</v>
      </c>
      <c r="BG336" s="49" t="s">
        <v>1</v>
      </c>
      <c r="BH336" s="49" t="s">
        <v>1</v>
      </c>
      <c r="BI336" s="1"/>
      <c r="BJ336" s="70" t="s">
        <v>1288</v>
      </c>
      <c r="BK336" s="57" t="s">
        <v>1288</v>
      </c>
      <c r="BL336" s="57" t="s">
        <v>1288</v>
      </c>
      <c r="BM336" s="57" t="s">
        <v>1288</v>
      </c>
      <c r="BN336" s="57" t="s">
        <v>1288</v>
      </c>
      <c r="BO336" s="57" t="s">
        <v>1288</v>
      </c>
      <c r="BP336" s="57" t="s">
        <v>1288</v>
      </c>
      <c r="BQ336" s="57" t="s">
        <v>1288</v>
      </c>
      <c r="BR336" s="57" t="s">
        <v>1288</v>
      </c>
      <c r="BS336" s="57" t="s">
        <v>1288</v>
      </c>
      <c r="BT336" s="57" t="s">
        <v>1288</v>
      </c>
      <c r="BU336" s="57" t="s">
        <v>1288</v>
      </c>
      <c r="BV336" s="70">
        <f t="shared" si="1931"/>
        <v>136</v>
      </c>
      <c r="BW336" s="71">
        <f t="shared" si="1932"/>
        <v>170</v>
      </c>
      <c r="BX336" s="72">
        <f t="shared" si="1933"/>
        <v>174</v>
      </c>
      <c r="BY336" s="71" t="str">
        <f t="shared" si="1934"/>
        <v>-</v>
      </c>
      <c r="BZ336" s="72">
        <f t="shared" si="1935"/>
        <v>224</v>
      </c>
      <c r="CA336" s="71" t="str">
        <f t="shared" si="1936"/>
        <v>-</v>
      </c>
      <c r="CB336" s="72">
        <f t="shared" si="1937"/>
        <v>262</v>
      </c>
      <c r="CC336" s="71">
        <f t="shared" si="1938"/>
        <v>296</v>
      </c>
      <c r="CD336" s="72">
        <f t="shared" si="1939"/>
        <v>305</v>
      </c>
      <c r="CE336" s="71">
        <f t="shared" si="1940"/>
        <v>344</v>
      </c>
      <c r="CF336" s="72">
        <f t="shared" si="1941"/>
        <v>380</v>
      </c>
      <c r="CG336" s="71">
        <f t="shared" si="1942"/>
        <v>406</v>
      </c>
      <c r="CH336" s="70">
        <f t="shared" si="1943"/>
        <v>169</v>
      </c>
      <c r="CI336" s="71">
        <f t="shared" si="1944"/>
        <v>173</v>
      </c>
      <c r="CJ336" s="72">
        <f t="shared" si="1945"/>
        <v>201</v>
      </c>
      <c r="CK336" s="72" t="str">
        <f t="shared" si="1946"/>
        <v>-</v>
      </c>
      <c r="CL336" s="72">
        <f t="shared" si="1947"/>
        <v>257</v>
      </c>
      <c r="CM336" s="72" t="str">
        <f t="shared" si="1948"/>
        <v>-</v>
      </c>
      <c r="CN336" s="72">
        <f t="shared" si="1949"/>
        <v>292</v>
      </c>
      <c r="CO336" s="72">
        <f t="shared" si="1950"/>
        <v>298</v>
      </c>
      <c r="CP336" s="72">
        <f t="shared" si="1951"/>
        <v>337</v>
      </c>
      <c r="CQ336" s="72">
        <f t="shared" si="1952"/>
        <v>367</v>
      </c>
      <c r="CR336" s="72">
        <f t="shared" si="1953"/>
        <v>405</v>
      </c>
      <c r="CS336" s="72">
        <f t="shared" si="1954"/>
        <v>422</v>
      </c>
      <c r="CT336" s="23">
        <f t="shared" si="1955"/>
        <v>1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30" x14ac:dyDescent="0.2">
      <c r="A337" s="3" t="str">
        <f t="shared" si="1928"/>
        <v>glp1r_human_5NX2</v>
      </c>
      <c r="B337" s="3" t="s">
        <v>406</v>
      </c>
      <c r="C337" s="3" t="s">
        <v>1419</v>
      </c>
      <c r="D337" s="3" t="str">
        <f>IFERROR(MID(VLOOKUP($B337,Seqs!$A:$B,2,0),E337,1),"")</f>
        <v>E</v>
      </c>
      <c r="E337" s="3">
        <v>138</v>
      </c>
      <c r="F337" s="3" t="str">
        <f>IFERROR(MID(VLOOKUP($B337,Seqs!$A:$B,2,0),G337,1),"")</f>
        <v>F</v>
      </c>
      <c r="G337" s="3">
        <v>169</v>
      </c>
      <c r="H337" s="3" t="str">
        <f>IFERROR(MID(VLOOKUP($B337,Seqs!$A:$B,2,0),I337,1),"")</f>
        <v>R</v>
      </c>
      <c r="I337" s="23">
        <v>170</v>
      </c>
      <c r="J337" s="3" t="str">
        <f>IFERROR(MID(VLOOKUP($B337,Seqs!$A:$B,2,0),K337,1),"")</f>
        <v>H</v>
      </c>
      <c r="K337" s="23">
        <v>173</v>
      </c>
      <c r="L337" s="3" t="str">
        <f>IFERROR(MID(VLOOKUP($B337,Seqs!$A:$B,2,0),M337,1),"")</f>
        <v>C</v>
      </c>
      <c r="M337" s="23">
        <v>174</v>
      </c>
      <c r="N337" s="3" t="str">
        <f>IFERROR(MID(VLOOKUP($B337,Seqs!$A:$B,2,0),O337,1),"")</f>
        <v>S</v>
      </c>
      <c r="O337" s="3">
        <v>206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L</v>
      </c>
      <c r="U337" s="3">
        <v>224</v>
      </c>
      <c r="V337" s="3" t="str">
        <f>IFERROR(MID(VLOOKUP($B337,Seqs!$A:$B,2,0),W337,1),"")</f>
        <v>F</v>
      </c>
      <c r="W337" s="3">
        <v>257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E</v>
      </c>
      <c r="AC337" s="3">
        <v>262</v>
      </c>
      <c r="AD337" s="3" t="str">
        <f>IFERROR(MID(VLOOKUP($B337,Seqs!$A:$B,2,0),AE337,1),"")</f>
        <v>Y</v>
      </c>
      <c r="AE337" s="3">
        <v>291</v>
      </c>
      <c r="AF337" s="3" t="str">
        <f>IFERROR(MID(VLOOKUP($B337,Seqs!$A:$B,2,0),AG337,1),"")</f>
        <v>C</v>
      </c>
      <c r="AG337" s="3">
        <v>296</v>
      </c>
      <c r="AH337" s="3" t="str">
        <f>IFERROR(MID(VLOOKUP($B337,Seqs!$A:$B,2,0),AI337,1),"")</f>
        <v>T</v>
      </c>
      <c r="AI337" s="3">
        <v>298</v>
      </c>
      <c r="AJ337" s="3" t="str">
        <f>IFERROR(MID(VLOOKUP($B337,Seqs!$A:$B,2,0),AK337,1),"")</f>
        <v>N</v>
      </c>
      <c r="AK337" s="3">
        <v>302</v>
      </c>
      <c r="AL337" s="3" t="str">
        <f>IFERROR(MID(VLOOKUP($B337,Seqs!$A:$B,2,0),AM337,1),"")</f>
        <v>L</v>
      </c>
      <c r="AM337" s="3">
        <v>335</v>
      </c>
      <c r="AN337" s="3" t="str">
        <f>IFERROR(MID(VLOOKUP($B337,Seqs!$A:$B,2,0),AO337,1),"")</f>
        <v>M</v>
      </c>
      <c r="AO337" s="3">
        <v>340</v>
      </c>
      <c r="AP337" s="3" t="str">
        <f>IFERROR(MID(VLOOKUP($B337,Seqs!$A:$B,2,0),AQ337,1),"")</f>
        <v>F</v>
      </c>
      <c r="AQ337" s="3">
        <v>369</v>
      </c>
      <c r="AR337" s="3" t="str">
        <f>IFERROR(MID(VLOOKUP($B337,Seqs!$A:$B,2,0),AS337,1),"")</f>
        <v>G</v>
      </c>
      <c r="AS337" s="3">
        <v>377</v>
      </c>
      <c r="AT337" s="3" t="str">
        <f>IFERROR(MID(VLOOKUP($B337,Seqs!$A:$B,2,0),AU337,1),"")</f>
        <v>V</v>
      </c>
      <c r="AU337" s="3">
        <v>405</v>
      </c>
      <c r="AV337" s="3" t="str">
        <f>IFERROR(MID(VLOOKUP($B337,Seqs!$A:$B,2,0),AW337,1),"")</f>
        <v>N</v>
      </c>
      <c r="AW337" s="3">
        <v>406</v>
      </c>
      <c r="AX337" s="3" t="str">
        <f>IFERROR(MID(VLOOKUP($B337,Seqs!$A:$B,2,0),AY337,1),"")</f>
        <v>S</v>
      </c>
      <c r="AY337" s="3">
        <v>416</v>
      </c>
      <c r="AZ337" s="77" t="str">
        <f>VLOOKUP(B337,Classification!A:D,2,0)</f>
        <v>B1</v>
      </c>
      <c r="BA337" s="94" t="str">
        <f>VLOOKUP(B337,Classification!A:D,4,0)</f>
        <v>Glucagonreceptorfamily</v>
      </c>
      <c r="BB337" s="27" t="b">
        <f t="shared" si="1929"/>
        <v>1</v>
      </c>
      <c r="BC337" s="23">
        <f t="shared" si="1930"/>
        <v>242</v>
      </c>
      <c r="BD337" s="4" t="s">
        <v>1430</v>
      </c>
      <c r="BE337" s="3" t="s">
        <v>1429</v>
      </c>
      <c r="BF337" s="119">
        <v>3.7</v>
      </c>
      <c r="BG337" s="49" t="s">
        <v>1</v>
      </c>
      <c r="BH337" s="49" t="s">
        <v>1</v>
      </c>
      <c r="BI337" s="1"/>
      <c r="BJ337" s="70" t="s">
        <v>1288</v>
      </c>
      <c r="BK337" s="57" t="s">
        <v>1288</v>
      </c>
      <c r="BL337" s="57" t="s">
        <v>1288</v>
      </c>
      <c r="BM337" s="57" t="s">
        <v>1288</v>
      </c>
      <c r="BN337" s="57" t="s">
        <v>1288</v>
      </c>
      <c r="BO337" s="57" t="s">
        <v>1288</v>
      </c>
      <c r="BP337" s="57" t="s">
        <v>1288</v>
      </c>
      <c r="BQ337" s="57" t="s">
        <v>1288</v>
      </c>
      <c r="BR337" s="57" t="s">
        <v>1288</v>
      </c>
      <c r="BS337" s="57" t="s">
        <v>1288</v>
      </c>
      <c r="BT337" s="57" t="s">
        <v>1288</v>
      </c>
      <c r="BU337" s="57" t="s">
        <v>1288</v>
      </c>
      <c r="BV337" s="70">
        <f t="shared" si="1931"/>
        <v>138</v>
      </c>
      <c r="BW337" s="71">
        <f t="shared" si="1932"/>
        <v>170</v>
      </c>
      <c r="BX337" s="72">
        <f t="shared" si="1933"/>
        <v>174</v>
      </c>
      <c r="BY337" s="71" t="str">
        <f t="shared" si="1934"/>
        <v>-</v>
      </c>
      <c r="BZ337" s="72">
        <f t="shared" si="1935"/>
        <v>224</v>
      </c>
      <c r="CA337" s="71" t="str">
        <f t="shared" si="1936"/>
        <v>-</v>
      </c>
      <c r="CB337" s="72">
        <f t="shared" si="1937"/>
        <v>262</v>
      </c>
      <c r="CC337" s="71">
        <f t="shared" si="1938"/>
        <v>296</v>
      </c>
      <c r="CD337" s="72">
        <f t="shared" si="1939"/>
        <v>302</v>
      </c>
      <c r="CE337" s="71">
        <f t="shared" si="1940"/>
        <v>340</v>
      </c>
      <c r="CF337" s="72">
        <f t="shared" si="1941"/>
        <v>377</v>
      </c>
      <c r="CG337" s="71">
        <f t="shared" si="1942"/>
        <v>406</v>
      </c>
      <c r="CH337" s="70">
        <f t="shared" si="1943"/>
        <v>169</v>
      </c>
      <c r="CI337" s="71">
        <f t="shared" si="1944"/>
        <v>173</v>
      </c>
      <c r="CJ337" s="72">
        <f t="shared" si="1945"/>
        <v>206</v>
      </c>
      <c r="CK337" s="72" t="str">
        <f t="shared" si="1946"/>
        <v>-</v>
      </c>
      <c r="CL337" s="72">
        <f t="shared" si="1947"/>
        <v>257</v>
      </c>
      <c r="CM337" s="72" t="str">
        <f t="shared" si="1948"/>
        <v>-</v>
      </c>
      <c r="CN337" s="72">
        <f t="shared" si="1949"/>
        <v>291</v>
      </c>
      <c r="CO337" s="72">
        <f t="shared" si="1950"/>
        <v>298</v>
      </c>
      <c r="CP337" s="72">
        <f t="shared" si="1951"/>
        <v>335</v>
      </c>
      <c r="CQ337" s="72">
        <f t="shared" si="1952"/>
        <v>369</v>
      </c>
      <c r="CR337" s="72">
        <f t="shared" si="1953"/>
        <v>405</v>
      </c>
      <c r="CS337" s="72">
        <f t="shared" si="1954"/>
        <v>416</v>
      </c>
      <c r="CT337" s="23">
        <f t="shared" si="1955"/>
        <v>1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30" x14ac:dyDescent="0.2">
      <c r="A338" s="3" t="str">
        <f t="shared" si="1928"/>
        <v>glp1r_human_6B3J</v>
      </c>
      <c r="B338" s="3" t="s">
        <v>406</v>
      </c>
      <c r="C338" s="3" t="s">
        <v>1474</v>
      </c>
      <c r="D338" s="3" t="str">
        <f>IFERROR(MID(VLOOKUP($B338,Seqs!$A:$B,2,0),E338,1),"")</f>
        <v>E</v>
      </c>
      <c r="E338" s="3">
        <v>138</v>
      </c>
      <c r="F338" s="3" t="str">
        <f>IFERROR(MID(VLOOKUP($B338,Seqs!$A:$B,2,0),G338,1),"")</f>
        <v>F</v>
      </c>
      <c r="G338" s="3">
        <v>169</v>
      </c>
      <c r="H338" s="3" t="str">
        <f>IFERROR(MID(VLOOKUP($B338,Seqs!$A:$B,2,0),I338,1),"")</f>
        <v/>
      </c>
      <c r="I338" s="23" t="s">
        <v>23</v>
      </c>
      <c r="J338" s="3" t="str">
        <f>IFERROR(MID(VLOOKUP($B338,Seqs!$A:$B,2,0),K338,1),"")</f>
        <v/>
      </c>
      <c r="K338" s="23" t="s">
        <v>23</v>
      </c>
      <c r="L338" s="3" t="str">
        <f>IFERROR(MID(VLOOKUP($B338,Seqs!$A:$B,2,0),M338,1),"")</f>
        <v>C</v>
      </c>
      <c r="M338" s="23">
        <v>174</v>
      </c>
      <c r="N338" s="3" t="str">
        <f>IFERROR(MID(VLOOKUP($B338,Seqs!$A:$B,2,0),O338,1),"")</f>
        <v>Y</v>
      </c>
      <c r="O338" s="3">
        <v>205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S</v>
      </c>
      <c r="U338" s="3">
        <v>225</v>
      </c>
      <c r="V338" s="3" t="str">
        <f>IFERROR(MID(VLOOKUP($B338,Seqs!$A:$B,2,0),W338,1),"")</f>
        <v>F</v>
      </c>
      <c r="W338" s="3">
        <v>257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S</v>
      </c>
      <c r="AC338" s="3">
        <v>261</v>
      </c>
      <c r="AD338" s="3" t="str">
        <f>IFERROR(MID(VLOOKUP($B338,Seqs!$A:$B,2,0),AE338,1),"")</f>
        <v>E</v>
      </c>
      <c r="AE338" s="3">
        <v>292</v>
      </c>
      <c r="AF338" s="3" t="str">
        <f>IFERROR(MID(VLOOKUP($B338,Seqs!$A:$B,2,0),AG338,1),"")</f>
        <v>C</v>
      </c>
      <c r="AG338" s="3">
        <v>296</v>
      </c>
      <c r="AH338" s="3" t="str">
        <f>IFERROR(MID(VLOOKUP($B338,Seqs!$A:$B,2,0),AI338,1),"")</f>
        <v>T</v>
      </c>
      <c r="AI338" s="3">
        <v>298</v>
      </c>
      <c r="AJ338" s="3" t="str">
        <f>IFERROR(MID(VLOOKUP($B338,Seqs!$A:$B,2,0),AK338,1),"")</f>
        <v>N</v>
      </c>
      <c r="AK338" s="3">
        <v>302</v>
      </c>
      <c r="AL338" s="3" t="str">
        <f>IFERROR(MID(VLOOKUP($B338,Seqs!$A:$B,2,0),AM338,1),"")</f>
        <v>A</v>
      </c>
      <c r="AM338" s="3">
        <v>337</v>
      </c>
      <c r="AN338" s="3" t="str">
        <f>IFERROR(MID(VLOOKUP($B338,Seqs!$A:$B,2,0),AO338,1),"")</f>
        <v>D</v>
      </c>
      <c r="AO338" s="3">
        <v>344</v>
      </c>
      <c r="AP338" s="3" t="str">
        <f>IFERROR(MID(VLOOKUP($B338,Seqs!$A:$B,2,0),AQ338,1),"")</f>
        <v>F</v>
      </c>
      <c r="AQ338" s="3">
        <v>369</v>
      </c>
      <c r="AR338" s="3" t="str">
        <f>IFERROR(MID(VLOOKUP($B338,Seqs!$A:$B,2,0),AS338,1),"")</f>
        <v>R</v>
      </c>
      <c r="AS338" s="3">
        <v>380</v>
      </c>
      <c r="AT338" s="3" t="str">
        <f>IFERROR(MID(VLOOKUP($B338,Seqs!$A:$B,2,0),AU338,1),"")</f>
        <v>V</v>
      </c>
      <c r="AU338" s="3">
        <v>405</v>
      </c>
      <c r="AV338" s="3" t="str">
        <f>IFERROR(MID(VLOOKUP($B338,Seqs!$A:$B,2,0),AW338,1),"")</f>
        <v>N</v>
      </c>
      <c r="AW338" s="3">
        <v>406</v>
      </c>
      <c r="AX338" s="3" t="str">
        <f>IFERROR(MID(VLOOKUP($B338,Seqs!$A:$B,2,0),AY338,1),"")</f>
        <v>E</v>
      </c>
      <c r="AY338" s="3">
        <v>423</v>
      </c>
      <c r="AZ338" s="77" t="str">
        <f>VLOOKUP(B338,Classification!A:D,2,0)</f>
        <v>B1</v>
      </c>
      <c r="BA338" s="94" t="str">
        <f>VLOOKUP(B338,Classification!A:D,4,0)</f>
        <v>Glucagonreceptorfamily</v>
      </c>
      <c r="BB338" s="27" t="b">
        <f t="shared" si="1929"/>
        <v>1</v>
      </c>
      <c r="BC338" s="23">
        <f t="shared" si="1930"/>
        <v>241</v>
      </c>
      <c r="BD338" s="4" t="s">
        <v>1376</v>
      </c>
      <c r="BE338" s="3" t="s">
        <v>1292</v>
      </c>
      <c r="BF338" s="119">
        <v>3.3</v>
      </c>
      <c r="BG338" s="49" t="s">
        <v>1423</v>
      </c>
      <c r="BH338" s="49" t="s">
        <v>1423</v>
      </c>
      <c r="BI338" s="1"/>
      <c r="BJ338" s="70" t="s">
        <v>1288</v>
      </c>
      <c r="BK338" s="57" t="s">
        <v>1288</v>
      </c>
      <c r="BL338" s="57" t="s">
        <v>1288</v>
      </c>
      <c r="BM338" s="57" t="s">
        <v>1288</v>
      </c>
      <c r="BN338" s="57" t="s">
        <v>1288</v>
      </c>
      <c r="BO338" s="57" t="s">
        <v>1288</v>
      </c>
      <c r="BP338" s="57" t="s">
        <v>1288</v>
      </c>
      <c r="BQ338" s="57" t="s">
        <v>1288</v>
      </c>
      <c r="BR338" s="57" t="s">
        <v>1288</v>
      </c>
      <c r="BS338" s="57" t="s">
        <v>1288</v>
      </c>
      <c r="BT338" s="57" t="s">
        <v>1288</v>
      </c>
      <c r="BU338" s="57" t="s">
        <v>1288</v>
      </c>
      <c r="BV338" s="70">
        <f t="shared" si="1931"/>
        <v>138</v>
      </c>
      <c r="BW338" s="71" t="str">
        <f t="shared" si="1932"/>
        <v>-</v>
      </c>
      <c r="BX338" s="72">
        <f t="shared" si="1933"/>
        <v>174</v>
      </c>
      <c r="BY338" s="71" t="str">
        <f t="shared" si="1934"/>
        <v>-</v>
      </c>
      <c r="BZ338" s="72">
        <f t="shared" si="1935"/>
        <v>225</v>
      </c>
      <c r="CA338" s="71" t="str">
        <f t="shared" si="1936"/>
        <v>-</v>
      </c>
      <c r="CB338" s="72">
        <f t="shared" si="1937"/>
        <v>261</v>
      </c>
      <c r="CC338" s="71">
        <f t="shared" si="1938"/>
        <v>296</v>
      </c>
      <c r="CD338" s="72">
        <f t="shared" si="1939"/>
        <v>302</v>
      </c>
      <c r="CE338" s="71">
        <f t="shared" si="1940"/>
        <v>344</v>
      </c>
      <c r="CF338" s="72">
        <f t="shared" si="1941"/>
        <v>380</v>
      </c>
      <c r="CG338" s="71">
        <f t="shared" si="1942"/>
        <v>406</v>
      </c>
      <c r="CH338" s="70">
        <f t="shared" si="1943"/>
        <v>169</v>
      </c>
      <c r="CI338" s="71" t="str">
        <f t="shared" si="1944"/>
        <v>-</v>
      </c>
      <c r="CJ338" s="72">
        <f t="shared" si="1945"/>
        <v>205</v>
      </c>
      <c r="CK338" s="72" t="str">
        <f t="shared" si="1946"/>
        <v>-</v>
      </c>
      <c r="CL338" s="72">
        <f t="shared" si="1947"/>
        <v>257</v>
      </c>
      <c r="CM338" s="72" t="str">
        <f t="shared" si="1948"/>
        <v>-</v>
      </c>
      <c r="CN338" s="72">
        <f t="shared" si="1949"/>
        <v>292</v>
      </c>
      <c r="CO338" s="72">
        <f t="shared" si="1950"/>
        <v>298</v>
      </c>
      <c r="CP338" s="72">
        <f t="shared" si="1951"/>
        <v>337</v>
      </c>
      <c r="CQ338" s="72">
        <f t="shared" si="1952"/>
        <v>369</v>
      </c>
      <c r="CR338" s="72">
        <f t="shared" si="1953"/>
        <v>405</v>
      </c>
      <c r="CS338" s="72">
        <f t="shared" si="1954"/>
        <v>423</v>
      </c>
      <c r="CT338" s="23" t="e">
        <f t="shared" si="1955"/>
        <v>#VALUE!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30" x14ac:dyDescent="0.2">
      <c r="A339" s="3" t="str">
        <f t="shared" si="1928"/>
        <v>g1sgd4_rabit__wt</v>
      </c>
      <c r="B339" s="3" t="s">
        <v>1421</v>
      </c>
      <c r="C339" s="3" t="s">
        <v>100</v>
      </c>
      <c r="D339" s="3" t="str">
        <f>IFERROR(MID(VLOOKUP($B339,Seqs!$A:$B,2,0),E339,1),"")</f>
        <v>P</v>
      </c>
      <c r="E339" s="3">
        <v>137</v>
      </c>
      <c r="F339" s="3" t="str">
        <f>IFERROR(MID(VLOOKUP($B339,Seqs!$A:$B,2,0),G339,1),"")</f>
        <v>F</v>
      </c>
      <c r="G339" s="3">
        <v>169</v>
      </c>
      <c r="H339" s="3" t="str">
        <f>IFERROR(MID(VLOOKUP($B339,Seqs!$A:$B,2,0),I339,1),"")</f>
        <v>R</v>
      </c>
      <c r="I339" s="23">
        <v>170</v>
      </c>
      <c r="J339" s="3" t="str">
        <f>IFERROR(MID(VLOOKUP($B339,Seqs!$A:$B,2,0),K339,1),"")</f>
        <v>H</v>
      </c>
      <c r="K339" s="23">
        <v>173</v>
      </c>
      <c r="L339" s="3" t="str">
        <f>IFERROR(MID(VLOOKUP($B339,Seqs!$A:$B,2,0),M339,1),"")</f>
        <v>C</v>
      </c>
      <c r="M339" s="23">
        <v>174</v>
      </c>
      <c r="N339" s="3" t="str">
        <f>IFERROR(MID(VLOOKUP($B339,Seqs!$A:$B,2,0),O339,1),"")</f>
        <v>Q</v>
      </c>
      <c r="O339" s="3">
        <v>211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L</v>
      </c>
      <c r="U339" s="3">
        <v>224</v>
      </c>
      <c r="V339" s="3" t="str">
        <f>IFERROR(MID(VLOOKUP($B339,Seqs!$A:$B,2,0),W339,1),"")</f>
        <v>F</v>
      </c>
      <c r="W339" s="3">
        <v>257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S</v>
      </c>
      <c r="AC339" s="3">
        <v>261</v>
      </c>
      <c r="AD339" s="3" t="str">
        <f>IFERROR(MID(VLOOKUP($B339,Seqs!$A:$B,2,0),AE339,1),"")</f>
        <v>E</v>
      </c>
      <c r="AE339" s="3">
        <v>292</v>
      </c>
      <c r="AF339" s="3" t="str">
        <f>IFERROR(MID(VLOOKUP($B339,Seqs!$A:$B,2,0),AG339,1),"")</f>
        <v>C</v>
      </c>
      <c r="AG339" s="3">
        <v>296</v>
      </c>
      <c r="AH339" s="3" t="str">
        <f>IFERROR(MID(VLOOKUP($B339,Seqs!$A:$B,2,0),AI339,1),"")</f>
        <v>T</v>
      </c>
      <c r="AI339" s="3">
        <v>298</v>
      </c>
      <c r="AJ339" s="3" t="str">
        <f>IFERROR(MID(VLOOKUP($B339,Seqs!$A:$B,2,0),AK339,1),"")</f>
        <v>Y</v>
      </c>
      <c r="AK339" s="3">
        <v>305</v>
      </c>
      <c r="AL339" s="3" t="str">
        <f>IFERROR(MID(VLOOKUP($B339,Seqs!$A:$B,2,0),AM339,1),"")</f>
        <v>A</v>
      </c>
      <c r="AM339" s="3">
        <v>337</v>
      </c>
      <c r="AN339" s="3" t="str">
        <f>IFERROR(MID(VLOOKUP($B339,Seqs!$A:$B,2,0),AO339,1),"")</f>
        <v>K</v>
      </c>
      <c r="AO339" s="3">
        <v>346</v>
      </c>
      <c r="AP339" s="3" t="str">
        <f>IFERROR(MID(VLOOKUP($B339,Seqs!$A:$B,2,0),AQ339,1),"")</f>
        <v>F</v>
      </c>
      <c r="AQ339" s="3">
        <v>369</v>
      </c>
      <c r="AR339" s="3" t="str">
        <f>IFERROR(MID(VLOOKUP($B339,Seqs!$A:$B,2,0),AS339,1),"")</f>
        <v>L</v>
      </c>
      <c r="AS339" s="3">
        <v>379</v>
      </c>
      <c r="AT339" s="3" t="str">
        <f>IFERROR(MID(VLOOKUP($B339,Seqs!$A:$B,2,0),AU339,1),"")</f>
        <v>V</v>
      </c>
      <c r="AU339" s="3">
        <v>405</v>
      </c>
      <c r="AV339" s="3" t="str">
        <f>IFERROR(MID(VLOOKUP($B339,Seqs!$A:$B,2,0),AW339,1),"")</f>
        <v>N</v>
      </c>
      <c r="AW339" s="3">
        <v>406</v>
      </c>
      <c r="AX339" s="3" t="str">
        <f>IFERROR(MID(VLOOKUP($B339,Seqs!$A:$B,2,0),AY339,1),"")</f>
        <v>S</v>
      </c>
      <c r="AY339" s="3">
        <v>431</v>
      </c>
      <c r="AZ339" s="77" t="str">
        <f>VLOOKUP(B339,Classification!A:D,2,0)</f>
        <v>B1</v>
      </c>
      <c r="BA339" s="94" t="str">
        <f>VLOOKUP(B339,Classification!A:D,4,0)</f>
        <v>Glucagonreceptorfamily</v>
      </c>
      <c r="BB339" s="27" t="b">
        <f t="shared" si="1929"/>
        <v>1</v>
      </c>
      <c r="BC339" s="23">
        <f t="shared" si="1930"/>
        <v>256</v>
      </c>
      <c r="BD339" s="4" t="s">
        <v>23</v>
      </c>
      <c r="BE339" s="3" t="s">
        <v>23</v>
      </c>
      <c r="BF339" s="119" t="s">
        <v>23</v>
      </c>
      <c r="BI339" s="1"/>
      <c r="BJ339" s="70" t="s">
        <v>1288</v>
      </c>
      <c r="BK339" s="57" t="s">
        <v>1288</v>
      </c>
      <c r="BL339" s="57" t="s">
        <v>1288</v>
      </c>
      <c r="BM339" s="57" t="s">
        <v>1288</v>
      </c>
      <c r="BN339" s="57" t="s">
        <v>1288</v>
      </c>
      <c r="BO339" s="57" t="s">
        <v>1288</v>
      </c>
      <c r="BP339" s="57" t="s">
        <v>1288</v>
      </c>
      <c r="BQ339" s="57" t="s">
        <v>1288</v>
      </c>
      <c r="BR339" s="57" t="s">
        <v>1288</v>
      </c>
      <c r="BS339" s="57" t="s">
        <v>1288</v>
      </c>
      <c r="BT339" s="57" t="s">
        <v>1288</v>
      </c>
      <c r="BU339" s="57" t="s">
        <v>1288</v>
      </c>
      <c r="BV339" s="70">
        <f t="shared" si="1931"/>
        <v>137</v>
      </c>
      <c r="BW339" s="71">
        <f t="shared" si="1932"/>
        <v>170</v>
      </c>
      <c r="BX339" s="72">
        <f t="shared" si="1933"/>
        <v>174</v>
      </c>
      <c r="BY339" s="71" t="str">
        <f t="shared" si="1934"/>
        <v>-</v>
      </c>
      <c r="BZ339" s="72">
        <f t="shared" si="1935"/>
        <v>224</v>
      </c>
      <c r="CA339" s="71" t="str">
        <f t="shared" si="1936"/>
        <v>-</v>
      </c>
      <c r="CB339" s="72">
        <f t="shared" si="1937"/>
        <v>261</v>
      </c>
      <c r="CC339" s="71">
        <f t="shared" si="1938"/>
        <v>296</v>
      </c>
      <c r="CD339" s="72">
        <f t="shared" si="1939"/>
        <v>305</v>
      </c>
      <c r="CE339" s="71">
        <f t="shared" si="1940"/>
        <v>346</v>
      </c>
      <c r="CF339" s="72">
        <f t="shared" si="1941"/>
        <v>379</v>
      </c>
      <c r="CG339" s="71">
        <f t="shared" si="1942"/>
        <v>406</v>
      </c>
      <c r="CH339" s="70">
        <f t="shared" si="1943"/>
        <v>169</v>
      </c>
      <c r="CI339" s="71">
        <f t="shared" si="1944"/>
        <v>173</v>
      </c>
      <c r="CJ339" s="72">
        <f t="shared" si="1945"/>
        <v>211</v>
      </c>
      <c r="CK339" s="72" t="str">
        <f t="shared" si="1946"/>
        <v>-</v>
      </c>
      <c r="CL339" s="72">
        <f t="shared" si="1947"/>
        <v>257</v>
      </c>
      <c r="CM339" s="72" t="str">
        <f t="shared" si="1948"/>
        <v>-</v>
      </c>
      <c r="CN339" s="72">
        <f t="shared" si="1949"/>
        <v>292</v>
      </c>
      <c r="CO339" s="72">
        <f t="shared" si="1950"/>
        <v>298</v>
      </c>
      <c r="CP339" s="72">
        <f t="shared" si="1951"/>
        <v>337</v>
      </c>
      <c r="CQ339" s="72">
        <f t="shared" si="1952"/>
        <v>369</v>
      </c>
      <c r="CR339" s="72">
        <f t="shared" si="1953"/>
        <v>405</v>
      </c>
      <c r="CS339" s="72">
        <f t="shared" si="1954"/>
        <v>431</v>
      </c>
      <c r="CT339" s="23">
        <f t="shared" si="1955"/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30" x14ac:dyDescent="0.2">
      <c r="A340" s="3" t="str">
        <f t="shared" si="1928"/>
        <v>g1sgd4_rabit_5VAI</v>
      </c>
      <c r="B340" s="3" t="s">
        <v>1421</v>
      </c>
      <c r="C340" s="3" t="s">
        <v>1422</v>
      </c>
      <c r="D340" s="3" t="str">
        <f>IFERROR(MID(VLOOKUP($B340,Seqs!$A:$B,2,0),E340,1),"")</f>
        <v>P</v>
      </c>
      <c r="E340" s="3">
        <v>137</v>
      </c>
      <c r="F340" s="3" t="str">
        <f>IFERROR(MID(VLOOKUP($B340,Seqs!$A:$B,2,0),G340,1),"")</f>
        <v>G</v>
      </c>
      <c r="G340" s="3">
        <v>168</v>
      </c>
      <c r="H340" s="3" t="str">
        <f>IFERROR(MID(VLOOKUP($B340,Seqs!$A:$B,2,0),I340,1),"")</f>
        <v>R</v>
      </c>
      <c r="I340" s="23">
        <v>170</v>
      </c>
      <c r="J340" s="3" t="str">
        <f>IFERROR(MID(VLOOKUP($B340,Seqs!$A:$B,2,0),K340,1),"")</f>
        <v>H</v>
      </c>
      <c r="K340" s="23">
        <v>173</v>
      </c>
      <c r="L340" s="3" t="str">
        <f>IFERROR(MID(VLOOKUP($B340,Seqs!$A:$B,2,0),M340,1),"")</f>
        <v>C</v>
      </c>
      <c r="M340" s="23">
        <v>174</v>
      </c>
      <c r="N340" s="3" t="str">
        <f>IFERROR(MID(VLOOKUP($B340,Seqs!$A:$B,2,0),O340,1),"")</f>
        <v>Q</v>
      </c>
      <c r="O340" s="3">
        <v>211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L</v>
      </c>
      <c r="U340" s="3">
        <v>224</v>
      </c>
      <c r="V340" s="3" t="str">
        <f>IFERROR(MID(VLOOKUP($B340,Seqs!$A:$B,2,0),W340,1),"")</f>
        <v>F</v>
      </c>
      <c r="W340" s="3">
        <v>257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S</v>
      </c>
      <c r="AC340" s="3">
        <v>261</v>
      </c>
      <c r="AD340" s="3" t="str">
        <f>IFERROR(MID(VLOOKUP($B340,Seqs!$A:$B,2,0),AE340,1),"")</f>
        <v>E</v>
      </c>
      <c r="AE340" s="3">
        <v>292</v>
      </c>
      <c r="AF340" s="3" t="str">
        <f>IFERROR(MID(VLOOKUP($B340,Seqs!$A:$B,2,0),AG340,1),"")</f>
        <v>C</v>
      </c>
      <c r="AG340" s="3">
        <v>296</v>
      </c>
      <c r="AH340" s="3" t="str">
        <f>IFERROR(MID(VLOOKUP($B340,Seqs!$A:$B,2,0),AI340,1),"")</f>
        <v>T</v>
      </c>
      <c r="AI340" s="3">
        <v>298</v>
      </c>
      <c r="AJ340" s="3" t="str">
        <f>IFERROR(MID(VLOOKUP($B340,Seqs!$A:$B,2,0),AK340,1),"")</f>
        <v>Y</v>
      </c>
      <c r="AK340" s="3">
        <v>305</v>
      </c>
      <c r="AL340" s="3" t="str">
        <f>IFERROR(MID(VLOOKUP($B340,Seqs!$A:$B,2,0),AM340,1),"")</f>
        <v>A</v>
      </c>
      <c r="AM340" s="3">
        <v>337</v>
      </c>
      <c r="AN340" s="3" t="str">
        <f>IFERROR(MID(VLOOKUP($B340,Seqs!$A:$B,2,0),AO340,1),"")</f>
        <v>K</v>
      </c>
      <c r="AO340" s="3">
        <v>346</v>
      </c>
      <c r="AP340" s="3" t="str">
        <f>IFERROR(MID(VLOOKUP($B340,Seqs!$A:$B,2,0),AQ340,1),"")</f>
        <v>F</v>
      </c>
      <c r="AQ340" s="3">
        <v>369</v>
      </c>
      <c r="AR340" s="3" t="str">
        <f>IFERROR(MID(VLOOKUP($B340,Seqs!$A:$B,2,0),AS340,1),"")</f>
        <v>L</v>
      </c>
      <c r="AS340" s="3">
        <v>379</v>
      </c>
      <c r="AT340" s="3" t="str">
        <f>IFERROR(MID(VLOOKUP($B340,Seqs!$A:$B,2,0),AU340,1),"")</f>
        <v>V</v>
      </c>
      <c r="AU340" s="3">
        <v>405</v>
      </c>
      <c r="AV340" s="3" t="str">
        <f>IFERROR(MID(VLOOKUP($B340,Seqs!$A:$B,2,0),AW340,1),"")</f>
        <v>N</v>
      </c>
      <c r="AW340" s="3">
        <v>406</v>
      </c>
      <c r="AX340" s="3" t="str">
        <f>IFERROR(MID(VLOOKUP($B340,Seqs!$A:$B,2,0),AY340,1),"")</f>
        <v>R</v>
      </c>
      <c r="AY340" s="3">
        <v>421</v>
      </c>
      <c r="AZ340" s="77" t="str">
        <f>VLOOKUP(B340,Classification!A:D,2,0)</f>
        <v>B1</v>
      </c>
      <c r="BA340" s="94" t="str">
        <f>VLOOKUP(B340,Classification!A:D,4,0)</f>
        <v>Glucagonreceptorfamily</v>
      </c>
      <c r="BB340" s="27" t="b">
        <f t="shared" si="1929"/>
        <v>1</v>
      </c>
      <c r="BC340" s="23">
        <f t="shared" si="1930"/>
        <v>245</v>
      </c>
      <c r="BD340" s="4" t="s">
        <v>1376</v>
      </c>
      <c r="BE340" s="3" t="s">
        <v>1292</v>
      </c>
      <c r="BF340" s="119">
        <v>4.0999999999999996</v>
      </c>
      <c r="BG340" s="49" t="s">
        <v>1423</v>
      </c>
      <c r="BH340" s="49" t="s">
        <v>1423</v>
      </c>
      <c r="BI340" s="1"/>
      <c r="BJ340" s="70" t="s">
        <v>1288</v>
      </c>
      <c r="BK340" s="57" t="s">
        <v>1288</v>
      </c>
      <c r="BL340" s="57" t="s">
        <v>1288</v>
      </c>
      <c r="BM340" s="57" t="s">
        <v>1288</v>
      </c>
      <c r="BN340" s="57" t="s">
        <v>1288</v>
      </c>
      <c r="BO340" s="57" t="s">
        <v>1288</v>
      </c>
      <c r="BP340" s="57" t="s">
        <v>1288</v>
      </c>
      <c r="BQ340" s="57" t="s">
        <v>1288</v>
      </c>
      <c r="BR340" s="57" t="s">
        <v>1288</v>
      </c>
      <c r="BS340" s="57" t="s">
        <v>1288</v>
      </c>
      <c r="BT340" s="57" t="s">
        <v>1288</v>
      </c>
      <c r="BU340" s="57" t="s">
        <v>1288</v>
      </c>
      <c r="BV340" s="70">
        <f t="shared" si="1931"/>
        <v>137</v>
      </c>
      <c r="BW340" s="71">
        <f t="shared" si="1932"/>
        <v>170</v>
      </c>
      <c r="BX340" s="72">
        <f t="shared" si="1933"/>
        <v>174</v>
      </c>
      <c r="BY340" s="71" t="str">
        <f t="shared" si="1934"/>
        <v>-</v>
      </c>
      <c r="BZ340" s="72">
        <f t="shared" si="1935"/>
        <v>224</v>
      </c>
      <c r="CA340" s="71" t="str">
        <f t="shared" si="1936"/>
        <v>-</v>
      </c>
      <c r="CB340" s="72">
        <f t="shared" si="1937"/>
        <v>261</v>
      </c>
      <c r="CC340" s="71">
        <f t="shared" si="1938"/>
        <v>296</v>
      </c>
      <c r="CD340" s="72">
        <f t="shared" si="1939"/>
        <v>305</v>
      </c>
      <c r="CE340" s="71">
        <f t="shared" si="1940"/>
        <v>346</v>
      </c>
      <c r="CF340" s="72">
        <f t="shared" si="1941"/>
        <v>379</v>
      </c>
      <c r="CG340" s="71">
        <f t="shared" si="1942"/>
        <v>406</v>
      </c>
      <c r="CH340" s="70">
        <f t="shared" si="1943"/>
        <v>168</v>
      </c>
      <c r="CI340" s="71">
        <f t="shared" si="1944"/>
        <v>173</v>
      </c>
      <c r="CJ340" s="72">
        <f t="shared" si="1945"/>
        <v>211</v>
      </c>
      <c r="CK340" s="72" t="str">
        <f t="shared" si="1946"/>
        <v>-</v>
      </c>
      <c r="CL340" s="72">
        <f t="shared" si="1947"/>
        <v>257</v>
      </c>
      <c r="CM340" s="72" t="str">
        <f t="shared" si="1948"/>
        <v>-</v>
      </c>
      <c r="CN340" s="72">
        <f t="shared" si="1949"/>
        <v>292</v>
      </c>
      <c r="CO340" s="72">
        <f t="shared" si="1950"/>
        <v>298</v>
      </c>
      <c r="CP340" s="72">
        <f t="shared" si="1951"/>
        <v>337</v>
      </c>
      <c r="CQ340" s="72">
        <f t="shared" si="1952"/>
        <v>369</v>
      </c>
      <c r="CR340" s="72">
        <f t="shared" si="1953"/>
        <v>405</v>
      </c>
      <c r="CS340" s="72">
        <f t="shared" si="1954"/>
        <v>421</v>
      </c>
      <c r="CT340" s="23">
        <f t="shared" si="1955"/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30" x14ac:dyDescent="0.2">
      <c r="A341" s="3" t="str">
        <f t="shared" ref="A341" si="1956">CONCATENATE(B341,"_",C341)</f>
        <v>pth1r_human__wt</v>
      </c>
      <c r="B341" s="3" t="s">
        <v>409</v>
      </c>
      <c r="C341" s="3" t="s">
        <v>100</v>
      </c>
      <c r="D341" s="3" t="str">
        <f>IFERROR(MID(VLOOKUP($B341,Seqs!$A:$B,2,0),E341,1),"")</f>
        <v>F</v>
      </c>
      <c r="E341" s="105">
        <v>173</v>
      </c>
      <c r="F341" s="3" t="str">
        <f>IFERROR(MID(VLOOKUP($B341,Seqs!$A:$B,2,0),G341,1),"")</f>
        <v>F</v>
      </c>
      <c r="G341" s="3">
        <v>212</v>
      </c>
      <c r="H341" s="3" t="str">
        <f>IFERROR(MID(VLOOKUP($B341,Seqs!$A:$B,2,0),I341,1),"")</f>
        <v>R</v>
      </c>
      <c r="I341" s="23">
        <v>213</v>
      </c>
      <c r="J341" s="3" t="str">
        <f>IFERROR(MID(VLOOKUP($B341,Seqs!$A:$B,2,0),K341,1),"")</f>
        <v>H</v>
      </c>
      <c r="K341" s="23">
        <v>216</v>
      </c>
      <c r="L341" s="3" t="str">
        <f>IFERROR(MID(VLOOKUP($B341,Seqs!$A:$B,2,0),M341,1),"")</f>
        <v>C</v>
      </c>
      <c r="M341" s="23">
        <v>217</v>
      </c>
      <c r="N341" s="3" t="str">
        <f>IFERROR(MID(VLOOKUP($B341,Seqs!$A:$B,2,0),O341,1),"")</f>
        <v>T</v>
      </c>
      <c r="O341" s="3">
        <v>249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G</v>
      </c>
      <c r="U341" s="3">
        <v>277</v>
      </c>
      <c r="V341" s="3" t="str">
        <f>IFERROR(MID(VLOOKUP($B341,Seqs!$A:$B,2,0),W341,1),"")</f>
        <v>M</v>
      </c>
      <c r="W341" s="3">
        <v>312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S</v>
      </c>
      <c r="AC341" s="3">
        <v>316</v>
      </c>
      <c r="AD341" s="3" t="str">
        <f>IFERROR(MID(VLOOKUP($B341,Seqs!$A:$B,2,0),AE341,1),"")</f>
        <v>A</v>
      </c>
      <c r="AE341" s="3">
        <v>347</v>
      </c>
      <c r="AF341" s="3" t="str">
        <f>IFERROR(MID(VLOOKUP($B341,Seqs!$A:$B,2,0),AG341,1),"")</f>
        <v>C</v>
      </c>
      <c r="AG341" s="3">
        <v>351</v>
      </c>
      <c r="AH341" s="3" t="str">
        <f>IFERROR(MID(VLOOKUP($B341,Seqs!$A:$B,2,0),AI341,1),"")</f>
        <v>D</v>
      </c>
      <c r="AI341" s="3">
        <v>353</v>
      </c>
      <c r="AJ341" s="3" t="str">
        <f>IFERROR(MID(VLOOKUP($B341,Seqs!$A:$B,2,0),AK341,1),"")</f>
        <v>G</v>
      </c>
      <c r="AK341" s="105">
        <v>357</v>
      </c>
      <c r="AL341" s="3" t="str">
        <f>IFERROR(MID(VLOOKUP($B341,Seqs!$A:$B,2,0),AM341,1),"")</f>
        <v>L</v>
      </c>
      <c r="AM341" s="3">
        <v>389</v>
      </c>
      <c r="AN341" s="3" t="str">
        <f>IFERROR(MID(VLOOKUP($B341,Seqs!$A:$B,2,0),AO341,1),"")</f>
        <v>D</v>
      </c>
      <c r="AO341" s="3">
        <v>398</v>
      </c>
      <c r="AP341" s="3" t="str">
        <f>IFERROR(MID(VLOOKUP($B341,Seqs!$A:$B,2,0),AQ341,1),"")</f>
        <v>T</v>
      </c>
      <c r="AQ341" s="3">
        <v>427</v>
      </c>
      <c r="AR341" s="3" t="str">
        <f>IFERROR(MID(VLOOKUP($B341,Seqs!$A:$B,2,0),AS341,1),"")</f>
        <v>G</v>
      </c>
      <c r="AS341" s="3">
        <v>434</v>
      </c>
      <c r="AT341" s="3" t="str">
        <f>IFERROR(MID(VLOOKUP($B341,Seqs!$A:$B,2,0),AU341,1),"")</f>
        <v>C</v>
      </c>
      <c r="AU341" s="3">
        <v>462</v>
      </c>
      <c r="AV341" s="3" t="str">
        <f>IFERROR(MID(VLOOKUP($B341,Seqs!$A:$B,2,0),AW341,1),"")</f>
        <v>N</v>
      </c>
      <c r="AW341" s="3">
        <v>463</v>
      </c>
      <c r="AX341" s="3" t="str">
        <f>IFERROR(MID(VLOOKUP($B341,Seqs!$A:$B,2,0),AY341,1),"")</f>
        <v>R</v>
      </c>
      <c r="AY341" s="3">
        <v>488</v>
      </c>
      <c r="AZ341" s="77" t="str">
        <f>VLOOKUP(B341,Classification!A:D,2,0)</f>
        <v>B1</v>
      </c>
      <c r="BA341" s="94" t="str">
        <f>VLOOKUP(B341,Classification!A:D,4,0)</f>
        <v>Parathyroidhormone</v>
      </c>
      <c r="BB341" s="27" t="b">
        <f t="shared" ref="BB341" si="1957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23">
        <f t="shared" ref="BC341" si="1958">_xlfn.AGGREGATE(9,6,CH341:CS341)-_xlfn.AGGREGATE(9,6,BV341:CG341)+12</f>
        <v>268</v>
      </c>
      <c r="BD341" s="4" t="s">
        <v>23</v>
      </c>
      <c r="BE341" s="3" t="s">
        <v>23</v>
      </c>
      <c r="BF341" s="119" t="s">
        <v>23</v>
      </c>
      <c r="BG341" s="49" t="s">
        <v>23</v>
      </c>
      <c r="BH341" s="49" t="s">
        <v>23</v>
      </c>
      <c r="BI341" s="1"/>
      <c r="BJ341" s="70" t="s">
        <v>1288</v>
      </c>
      <c r="BK341" s="57" t="s">
        <v>1288</v>
      </c>
      <c r="BL341" s="57" t="s">
        <v>1288</v>
      </c>
      <c r="BM341" s="57" t="s">
        <v>1288</v>
      </c>
      <c r="BN341" s="57" t="s">
        <v>1288</v>
      </c>
      <c r="BO341" s="57" t="s">
        <v>1288</v>
      </c>
      <c r="BP341" s="57" t="s">
        <v>1288</v>
      </c>
      <c r="BQ341" s="57" t="s">
        <v>1288</v>
      </c>
      <c r="BR341" s="57" t="s">
        <v>1288</v>
      </c>
      <c r="BS341" s="57" t="s">
        <v>1288</v>
      </c>
      <c r="BT341" s="57" t="s">
        <v>1288</v>
      </c>
      <c r="BU341" s="57" t="s">
        <v>1288</v>
      </c>
      <c r="BV341" s="70">
        <f t="shared" ref="BV341" si="1959">E341</f>
        <v>173</v>
      </c>
      <c r="BW341" s="71">
        <f t="shared" ref="BW341" si="1960">I341</f>
        <v>213</v>
      </c>
      <c r="BX341" s="72">
        <f t="shared" ref="BX341" si="1961">M341</f>
        <v>217</v>
      </c>
      <c r="BY341" s="71" t="str">
        <f t="shared" ref="BY341" si="1962">Q341</f>
        <v>-</v>
      </c>
      <c r="BZ341" s="72">
        <f t="shared" ref="BZ341" si="1963">U341</f>
        <v>277</v>
      </c>
      <c r="CA341" s="71" t="str">
        <f t="shared" ref="CA341" si="1964">Y341</f>
        <v>-</v>
      </c>
      <c r="CB341" s="72">
        <f t="shared" ref="CB341" si="1965">AC341</f>
        <v>316</v>
      </c>
      <c r="CC341" s="71">
        <f t="shared" ref="CC341" si="1966">AG341</f>
        <v>351</v>
      </c>
      <c r="CD341" s="72">
        <f t="shared" ref="CD341" si="1967">AK341</f>
        <v>357</v>
      </c>
      <c r="CE341" s="71">
        <f t="shared" ref="CE341" si="1968">AO341</f>
        <v>398</v>
      </c>
      <c r="CF341" s="72">
        <f t="shared" ref="CF341" si="1969">AS341</f>
        <v>434</v>
      </c>
      <c r="CG341" s="71">
        <f t="shared" ref="CG341" si="1970">AW341</f>
        <v>463</v>
      </c>
      <c r="CH341" s="70">
        <f t="shared" ref="CH341" si="1971">G341</f>
        <v>212</v>
      </c>
      <c r="CI341" s="71">
        <f t="shared" ref="CI341" si="1972">K341</f>
        <v>216</v>
      </c>
      <c r="CJ341" s="72">
        <f t="shared" ref="CJ341" si="1973">O341</f>
        <v>249</v>
      </c>
      <c r="CK341" s="72" t="str">
        <f t="shared" ref="CK341" si="1974">S341</f>
        <v>-</v>
      </c>
      <c r="CL341" s="72">
        <f t="shared" ref="CL341" si="1975">W341</f>
        <v>312</v>
      </c>
      <c r="CM341" s="72" t="str">
        <f t="shared" ref="CM341" si="1976">AA341</f>
        <v>-</v>
      </c>
      <c r="CN341" s="72">
        <f t="shared" ref="CN341" si="1977">AE341</f>
        <v>347</v>
      </c>
      <c r="CO341" s="72">
        <f t="shared" ref="CO341" si="1978">AI341</f>
        <v>353</v>
      </c>
      <c r="CP341" s="72">
        <f t="shared" ref="CP341" si="1979">AM341</f>
        <v>389</v>
      </c>
      <c r="CQ341" s="72">
        <f t="shared" ref="CQ341" si="1980">AQ341</f>
        <v>427</v>
      </c>
      <c r="CR341" s="72">
        <f t="shared" ref="CR341" si="1981">AU341</f>
        <v>462</v>
      </c>
      <c r="CS341" s="72">
        <f t="shared" ref="CS341" si="1982">AY341</f>
        <v>488</v>
      </c>
      <c r="CT341" s="23">
        <f t="shared" ref="CT341" si="1983">M341-K341</f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30" x14ac:dyDescent="0.2">
      <c r="A342" s="3" t="str">
        <f t="shared" ref="A342" si="1984">CONCATENATE(B342,"_",C342)</f>
        <v>pth1r_human_6FJ3</v>
      </c>
      <c r="B342" s="3" t="s">
        <v>409</v>
      </c>
      <c r="C342" s="3" t="s">
        <v>1528</v>
      </c>
      <c r="D342" s="3" t="str">
        <f>IFERROR(MID(VLOOKUP($B342,Seqs!$A:$B,2,0),E342,1),"")</f>
        <v>R</v>
      </c>
      <c r="E342" s="3">
        <v>179</v>
      </c>
      <c r="F342" s="3" t="str">
        <f>IFERROR(MID(VLOOKUP($B342,Seqs!$A:$B,2,0),G342,1),"")</f>
        <v>F</v>
      </c>
      <c r="G342" s="3">
        <v>212</v>
      </c>
      <c r="H342" s="3" t="str">
        <f>IFERROR(MID(VLOOKUP($B342,Seqs!$A:$B,2,0),I342,1),"")</f>
        <v>R</v>
      </c>
      <c r="I342" s="23">
        <v>213</v>
      </c>
      <c r="J342" s="3" t="str">
        <f>IFERROR(MID(VLOOKUP($B342,Seqs!$A:$B,2,0),K342,1),"")</f>
        <v>H</v>
      </c>
      <c r="K342" s="23">
        <v>216</v>
      </c>
      <c r="L342" s="3" t="str">
        <f>IFERROR(MID(VLOOKUP($B342,Seqs!$A:$B,2,0),M342,1),"")</f>
        <v>C</v>
      </c>
      <c r="M342" s="23">
        <v>217</v>
      </c>
      <c r="N342" s="3" t="str">
        <f>IFERROR(MID(VLOOKUP($B342,Seqs!$A:$B,2,0),O342,1),"")</f>
        <v>Y</v>
      </c>
      <c r="O342" s="3">
        <v>245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Y</v>
      </c>
      <c r="U342" s="3">
        <v>278</v>
      </c>
      <c r="V342" s="3" t="str">
        <f>IFERROR(MID(VLOOKUP($B342,Seqs!$A:$B,2,0),W342,1),"")</f>
        <v>M</v>
      </c>
      <c r="W342" s="3">
        <v>312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S</v>
      </c>
      <c r="AC342" s="3">
        <v>316</v>
      </c>
      <c r="AD342" s="3" t="str">
        <f>IFERROR(MID(VLOOKUP($B342,Seqs!$A:$B,2,0),AE342,1),"")</f>
        <v>A</v>
      </c>
      <c r="AE342" s="3">
        <v>347</v>
      </c>
      <c r="AF342" s="3" t="str">
        <f>IFERROR(MID(VLOOKUP($B342,Seqs!$A:$B,2,0),AG342,1),"")</f>
        <v>C</v>
      </c>
      <c r="AG342" s="3">
        <v>351</v>
      </c>
      <c r="AH342" s="3" t="str">
        <f>IFERROR(MID(VLOOKUP($B342,Seqs!$A:$B,2,0),AI342,1),"")</f>
        <v>D</v>
      </c>
      <c r="AI342" s="3">
        <v>353</v>
      </c>
      <c r="AJ342" s="3" t="str">
        <f>IFERROR(MID(VLOOKUP($B342,Seqs!$A:$B,2,0),AK342,1),"")</f>
        <v>G</v>
      </c>
      <c r="AK342" s="3">
        <v>357</v>
      </c>
      <c r="AL342" s="3" t="str">
        <f>IFERROR(MID(VLOOKUP($B342,Seqs!$A:$B,2,0),AM342,1),"")</f>
        <v>R</v>
      </c>
      <c r="AM342" s="3">
        <v>383</v>
      </c>
      <c r="AN342" s="3" t="str">
        <f>IFERROR(MID(VLOOKUP($B342,Seqs!$A:$B,2,0),AO342,1),"")</f>
        <v>D</v>
      </c>
      <c r="AO342" s="3">
        <v>398</v>
      </c>
      <c r="AP342" s="3" t="str">
        <f>IFERROR(MID(VLOOKUP($B342,Seqs!$A:$B,2,0),AQ342,1),"")</f>
        <v>T</v>
      </c>
      <c r="AQ342" s="3">
        <v>427</v>
      </c>
      <c r="AR342" s="3" t="str">
        <f>IFERROR(MID(VLOOKUP($B342,Seqs!$A:$B,2,0),AS342,1),"")</f>
        <v>G</v>
      </c>
      <c r="AS342" s="3">
        <v>434</v>
      </c>
      <c r="AT342" s="3" t="str">
        <f>IFERROR(MID(VLOOKUP($B342,Seqs!$A:$B,2,0),AU342,1),"")</f>
        <v>C</v>
      </c>
      <c r="AU342" s="3">
        <v>462</v>
      </c>
      <c r="AV342" s="3" t="str">
        <f>IFERROR(MID(VLOOKUP($B342,Seqs!$A:$B,2,0),AW342,1),"")</f>
        <v>N</v>
      </c>
      <c r="AW342" s="3">
        <v>463</v>
      </c>
      <c r="AX342" s="3" t="str">
        <f>IFERROR(MID(VLOOKUP($B342,Seqs!$A:$B,2,0),AY342,1),"")</f>
        <v>W</v>
      </c>
      <c r="AY342" s="3">
        <v>477</v>
      </c>
      <c r="AZ342" s="77" t="str">
        <f>VLOOKUP(B342,Classification!A:D,2,0)</f>
        <v>B1</v>
      </c>
      <c r="BA342" s="94" t="str">
        <f>VLOOKUP(B342,Classification!A:D,4,0)</f>
        <v>Parathyroidhormone</v>
      </c>
      <c r="BB342" s="27" t="b">
        <f t="shared" ref="BB342" si="1985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 t="shared" ref="BC342" si="1986">_xlfn.AGGREGATE(9,6,CH342:CS342)-_xlfn.AGGREGATE(9,6,BV342:CG342)+12</f>
        <v>240</v>
      </c>
      <c r="BD342" s="4" t="s">
        <v>1377</v>
      </c>
      <c r="BE342" s="3" t="s">
        <v>1375</v>
      </c>
      <c r="BF342" s="119">
        <v>2.5</v>
      </c>
      <c r="BG342" s="49" t="s">
        <v>1</v>
      </c>
      <c r="BH342" s="49" t="s">
        <v>1</v>
      </c>
      <c r="BI342" s="1"/>
      <c r="BJ342" s="70" t="s">
        <v>1288</v>
      </c>
      <c r="BK342" s="57" t="s">
        <v>1288</v>
      </c>
      <c r="BL342" s="57" t="s">
        <v>1288</v>
      </c>
      <c r="BM342" s="57" t="s">
        <v>1288</v>
      </c>
      <c r="BN342" s="57" t="s">
        <v>1288</v>
      </c>
      <c r="BO342" s="57" t="s">
        <v>1288</v>
      </c>
      <c r="BP342" s="57" t="s">
        <v>1288</v>
      </c>
      <c r="BQ342" s="57" t="s">
        <v>1288</v>
      </c>
      <c r="BR342" s="57" t="s">
        <v>1288</v>
      </c>
      <c r="BS342" s="57" t="s">
        <v>1288</v>
      </c>
      <c r="BT342" s="57" t="s">
        <v>1288</v>
      </c>
      <c r="BU342" s="57" t="s">
        <v>1288</v>
      </c>
      <c r="BV342" s="70">
        <f t="shared" ref="BV342" si="1987">E342</f>
        <v>179</v>
      </c>
      <c r="BW342" s="71">
        <f t="shared" ref="BW342" si="1988">I342</f>
        <v>213</v>
      </c>
      <c r="BX342" s="72">
        <f t="shared" ref="BX342" si="1989">M342</f>
        <v>217</v>
      </c>
      <c r="BY342" s="71" t="str">
        <f t="shared" ref="BY342" si="1990">Q342</f>
        <v>-</v>
      </c>
      <c r="BZ342" s="72">
        <f t="shared" ref="BZ342" si="1991">U342</f>
        <v>278</v>
      </c>
      <c r="CA342" s="71" t="str">
        <f t="shared" ref="CA342" si="1992">Y342</f>
        <v>-</v>
      </c>
      <c r="CB342" s="72">
        <f t="shared" ref="CB342" si="1993">AC342</f>
        <v>316</v>
      </c>
      <c r="CC342" s="71">
        <f t="shared" ref="CC342" si="1994">AG342</f>
        <v>351</v>
      </c>
      <c r="CD342" s="72">
        <f t="shared" ref="CD342" si="1995">AK342</f>
        <v>357</v>
      </c>
      <c r="CE342" s="71">
        <f t="shared" ref="CE342" si="1996">AO342</f>
        <v>398</v>
      </c>
      <c r="CF342" s="72">
        <f t="shared" ref="CF342" si="1997">AS342</f>
        <v>434</v>
      </c>
      <c r="CG342" s="71">
        <f t="shared" ref="CG342" si="1998">AW342</f>
        <v>463</v>
      </c>
      <c r="CH342" s="70">
        <f t="shared" ref="CH342" si="1999">G342</f>
        <v>212</v>
      </c>
      <c r="CI342" s="71">
        <f t="shared" ref="CI342" si="2000">K342</f>
        <v>216</v>
      </c>
      <c r="CJ342" s="72">
        <f t="shared" ref="CJ342" si="2001">O342</f>
        <v>245</v>
      </c>
      <c r="CK342" s="72" t="str">
        <f t="shared" ref="CK342" si="2002">S342</f>
        <v>-</v>
      </c>
      <c r="CL342" s="72">
        <f t="shared" ref="CL342" si="2003">W342</f>
        <v>312</v>
      </c>
      <c r="CM342" s="72" t="str">
        <f t="shared" ref="CM342" si="2004">AA342</f>
        <v>-</v>
      </c>
      <c r="CN342" s="72">
        <f t="shared" ref="CN342" si="2005">AE342</f>
        <v>347</v>
      </c>
      <c r="CO342" s="72">
        <f t="shared" ref="CO342" si="2006">AI342</f>
        <v>353</v>
      </c>
      <c r="CP342" s="72">
        <f t="shared" ref="CP342" si="2007">AM342</f>
        <v>383</v>
      </c>
      <c r="CQ342" s="72">
        <f t="shared" ref="CQ342" si="2008">AQ342</f>
        <v>427</v>
      </c>
      <c r="CR342" s="72">
        <f t="shared" ref="CR342" si="2009">AU342</f>
        <v>462</v>
      </c>
      <c r="CS342" s="72">
        <f t="shared" ref="CS342" si="2010">AY342</f>
        <v>477</v>
      </c>
      <c r="CT342" s="23">
        <f t="shared" ref="CT342" si="2011">M342-K342</f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30" s="12" customFormat="1" x14ac:dyDescent="0.2">
      <c r="A343" s="9" t="str">
        <f t="shared" ref="A343" si="2012">CONCATENATE(B343,"_",C343)</f>
        <v>pth1r_human_6NBF</v>
      </c>
      <c r="B343" s="9" t="s">
        <v>409</v>
      </c>
      <c r="C343" s="9" t="s">
        <v>1574</v>
      </c>
      <c r="D343" s="9" t="str">
        <f>IFERROR(MID(VLOOKUP($B343,Seqs!$A:$B,2,0),E343,1),"")</f>
        <v>T</v>
      </c>
      <c r="E343" s="9">
        <v>178</v>
      </c>
      <c r="F343" s="9" t="str">
        <f>IFERROR(MID(VLOOKUP($B343,Seqs!$A:$B,2,0),G343,1),"")</f>
        <v>F</v>
      </c>
      <c r="G343" s="9">
        <v>212</v>
      </c>
      <c r="H343" s="9" t="str">
        <f>IFERROR(MID(VLOOKUP($B343,Seqs!$A:$B,2,0),I343,1),"")</f>
        <v>R</v>
      </c>
      <c r="I343" s="109">
        <v>213</v>
      </c>
      <c r="J343" s="9" t="str">
        <f>IFERROR(MID(VLOOKUP($B343,Seqs!$A:$B,2,0),K343,1),"")</f>
        <v>H</v>
      </c>
      <c r="K343" s="109">
        <v>216</v>
      </c>
      <c r="L343" s="9" t="str">
        <f>IFERROR(MID(VLOOKUP($B343,Seqs!$A:$B,2,0),M343,1),"")</f>
        <v>C</v>
      </c>
      <c r="M343" s="109">
        <v>217</v>
      </c>
      <c r="N343" s="9" t="str">
        <f>IFERROR(MID(VLOOKUP($B343,Seqs!$A:$B,2,0),O343,1),"")</f>
        <v>S</v>
      </c>
      <c r="O343" s="9">
        <v>246</v>
      </c>
      <c r="P343" s="9" t="str">
        <f>IFERROR(MID(VLOOKUP($B343,Seqs!$A:$B,2,0),Q343,1),"")</f>
        <v/>
      </c>
      <c r="Q343" s="9" t="s">
        <v>23</v>
      </c>
      <c r="R343" s="9" t="str">
        <f>IFERROR(MID(VLOOKUP($B343,Seqs!$A:$B,2,0),S343,1),"")</f>
        <v/>
      </c>
      <c r="S343" s="9" t="s">
        <v>23</v>
      </c>
      <c r="T343" s="9" t="str">
        <f>IFERROR(MID(VLOOKUP($B343,Seqs!$A:$B,2,0),U343,1),"")</f>
        <v>Y</v>
      </c>
      <c r="U343" s="9">
        <v>278</v>
      </c>
      <c r="V343" s="9" t="str">
        <f>IFERROR(MID(VLOOKUP($B343,Seqs!$A:$B,2,0),W343,1),"")</f>
        <v>M</v>
      </c>
      <c r="W343" s="9">
        <v>312</v>
      </c>
      <c r="X343" s="9" t="str">
        <f>IFERROR(MID(VLOOKUP($B343,Seqs!$A:$B,2,0),Y343,1),"")</f>
        <v/>
      </c>
      <c r="Y343" s="9" t="s">
        <v>23</v>
      </c>
      <c r="Z343" s="9" t="str">
        <f>IFERROR(MID(VLOOKUP($B343,Seqs!$A:$B,2,0),AA343,1),"")</f>
        <v/>
      </c>
      <c r="AA343" s="9" t="s">
        <v>23</v>
      </c>
      <c r="AB343" s="9" t="str">
        <f>IFERROR(MID(VLOOKUP($B343,Seqs!$A:$B,2,0),AC343,1),"")</f>
        <v>S</v>
      </c>
      <c r="AC343" s="9">
        <v>316</v>
      </c>
      <c r="AD343" s="9" t="str">
        <f>IFERROR(MID(VLOOKUP($B343,Seqs!$A:$B,2,0),AE343,1),"")</f>
        <v>L</v>
      </c>
      <c r="AE343" s="9">
        <v>346</v>
      </c>
      <c r="AF343" s="9" t="str">
        <f>IFERROR(MID(VLOOKUP($B343,Seqs!$A:$B,2,0),AG343,1),"")</f>
        <v>C</v>
      </c>
      <c r="AG343" s="9">
        <v>351</v>
      </c>
      <c r="AH343" s="9" t="str">
        <f>IFERROR(MID(VLOOKUP($B343,Seqs!$A:$B,2,0),AI343,1),"")</f>
        <v>D</v>
      </c>
      <c r="AI343" s="9">
        <v>353</v>
      </c>
      <c r="AJ343" s="9" t="str">
        <f>IFERROR(MID(VLOOKUP($B343,Seqs!$A:$B,2,0),AK343,1),"")</f>
        <v>G</v>
      </c>
      <c r="AK343" s="9">
        <v>357</v>
      </c>
      <c r="AL343" s="9" t="str">
        <f>IFERROR(MID(VLOOKUP($B343,Seqs!$A:$B,2,0),AM343,1),"")</f>
        <v>N</v>
      </c>
      <c r="AM343" s="9">
        <v>393</v>
      </c>
      <c r="AN343" s="9" t="str">
        <f>IFERROR(MID(VLOOKUP($B343,Seqs!$A:$B,2,0),AO343,1),"")</f>
        <v>T</v>
      </c>
      <c r="AO343" s="9">
        <v>399</v>
      </c>
      <c r="AP343" s="9" t="str">
        <f>IFERROR(MID(VLOOKUP($B343,Seqs!$A:$B,2,0),AQ343,1),"")</f>
        <v>F</v>
      </c>
      <c r="AQ343" s="9">
        <v>424</v>
      </c>
      <c r="AR343" s="9" t="str">
        <f>IFERROR(MID(VLOOKUP($B343,Seqs!$A:$B,2,0),AS343,1),"")</f>
        <v>G</v>
      </c>
      <c r="AS343" s="9">
        <v>434</v>
      </c>
      <c r="AT343" s="9" t="str">
        <f>IFERROR(MID(VLOOKUP($B343,Seqs!$A:$B,2,0),AU343,1),"")</f>
        <v>C</v>
      </c>
      <c r="AU343" s="9">
        <v>462</v>
      </c>
      <c r="AV343" s="9" t="str">
        <f>IFERROR(MID(VLOOKUP($B343,Seqs!$A:$B,2,0),AW343,1),"")</f>
        <v>N</v>
      </c>
      <c r="AW343" s="9">
        <v>463</v>
      </c>
      <c r="AX343" s="9" t="str">
        <f>IFERROR(MID(VLOOKUP($B343,Seqs!$A:$B,2,0),AY343,1),"")</f>
        <v>L</v>
      </c>
      <c r="AY343" s="9">
        <v>481</v>
      </c>
      <c r="AZ343" s="110" t="str">
        <f>VLOOKUP(B343,Classification!A:D,2,0)</f>
        <v>B1</v>
      </c>
      <c r="BA343" s="98" t="str">
        <f>VLOOKUP(B343,Classification!A:D,4,0)</f>
        <v>Parathyroidhormone</v>
      </c>
      <c r="BB343" s="36" t="b">
        <f t="shared" ref="BB343" si="2013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2014">_xlfn.AGGREGATE(9,6,CH343:CS343)-_xlfn.AGGREGATE(9,6,BV343:CG343)+12</f>
        <v>251</v>
      </c>
      <c r="BD343" s="11" t="s">
        <v>23</v>
      </c>
      <c r="BE343" s="9" t="s">
        <v>1292</v>
      </c>
      <c r="BF343" s="120">
        <v>3</v>
      </c>
      <c r="BG343" s="51" t="s">
        <v>1423</v>
      </c>
      <c r="BH343" s="51" t="s">
        <v>1423</v>
      </c>
      <c r="BJ343" s="111" t="s">
        <v>1288</v>
      </c>
      <c r="BK343" s="112" t="s">
        <v>1288</v>
      </c>
      <c r="BL343" s="112" t="s">
        <v>1288</v>
      </c>
      <c r="BM343" s="112" t="s">
        <v>1288</v>
      </c>
      <c r="BN343" s="112" t="s">
        <v>1288</v>
      </c>
      <c r="BO343" s="112" t="s">
        <v>1288</v>
      </c>
      <c r="BP343" s="112" t="s">
        <v>1288</v>
      </c>
      <c r="BQ343" s="112" t="s">
        <v>1288</v>
      </c>
      <c r="BR343" s="112" t="s">
        <v>1288</v>
      </c>
      <c r="BS343" s="112" t="s">
        <v>1288</v>
      </c>
      <c r="BT343" s="112" t="s">
        <v>1288</v>
      </c>
      <c r="BU343" s="112" t="s">
        <v>1288</v>
      </c>
      <c r="BV343" s="111">
        <f t="shared" ref="BV343" si="2015">E343</f>
        <v>178</v>
      </c>
      <c r="BW343" s="113">
        <f t="shared" ref="BW343" si="2016">I343</f>
        <v>213</v>
      </c>
      <c r="BX343" s="114">
        <f t="shared" ref="BX343" si="2017">M343</f>
        <v>217</v>
      </c>
      <c r="BY343" s="113" t="str">
        <f t="shared" ref="BY343" si="2018">Q343</f>
        <v>-</v>
      </c>
      <c r="BZ343" s="114">
        <f t="shared" ref="BZ343" si="2019">U343</f>
        <v>278</v>
      </c>
      <c r="CA343" s="113" t="str">
        <f t="shared" ref="CA343" si="2020">Y343</f>
        <v>-</v>
      </c>
      <c r="CB343" s="114">
        <f t="shared" ref="CB343" si="2021">AC343</f>
        <v>316</v>
      </c>
      <c r="CC343" s="113">
        <f t="shared" ref="CC343" si="2022">AG343</f>
        <v>351</v>
      </c>
      <c r="CD343" s="114">
        <f t="shared" ref="CD343" si="2023">AK343</f>
        <v>357</v>
      </c>
      <c r="CE343" s="113">
        <f t="shared" ref="CE343" si="2024">AO343</f>
        <v>399</v>
      </c>
      <c r="CF343" s="114">
        <f t="shared" ref="CF343" si="2025">AS343</f>
        <v>434</v>
      </c>
      <c r="CG343" s="113">
        <f t="shared" ref="CG343" si="2026">AW343</f>
        <v>463</v>
      </c>
      <c r="CH343" s="111">
        <f t="shared" ref="CH343" si="2027">G343</f>
        <v>212</v>
      </c>
      <c r="CI343" s="113">
        <f t="shared" ref="CI343" si="2028">K343</f>
        <v>216</v>
      </c>
      <c r="CJ343" s="114">
        <f t="shared" ref="CJ343" si="2029">O343</f>
        <v>246</v>
      </c>
      <c r="CK343" s="114" t="str">
        <f t="shared" ref="CK343" si="2030">S343</f>
        <v>-</v>
      </c>
      <c r="CL343" s="114">
        <f t="shared" ref="CL343" si="2031">W343</f>
        <v>312</v>
      </c>
      <c r="CM343" s="114" t="str">
        <f t="shared" ref="CM343" si="2032">AA343</f>
        <v>-</v>
      </c>
      <c r="CN343" s="114">
        <f t="shared" ref="CN343" si="2033">AE343</f>
        <v>346</v>
      </c>
      <c r="CO343" s="114">
        <f t="shared" ref="CO343" si="2034">AI343</f>
        <v>353</v>
      </c>
      <c r="CP343" s="114">
        <f t="shared" ref="CP343" si="2035">AM343</f>
        <v>393</v>
      </c>
      <c r="CQ343" s="114">
        <f t="shared" ref="CQ343" si="2036">AQ343</f>
        <v>424</v>
      </c>
      <c r="CR343" s="114">
        <f t="shared" ref="CR343" si="2037">AU343</f>
        <v>462</v>
      </c>
      <c r="CS343" s="114">
        <f t="shared" ref="CS343" si="2038">AY343</f>
        <v>481</v>
      </c>
      <c r="CT343" s="109">
        <f t="shared" ref="CT343" si="2039">M343-K343</f>
        <v>1</v>
      </c>
    </row>
    <row r="344" spans="1:1030" s="12" customFormat="1" x14ac:dyDescent="0.2">
      <c r="A344" s="9" t="str">
        <f t="shared" ref="A344" si="2040">CONCATENATE(B344,"_",C344)</f>
        <v>pth1r_human_6NBH</v>
      </c>
      <c r="B344" s="9" t="s">
        <v>409</v>
      </c>
      <c r="C344" s="9" t="s">
        <v>1575</v>
      </c>
      <c r="D344" s="9" t="str">
        <f>IFERROR(MID(VLOOKUP($B344,Seqs!$A:$B,2,0),E344,1),"")</f>
        <v>T</v>
      </c>
      <c r="E344" s="9">
        <v>178</v>
      </c>
      <c r="F344" s="9" t="str">
        <f>IFERROR(MID(VLOOKUP($B344,Seqs!$A:$B,2,0),G344,1),"")</f>
        <v>F</v>
      </c>
      <c r="G344" s="9">
        <v>212</v>
      </c>
      <c r="H344" s="9" t="str">
        <f>IFERROR(MID(VLOOKUP($B344,Seqs!$A:$B,2,0),I344,1),"")</f>
        <v>R</v>
      </c>
      <c r="I344" s="109">
        <v>213</v>
      </c>
      <c r="J344" s="9" t="str">
        <f>IFERROR(MID(VLOOKUP($B344,Seqs!$A:$B,2,0),K344,1),"")</f>
        <v>H</v>
      </c>
      <c r="K344" s="109">
        <v>216</v>
      </c>
      <c r="L344" s="9" t="str">
        <f>IFERROR(MID(VLOOKUP($B344,Seqs!$A:$B,2,0),M344,1),"")</f>
        <v>C</v>
      </c>
      <c r="M344" s="109">
        <v>217</v>
      </c>
      <c r="N344" s="9" t="str">
        <f>IFERROR(MID(VLOOKUP($B344,Seqs!$A:$B,2,0),O344,1),"")</f>
        <v>L</v>
      </c>
      <c r="O344" s="9">
        <v>250</v>
      </c>
      <c r="P344" s="9" t="str">
        <f>IFERROR(MID(VLOOKUP($B344,Seqs!$A:$B,2,0),Q344,1),"")</f>
        <v/>
      </c>
      <c r="Q344" s="9" t="s">
        <v>23</v>
      </c>
      <c r="R344" s="9" t="str">
        <f>IFERROR(MID(VLOOKUP($B344,Seqs!$A:$B,2,0),S344,1),"")</f>
        <v/>
      </c>
      <c r="S344" s="9" t="s">
        <v>23</v>
      </c>
      <c r="T344" s="9" t="str">
        <f>IFERROR(MID(VLOOKUP($B344,Seqs!$A:$B,2,0),U344,1),"")</f>
        <v>Y</v>
      </c>
      <c r="U344" s="9">
        <v>278</v>
      </c>
      <c r="V344" s="9" t="str">
        <f>IFERROR(MID(VLOOKUP($B344,Seqs!$A:$B,2,0),W344,1),"")</f>
        <v>M</v>
      </c>
      <c r="W344" s="9">
        <v>312</v>
      </c>
      <c r="X344" s="9" t="str">
        <f>IFERROR(MID(VLOOKUP($B344,Seqs!$A:$B,2,0),Y344,1),"")</f>
        <v/>
      </c>
      <c r="Y344" s="9" t="s">
        <v>23</v>
      </c>
      <c r="Z344" s="9" t="str">
        <f>IFERROR(MID(VLOOKUP($B344,Seqs!$A:$B,2,0),AA344,1),"")</f>
        <v/>
      </c>
      <c r="AA344" s="9" t="s">
        <v>23</v>
      </c>
      <c r="AB344" s="9" t="str">
        <f>IFERROR(MID(VLOOKUP($B344,Seqs!$A:$B,2,0),AC344,1),"")</f>
        <v>S</v>
      </c>
      <c r="AC344" s="9">
        <v>316</v>
      </c>
      <c r="AD344" s="9" t="str">
        <f>IFERROR(MID(VLOOKUP($B344,Seqs!$A:$B,2,0),AE344,1),"")</f>
        <v>A</v>
      </c>
      <c r="AE344" s="9">
        <v>347</v>
      </c>
      <c r="AF344" s="9" t="str">
        <f>IFERROR(MID(VLOOKUP($B344,Seqs!$A:$B,2,0),AG344,1),"")</f>
        <v>C</v>
      </c>
      <c r="AG344" s="9">
        <v>351</v>
      </c>
      <c r="AH344" s="9" t="str">
        <f>IFERROR(MID(VLOOKUP($B344,Seqs!$A:$B,2,0),AI344,1),"")</f>
        <v>D</v>
      </c>
      <c r="AI344" s="9">
        <v>353</v>
      </c>
      <c r="AJ344" s="9" t="str">
        <f>IFERROR(MID(VLOOKUP($B344,Seqs!$A:$B,2,0),AK344,1),"")</f>
        <v>G</v>
      </c>
      <c r="AK344" s="9">
        <v>357</v>
      </c>
      <c r="AL344" s="9" t="str">
        <f>IFERROR(MID(VLOOKUP($B344,Seqs!$A:$B,2,0),AM344,1),"")</f>
        <v>T</v>
      </c>
      <c r="AM344" s="9">
        <v>392</v>
      </c>
      <c r="AN344" s="9" t="str">
        <f>IFERROR(MID(VLOOKUP($B344,Seqs!$A:$B,2,0),AO344,1),"")</f>
        <v>T</v>
      </c>
      <c r="AO344" s="9">
        <v>399</v>
      </c>
      <c r="AP344" s="9" t="str">
        <f>IFERROR(MID(VLOOKUP($B344,Seqs!$A:$B,2,0),AQ344,1),"")</f>
        <v>F</v>
      </c>
      <c r="AQ344" s="9">
        <v>424</v>
      </c>
      <c r="AR344" s="9" t="str">
        <f>IFERROR(MID(VLOOKUP($B344,Seqs!$A:$B,2,0),AS344,1),"")</f>
        <v>G</v>
      </c>
      <c r="AS344" s="9">
        <v>434</v>
      </c>
      <c r="AT344" s="9" t="str">
        <f>IFERROR(MID(VLOOKUP($B344,Seqs!$A:$B,2,0),AU344,1),"")</f>
        <v>C</v>
      </c>
      <c r="AU344" s="9">
        <v>462</v>
      </c>
      <c r="AV344" s="9" t="str">
        <f>IFERROR(MID(VLOOKUP($B344,Seqs!$A:$B,2,0),AW344,1),"")</f>
        <v>N</v>
      </c>
      <c r="AW344" s="9">
        <v>463</v>
      </c>
      <c r="AX344" s="9" t="str">
        <f>IFERROR(MID(VLOOKUP($B344,Seqs!$A:$B,2,0),AY344,1),"")</f>
        <v>D</v>
      </c>
      <c r="AY344" s="9">
        <v>482</v>
      </c>
      <c r="AZ344" s="110" t="str">
        <f>VLOOKUP(B344,Classification!A:D,2,0)</f>
        <v>B1</v>
      </c>
      <c r="BA344" s="98" t="str">
        <f>VLOOKUP(B344,Classification!A:D,4,0)</f>
        <v>Parathyroidhormone</v>
      </c>
      <c r="BB344" s="36" t="b">
        <f t="shared" ref="BB344" si="2041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109">
        <f t="shared" ref="BC344" si="2042">_xlfn.AGGREGATE(9,6,CH344:CS344)-_xlfn.AGGREGATE(9,6,BV344:CG344)+12</f>
        <v>256</v>
      </c>
      <c r="BD344" s="11" t="s">
        <v>23</v>
      </c>
      <c r="BE344" s="9" t="s">
        <v>1292</v>
      </c>
      <c r="BF344" s="120">
        <v>3.5</v>
      </c>
      <c r="BG344" s="51" t="s">
        <v>1423</v>
      </c>
      <c r="BH344" s="51" t="s">
        <v>1423</v>
      </c>
      <c r="BJ344" s="111" t="s">
        <v>1288</v>
      </c>
      <c r="BK344" s="112" t="s">
        <v>1288</v>
      </c>
      <c r="BL344" s="112" t="s">
        <v>1288</v>
      </c>
      <c r="BM344" s="112" t="s">
        <v>1288</v>
      </c>
      <c r="BN344" s="112" t="s">
        <v>1288</v>
      </c>
      <c r="BO344" s="112" t="s">
        <v>1288</v>
      </c>
      <c r="BP344" s="112" t="s">
        <v>1288</v>
      </c>
      <c r="BQ344" s="112" t="s">
        <v>1288</v>
      </c>
      <c r="BR344" s="112" t="s">
        <v>1288</v>
      </c>
      <c r="BS344" s="112" t="s">
        <v>1288</v>
      </c>
      <c r="BT344" s="112" t="s">
        <v>1288</v>
      </c>
      <c r="BU344" s="112" t="s">
        <v>1288</v>
      </c>
      <c r="BV344" s="111">
        <f t="shared" ref="BV344" si="2043">E344</f>
        <v>178</v>
      </c>
      <c r="BW344" s="113">
        <f t="shared" ref="BW344" si="2044">I344</f>
        <v>213</v>
      </c>
      <c r="BX344" s="114">
        <f t="shared" ref="BX344" si="2045">M344</f>
        <v>217</v>
      </c>
      <c r="BY344" s="113" t="str">
        <f t="shared" ref="BY344" si="2046">Q344</f>
        <v>-</v>
      </c>
      <c r="BZ344" s="114">
        <f t="shared" ref="BZ344" si="2047">U344</f>
        <v>278</v>
      </c>
      <c r="CA344" s="113" t="str">
        <f t="shared" ref="CA344" si="2048">Y344</f>
        <v>-</v>
      </c>
      <c r="CB344" s="114">
        <f t="shared" ref="CB344" si="2049">AC344</f>
        <v>316</v>
      </c>
      <c r="CC344" s="113">
        <f t="shared" ref="CC344" si="2050">AG344</f>
        <v>351</v>
      </c>
      <c r="CD344" s="114">
        <f t="shared" ref="CD344" si="2051">AK344</f>
        <v>357</v>
      </c>
      <c r="CE344" s="113">
        <f t="shared" ref="CE344" si="2052">AO344</f>
        <v>399</v>
      </c>
      <c r="CF344" s="114">
        <f t="shared" ref="CF344" si="2053">AS344</f>
        <v>434</v>
      </c>
      <c r="CG344" s="113">
        <f t="shared" ref="CG344" si="2054">AW344</f>
        <v>463</v>
      </c>
      <c r="CH344" s="111">
        <f t="shared" ref="CH344" si="2055">G344</f>
        <v>212</v>
      </c>
      <c r="CI344" s="113">
        <f t="shared" ref="CI344" si="2056">K344</f>
        <v>216</v>
      </c>
      <c r="CJ344" s="114">
        <f t="shared" ref="CJ344" si="2057">O344</f>
        <v>250</v>
      </c>
      <c r="CK344" s="114" t="str">
        <f t="shared" ref="CK344" si="2058">S344</f>
        <v>-</v>
      </c>
      <c r="CL344" s="114">
        <f t="shared" ref="CL344" si="2059">W344</f>
        <v>312</v>
      </c>
      <c r="CM344" s="114" t="str">
        <f t="shared" ref="CM344" si="2060">AA344</f>
        <v>-</v>
      </c>
      <c r="CN344" s="114">
        <f t="shared" ref="CN344" si="2061">AE344</f>
        <v>347</v>
      </c>
      <c r="CO344" s="114">
        <f t="shared" ref="CO344" si="2062">AI344</f>
        <v>353</v>
      </c>
      <c r="CP344" s="114">
        <f t="shared" ref="CP344" si="2063">AM344</f>
        <v>392</v>
      </c>
      <c r="CQ344" s="114">
        <f t="shared" ref="CQ344" si="2064">AQ344</f>
        <v>424</v>
      </c>
      <c r="CR344" s="114">
        <f t="shared" ref="CR344" si="2065">AU344</f>
        <v>462</v>
      </c>
      <c r="CS344" s="114">
        <f t="shared" ref="CS344" si="2066">AY344</f>
        <v>482</v>
      </c>
      <c r="CT344" s="109">
        <f t="shared" ref="CT344" si="2067">M344-K344</f>
        <v>1</v>
      </c>
    </row>
    <row r="345" spans="1:1030" s="12" customFormat="1" x14ac:dyDescent="0.2">
      <c r="A345" s="9" t="str">
        <f t="shared" ref="A345" si="2068">CONCATENATE(B345,"_",C345)</f>
        <v>pth1r_human_6NBI</v>
      </c>
      <c r="B345" s="9" t="s">
        <v>409</v>
      </c>
      <c r="C345" s="9" t="s">
        <v>1576</v>
      </c>
      <c r="D345" s="9" t="str">
        <f>IFERROR(MID(VLOOKUP($B345,Seqs!$A:$B,2,0),E345,1),"")</f>
        <v>F</v>
      </c>
      <c r="E345" s="9">
        <v>173</v>
      </c>
      <c r="F345" s="9" t="str">
        <f>IFERROR(MID(VLOOKUP($B345,Seqs!$A:$B,2,0),G345,1),"")</f>
        <v>F</v>
      </c>
      <c r="G345" s="9">
        <v>212</v>
      </c>
      <c r="H345" s="9" t="str">
        <f>IFERROR(MID(VLOOKUP($B345,Seqs!$A:$B,2,0),I345,1),"")</f>
        <v>R</v>
      </c>
      <c r="I345" s="109">
        <v>213</v>
      </c>
      <c r="J345" s="9" t="str">
        <f>IFERROR(MID(VLOOKUP($B345,Seqs!$A:$B,2,0),K345,1),"")</f>
        <v>H</v>
      </c>
      <c r="K345" s="109">
        <v>216</v>
      </c>
      <c r="L345" s="9" t="str">
        <f>IFERROR(MID(VLOOKUP($B345,Seqs!$A:$B,2,0),M345,1),"")</f>
        <v>C</v>
      </c>
      <c r="M345" s="109">
        <v>217</v>
      </c>
      <c r="N345" s="9" t="str">
        <f>IFERROR(MID(VLOOKUP($B345,Seqs!$A:$B,2,0),O345,1),"")</f>
        <v>L</v>
      </c>
      <c r="O345" s="9">
        <v>250</v>
      </c>
      <c r="P345" s="9" t="str">
        <f>IFERROR(MID(VLOOKUP($B345,Seqs!$A:$B,2,0),Q345,1),"")</f>
        <v/>
      </c>
      <c r="Q345" s="9" t="s">
        <v>23</v>
      </c>
      <c r="R345" s="9" t="str">
        <f>IFERROR(MID(VLOOKUP($B345,Seqs!$A:$B,2,0),S345,1),"")</f>
        <v/>
      </c>
      <c r="S345" s="9" t="s">
        <v>23</v>
      </c>
      <c r="T345" s="9" t="str">
        <f>IFERROR(MID(VLOOKUP($B345,Seqs!$A:$B,2,0),U345,1),"")</f>
        <v>T</v>
      </c>
      <c r="U345" s="9">
        <v>273</v>
      </c>
      <c r="V345" s="9" t="str">
        <f>IFERROR(MID(VLOOKUP($B345,Seqs!$A:$B,2,0),W345,1),"")</f>
        <v>F</v>
      </c>
      <c r="W345" s="9">
        <v>311</v>
      </c>
      <c r="X345" s="9" t="str">
        <f>IFERROR(MID(VLOOKUP($B345,Seqs!$A:$B,2,0),Y345,1),"")</f>
        <v/>
      </c>
      <c r="Y345" s="9" t="s">
        <v>23</v>
      </c>
      <c r="Z345" s="9" t="str">
        <f>IFERROR(MID(VLOOKUP($B345,Seqs!$A:$B,2,0),AA345,1),"")</f>
        <v/>
      </c>
      <c r="AA345" s="9" t="s">
        <v>23</v>
      </c>
      <c r="AB345" s="9" t="str">
        <f>IFERROR(MID(VLOOKUP($B345,Seqs!$A:$B,2,0),AC345,1),"")</f>
        <v>S</v>
      </c>
      <c r="AC345" s="9">
        <v>316</v>
      </c>
      <c r="AD345" s="9" t="str">
        <f>IFERROR(MID(VLOOKUP($B345,Seqs!$A:$B,2,0),AE345,1),"")</f>
        <v>A</v>
      </c>
      <c r="AE345" s="9">
        <v>347</v>
      </c>
      <c r="AF345" s="9" t="str">
        <f>IFERROR(MID(VLOOKUP($B345,Seqs!$A:$B,2,0),AG345,1),"")</f>
        <v>C</v>
      </c>
      <c r="AG345" s="9">
        <v>351</v>
      </c>
      <c r="AH345" s="9" t="str">
        <f>IFERROR(MID(VLOOKUP($B345,Seqs!$A:$B,2,0),AI345,1),"")</f>
        <v>D</v>
      </c>
      <c r="AI345" s="9">
        <v>353</v>
      </c>
      <c r="AJ345" s="9" t="str">
        <f>IFERROR(MID(VLOOKUP($B345,Seqs!$A:$B,2,0),AK345,1),"")</f>
        <v>G</v>
      </c>
      <c r="AK345" s="9">
        <v>357</v>
      </c>
      <c r="AL345" s="9" t="str">
        <f>IFERROR(MID(VLOOKUP($B345,Seqs!$A:$B,2,0),AM345,1),"")</f>
        <v>A</v>
      </c>
      <c r="AM345" s="9">
        <v>394</v>
      </c>
      <c r="AN345" s="9" t="str">
        <f>IFERROR(MID(VLOOKUP($B345,Seqs!$A:$B,2,0),AO345,1),"")</f>
        <v>T</v>
      </c>
      <c r="AO345" s="9">
        <v>399</v>
      </c>
      <c r="AP345" s="9" t="str">
        <f>IFERROR(MID(VLOOKUP($B345,Seqs!$A:$B,2,0),AQ345,1),"")</f>
        <v>F</v>
      </c>
      <c r="AQ345" s="9">
        <v>424</v>
      </c>
      <c r="AR345" s="9" t="str">
        <f>IFERROR(MID(VLOOKUP($B345,Seqs!$A:$B,2,0),AS345,1),"")</f>
        <v>G</v>
      </c>
      <c r="AS345" s="9">
        <v>434</v>
      </c>
      <c r="AT345" s="9" t="str">
        <f>IFERROR(MID(VLOOKUP($B345,Seqs!$A:$B,2,0),AU345,1),"")</f>
        <v>C</v>
      </c>
      <c r="AU345" s="9">
        <v>462</v>
      </c>
      <c r="AV345" s="9" t="str">
        <f>IFERROR(MID(VLOOKUP($B345,Seqs!$A:$B,2,0),AW345,1),"")</f>
        <v>N</v>
      </c>
      <c r="AW345" s="9">
        <v>463</v>
      </c>
      <c r="AX345" s="9" t="str">
        <f>IFERROR(MID(VLOOKUP($B345,Seqs!$A:$B,2,0),AY345,1),"")</f>
        <v>D</v>
      </c>
      <c r="AY345" s="9">
        <v>482</v>
      </c>
      <c r="AZ345" s="110" t="str">
        <f>VLOOKUP(B345,Classification!A:D,2,0)</f>
        <v>B1</v>
      </c>
      <c r="BA345" s="98" t="str">
        <f>VLOOKUP(B345,Classification!A:D,4,0)</f>
        <v>Parathyroidhormone</v>
      </c>
      <c r="BB345" s="36" t="b">
        <f t="shared" ref="BB345" si="2069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109">
        <f t="shared" ref="BC345" si="2070">_xlfn.AGGREGATE(9,6,CH345:CS345)-_xlfn.AGGREGATE(9,6,BV345:CG345)+12</f>
        <v>267</v>
      </c>
      <c r="BD345" s="11" t="s">
        <v>1376</v>
      </c>
      <c r="BE345" s="9" t="s">
        <v>1292</v>
      </c>
      <c r="BF345" s="120">
        <v>4</v>
      </c>
      <c r="BG345" s="51" t="s">
        <v>1423</v>
      </c>
      <c r="BH345" s="51" t="s">
        <v>1423</v>
      </c>
      <c r="BJ345" s="111" t="s">
        <v>1288</v>
      </c>
      <c r="BK345" s="112" t="s">
        <v>1288</v>
      </c>
      <c r="BL345" s="112" t="s">
        <v>1288</v>
      </c>
      <c r="BM345" s="112" t="s">
        <v>1288</v>
      </c>
      <c r="BN345" s="112" t="s">
        <v>1288</v>
      </c>
      <c r="BO345" s="112" t="s">
        <v>1288</v>
      </c>
      <c r="BP345" s="112" t="s">
        <v>1288</v>
      </c>
      <c r="BQ345" s="112" t="s">
        <v>1288</v>
      </c>
      <c r="BR345" s="112" t="s">
        <v>1288</v>
      </c>
      <c r="BS345" s="112" t="s">
        <v>1288</v>
      </c>
      <c r="BT345" s="112" t="s">
        <v>1288</v>
      </c>
      <c r="BU345" s="112" t="s">
        <v>1288</v>
      </c>
      <c r="BV345" s="111">
        <f t="shared" ref="BV345" si="2071">E345</f>
        <v>173</v>
      </c>
      <c r="BW345" s="113">
        <f t="shared" ref="BW345" si="2072">I345</f>
        <v>213</v>
      </c>
      <c r="BX345" s="114">
        <f t="shared" ref="BX345" si="2073">M345</f>
        <v>217</v>
      </c>
      <c r="BY345" s="113" t="str">
        <f t="shared" ref="BY345" si="2074">Q345</f>
        <v>-</v>
      </c>
      <c r="BZ345" s="114">
        <f t="shared" ref="BZ345" si="2075">U345</f>
        <v>273</v>
      </c>
      <c r="CA345" s="113" t="str">
        <f t="shared" ref="CA345" si="2076">Y345</f>
        <v>-</v>
      </c>
      <c r="CB345" s="114">
        <f t="shared" ref="CB345" si="2077">AC345</f>
        <v>316</v>
      </c>
      <c r="CC345" s="113">
        <f t="shared" ref="CC345" si="2078">AG345</f>
        <v>351</v>
      </c>
      <c r="CD345" s="114">
        <f t="shared" ref="CD345" si="2079">AK345</f>
        <v>357</v>
      </c>
      <c r="CE345" s="113">
        <f t="shared" ref="CE345" si="2080">AO345</f>
        <v>399</v>
      </c>
      <c r="CF345" s="114">
        <f t="shared" ref="CF345" si="2081">AS345</f>
        <v>434</v>
      </c>
      <c r="CG345" s="113">
        <f t="shared" ref="CG345" si="2082">AW345</f>
        <v>463</v>
      </c>
      <c r="CH345" s="111">
        <f t="shared" ref="CH345" si="2083">G345</f>
        <v>212</v>
      </c>
      <c r="CI345" s="113">
        <f t="shared" ref="CI345" si="2084">K345</f>
        <v>216</v>
      </c>
      <c r="CJ345" s="114">
        <f t="shared" ref="CJ345" si="2085">O345</f>
        <v>250</v>
      </c>
      <c r="CK345" s="114" t="str">
        <f t="shared" ref="CK345" si="2086">S345</f>
        <v>-</v>
      </c>
      <c r="CL345" s="114">
        <f t="shared" ref="CL345" si="2087">W345</f>
        <v>311</v>
      </c>
      <c r="CM345" s="114" t="str">
        <f t="shared" ref="CM345" si="2088">AA345</f>
        <v>-</v>
      </c>
      <c r="CN345" s="114">
        <f t="shared" ref="CN345" si="2089">AE345</f>
        <v>347</v>
      </c>
      <c r="CO345" s="114">
        <f t="shared" ref="CO345" si="2090">AI345</f>
        <v>353</v>
      </c>
      <c r="CP345" s="114">
        <f t="shared" ref="CP345" si="2091">AM345</f>
        <v>394</v>
      </c>
      <c r="CQ345" s="114">
        <f t="shared" ref="CQ345" si="2092">AQ345</f>
        <v>424</v>
      </c>
      <c r="CR345" s="114">
        <f t="shared" ref="CR345" si="2093">AU345</f>
        <v>462</v>
      </c>
      <c r="CS345" s="114">
        <f t="shared" ref="CS345" si="2094">AY345</f>
        <v>482</v>
      </c>
      <c r="CT345" s="109">
        <f t="shared" ref="CT345" si="2095">M345-K345</f>
        <v>1</v>
      </c>
    </row>
    <row r="346" spans="1:1030" x14ac:dyDescent="0.2">
      <c r="A346" s="3" t="str">
        <f t="shared" si="1926"/>
        <v>grm1_human__wt</v>
      </c>
      <c r="B346" s="3" t="s">
        <v>40</v>
      </c>
      <c r="C346" s="3" t="s">
        <v>100</v>
      </c>
      <c r="D346" s="3" t="str">
        <f>IFERROR(MID(VLOOKUP($B346,Seqs!$A:$B,2,0),E346,1),"")</f>
        <v>I</v>
      </c>
      <c r="E346" s="3">
        <v>591</v>
      </c>
      <c r="F346" s="3" t="str">
        <f>IFERROR(MID(VLOOKUP($B346,Seqs!$A:$B,2,0),G346,1),"")</f>
        <v>Y</v>
      </c>
      <c r="G346" s="3">
        <v>617</v>
      </c>
      <c r="H346" s="3" t="str">
        <f>IFERROR(MID(VLOOKUP($B346,Seqs!$A:$B,2,0),I346,1),"")</f>
        <v>T</v>
      </c>
      <c r="I346" s="23">
        <v>620</v>
      </c>
      <c r="J346" s="3" t="str">
        <f>IFERROR(MID(VLOOKUP($B346,Seqs!$A:$B,2,0),K346,1),"")</f>
        <v>S</v>
      </c>
      <c r="K346" s="23">
        <v>626</v>
      </c>
      <c r="L346" s="3" t="str">
        <f>IFERROR(MID(VLOOKUP($B346,Seqs!$A:$B,2,0),M346,1),"")</f>
        <v>S</v>
      </c>
      <c r="M346" s="3">
        <v>627</v>
      </c>
      <c r="N346" s="3" t="str">
        <f>IFERROR(MID(VLOOKUP($B346,Seqs!$A:$B,2,0),O346,1),"")</f>
        <v>I</v>
      </c>
      <c r="O346" s="3">
        <v>649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T</v>
      </c>
      <c r="U346" s="3">
        <v>654</v>
      </c>
      <c r="V346" s="3" t="str">
        <f>IFERROR(MID(VLOOKUP($B346,Seqs!$A:$B,2,0),W346,1),"")</f>
        <v>L</v>
      </c>
      <c r="W346" s="3">
        <v>686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S</v>
      </c>
      <c r="AC346" s="3">
        <v>702</v>
      </c>
      <c r="AD346" s="3" t="str">
        <f>IFERROR(MID(VLOOKUP($B346,Seqs!$A:$B,2,0),AE346,1),"")</f>
        <v>E</v>
      </c>
      <c r="AE346" s="3">
        <v>728</v>
      </c>
      <c r="AF346" s="3" t="str">
        <f>IFERROR(MID(VLOOKUP($B346,Seqs!$A:$B,2,0),AG346,1),"")</f>
        <v>C</v>
      </c>
      <c r="AG346" s="3">
        <v>746</v>
      </c>
      <c r="AH346" s="3" t="str">
        <f>IFERROR(MID(VLOOKUP($B346,Seqs!$A:$B,2,0),AI346,1),"")</f>
        <v>T</v>
      </c>
      <c r="AI346" s="3">
        <v>748</v>
      </c>
      <c r="AJ346" s="3" t="str">
        <f>IFERROR(MID(VLOOKUP($B346,Seqs!$A:$B,2,0),AK346,1),"")</f>
        <v>S</v>
      </c>
      <c r="AK346" s="3">
        <v>749</v>
      </c>
      <c r="AL346" s="3" t="str">
        <f>IFERROR(MID(VLOOKUP($B346,Seqs!$A:$B,2,0),AM346,1),"")</f>
        <v>T</v>
      </c>
      <c r="AM346" s="3">
        <v>774</v>
      </c>
      <c r="AN346" s="3" t="str">
        <f>IFERROR(MID(VLOOKUP($B346,Seqs!$A:$B,2,0),AO346,1),"")</f>
        <v>E</v>
      </c>
      <c r="AO346" s="3">
        <v>783</v>
      </c>
      <c r="AP346" s="3" t="str">
        <f>IFERROR(MID(VLOOKUP($B346,Seqs!$A:$B,2,0),AQ346,1),"")</f>
        <v>G</v>
      </c>
      <c r="AQ346" s="3">
        <v>807</v>
      </c>
      <c r="AR346" s="3" t="str">
        <f>IFERROR(MID(VLOOKUP($B346,Seqs!$A:$B,2,0),AS346,1),"")</f>
        <v>Y</v>
      </c>
      <c r="AS346" s="3">
        <v>810</v>
      </c>
      <c r="AT346" s="3" t="str">
        <f>IFERROR(MID(VLOOKUP($B346,Seqs!$A:$B,2,0),AU346,1),"")</f>
        <v>K</v>
      </c>
      <c r="AU346" s="3">
        <v>841</v>
      </c>
      <c r="AV346" s="3" t="str">
        <f>IFERROR(MID(VLOOKUP($B346,Seqs!$A:$B,2,0),AW346,1),"")</f>
        <v>P</v>
      </c>
      <c r="AW346" s="3">
        <v>842</v>
      </c>
      <c r="AX346" s="3" t="str">
        <f>IFERROR(MID(VLOOKUP($B346,Seqs!$A:$B,2,0),AY346,1),"")</f>
        <v>S</v>
      </c>
      <c r="AY346" s="3">
        <v>853</v>
      </c>
      <c r="AZ346" s="77" t="str">
        <f>VLOOKUP(B346,Classification!A:D,2,0)</f>
        <v>C</v>
      </c>
      <c r="BA346" s="94" t="str">
        <f>VLOOKUP(B346,Classification!A:D,4,0)</f>
        <v>Metabotropicglutamate</v>
      </c>
      <c r="BB346" s="27" t="b">
        <f t="shared" si="1927"/>
        <v>1</v>
      </c>
      <c r="BC346" s="23">
        <f t="shared" si="1900"/>
        <v>217</v>
      </c>
      <c r="BD346" s="56" t="s">
        <v>23</v>
      </c>
      <c r="BE346" s="3" t="s">
        <v>23</v>
      </c>
      <c r="BF346" s="119" t="s">
        <v>23</v>
      </c>
      <c r="BG346" s="49" t="s">
        <v>1373</v>
      </c>
      <c r="BH346" s="49" t="s">
        <v>1378</v>
      </c>
      <c r="BI346" s="3" t="s">
        <v>1164</v>
      </c>
      <c r="BJ346" s="70" t="s">
        <v>1288</v>
      </c>
      <c r="BK346" s="57" t="s">
        <v>1288</v>
      </c>
      <c r="BL346" s="57" t="s">
        <v>1288</v>
      </c>
      <c r="BM346" s="57" t="s">
        <v>1288</v>
      </c>
      <c r="BN346" s="57" t="s">
        <v>1288</v>
      </c>
      <c r="BO346" s="57" t="s">
        <v>1288</v>
      </c>
      <c r="BP346" s="57" t="s">
        <v>1288</v>
      </c>
      <c r="BQ346" s="57" t="s">
        <v>1288</v>
      </c>
      <c r="BR346" s="57" t="s">
        <v>1288</v>
      </c>
      <c r="BS346" s="57" t="s">
        <v>1288</v>
      </c>
      <c r="BT346" s="57" t="s">
        <v>1288</v>
      </c>
      <c r="BU346" s="57" t="s">
        <v>1288</v>
      </c>
      <c r="BV346" s="70">
        <f t="shared" si="1901"/>
        <v>591</v>
      </c>
      <c r="BW346" s="71">
        <f t="shared" si="1902"/>
        <v>620</v>
      </c>
      <c r="BX346" s="72">
        <f t="shared" si="1903"/>
        <v>627</v>
      </c>
      <c r="BY346" s="71" t="str">
        <f t="shared" si="1904"/>
        <v>-</v>
      </c>
      <c r="BZ346" s="72">
        <f t="shared" si="1905"/>
        <v>654</v>
      </c>
      <c r="CA346" s="71" t="str">
        <f t="shared" si="1906"/>
        <v>-</v>
      </c>
      <c r="CB346" s="72">
        <f t="shared" si="1907"/>
        <v>702</v>
      </c>
      <c r="CC346" s="71">
        <f t="shared" si="1908"/>
        <v>746</v>
      </c>
      <c r="CD346" s="72">
        <f t="shared" si="1909"/>
        <v>749</v>
      </c>
      <c r="CE346" s="71">
        <f t="shared" si="1910"/>
        <v>783</v>
      </c>
      <c r="CF346" s="72">
        <f t="shared" si="1911"/>
        <v>810</v>
      </c>
      <c r="CG346" s="71">
        <f t="shared" si="1912"/>
        <v>842</v>
      </c>
      <c r="CH346" s="70">
        <f t="shared" si="1913"/>
        <v>617</v>
      </c>
      <c r="CI346" s="71">
        <f t="shared" si="1914"/>
        <v>626</v>
      </c>
      <c r="CJ346" s="72">
        <f t="shared" si="1915"/>
        <v>649</v>
      </c>
      <c r="CK346" s="72" t="str">
        <f t="shared" si="1916"/>
        <v>-</v>
      </c>
      <c r="CL346" s="72">
        <f t="shared" si="1917"/>
        <v>686</v>
      </c>
      <c r="CM346" s="72" t="str">
        <f t="shared" si="1918"/>
        <v>-</v>
      </c>
      <c r="CN346" s="72">
        <f t="shared" si="1919"/>
        <v>728</v>
      </c>
      <c r="CO346" s="72">
        <f t="shared" si="1920"/>
        <v>748</v>
      </c>
      <c r="CP346" s="72">
        <f t="shared" si="1921"/>
        <v>774</v>
      </c>
      <c r="CQ346" s="72">
        <f t="shared" si="1922"/>
        <v>807</v>
      </c>
      <c r="CR346" s="72">
        <f t="shared" si="1923"/>
        <v>841</v>
      </c>
      <c r="CS346" s="72">
        <f t="shared" si="1924"/>
        <v>853</v>
      </c>
      <c r="CT346" s="23">
        <f t="shared" si="1925"/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 t="shared" si="1926"/>
        <v>grm1_human_4OR2</v>
      </c>
      <c r="B347" s="3" t="s">
        <v>40</v>
      </c>
      <c r="C347" s="3" t="s">
        <v>96</v>
      </c>
      <c r="D347" s="3" t="str">
        <f>IFERROR(MID(VLOOKUP($B347,Seqs!$A:$B,2,0),E347,1),"")</f>
        <v>I</v>
      </c>
      <c r="E347" s="3">
        <v>591</v>
      </c>
      <c r="F347" s="3" t="str">
        <f>IFERROR(MID(VLOOKUP($B347,Seqs!$A:$B,2,0),G347,1),"")</f>
        <v>Y</v>
      </c>
      <c r="G347" s="3">
        <v>617</v>
      </c>
      <c r="H347" s="3" t="str">
        <f>IFERROR(MID(VLOOKUP($B347,Seqs!$A:$B,2,0),I347,1),"")</f>
        <v>T</v>
      </c>
      <c r="I347" s="23">
        <v>620</v>
      </c>
      <c r="J347" s="3" t="str">
        <f>IFERROR(MID(VLOOKUP($B347,Seqs!$A:$B,2,0),K347,1),"")</f>
        <v>S</v>
      </c>
      <c r="K347" s="23">
        <v>626</v>
      </c>
      <c r="L347" s="3" t="str">
        <f>IFERROR(MID(VLOOKUP($B347,Seqs!$A:$B,2,0),M347,1),"")</f>
        <v>S</v>
      </c>
      <c r="M347" s="3">
        <v>627</v>
      </c>
      <c r="N347" s="3" t="str">
        <f>IFERROR(MID(VLOOKUP($B347,Seqs!$A:$B,2,0),O347,1),"")</f>
        <v>I</v>
      </c>
      <c r="O347" s="3">
        <v>649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T</v>
      </c>
      <c r="U347" s="3">
        <v>654</v>
      </c>
      <c r="V347" s="3" t="str">
        <f>IFERROR(MID(VLOOKUP($B347,Seqs!$A:$B,2,0),W347,1),"")</f>
        <v>L</v>
      </c>
      <c r="W347" s="3">
        <v>686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S</v>
      </c>
      <c r="AC347" s="9">
        <v>702</v>
      </c>
      <c r="AD347" s="3" t="str">
        <f>IFERROR(MID(VLOOKUP($B347,Seqs!$A:$B,2,0),AE347,1),"")</f>
        <v>E</v>
      </c>
      <c r="AE347" s="3">
        <v>728</v>
      </c>
      <c r="AF347" s="3" t="str">
        <f>IFERROR(MID(VLOOKUP($B347,Seqs!$A:$B,2,0),AG347,1),"")</f>
        <v>C</v>
      </c>
      <c r="AG347" s="3">
        <v>746</v>
      </c>
      <c r="AH347" s="3" t="str">
        <f>IFERROR(MID(VLOOKUP($B347,Seqs!$A:$B,2,0),AI347,1),"")</f>
        <v>T</v>
      </c>
      <c r="AI347" s="3">
        <v>748</v>
      </c>
      <c r="AJ347" s="3" t="str">
        <f>IFERROR(MID(VLOOKUP($B347,Seqs!$A:$B,2,0),AK347,1),"")</f>
        <v>S</v>
      </c>
      <c r="AK347" s="105">
        <v>749</v>
      </c>
      <c r="AL347" s="3" t="str">
        <f>IFERROR(MID(VLOOKUP($B347,Seqs!$A:$B,2,0),AM347,1),"")</f>
        <v>T</v>
      </c>
      <c r="AM347" s="3">
        <v>774</v>
      </c>
      <c r="AN347" s="3" t="str">
        <f>IFERROR(MID(VLOOKUP($B347,Seqs!$A:$B,2,0),AO347,1),"")</f>
        <v>E</v>
      </c>
      <c r="AO347" s="3">
        <v>783</v>
      </c>
      <c r="AP347" s="3" t="str">
        <f>IFERROR(MID(VLOOKUP($B347,Seqs!$A:$B,2,0),AQ347,1),"")</f>
        <v>G</v>
      </c>
      <c r="AQ347" s="3">
        <v>807</v>
      </c>
      <c r="AR347" s="3" t="str">
        <f>IFERROR(MID(VLOOKUP($B347,Seqs!$A:$B,2,0),AS347,1),"")</f>
        <v>Y</v>
      </c>
      <c r="AS347" s="105">
        <v>810</v>
      </c>
      <c r="AT347" s="3" t="str">
        <f>IFERROR(MID(VLOOKUP($B347,Seqs!$A:$B,2,0),AU347,1),"")</f>
        <v>K</v>
      </c>
      <c r="AU347" s="3">
        <v>841</v>
      </c>
      <c r="AV347" s="3" t="str">
        <f>IFERROR(MID(VLOOKUP($B347,Seqs!$A:$B,2,0),AW347,1),"")</f>
        <v/>
      </c>
      <c r="AW347" s="3" t="s">
        <v>23</v>
      </c>
      <c r="AX347" s="3" t="str">
        <f>IFERROR(MID(VLOOKUP($B347,Seqs!$A:$B,2,0),AY347,1),"")</f>
        <v/>
      </c>
      <c r="AY347" s="3" t="s">
        <v>23</v>
      </c>
      <c r="AZ347" s="77" t="str">
        <f>VLOOKUP(B347,Classification!A:D,2,0)</f>
        <v>C</v>
      </c>
      <c r="BA347" s="94" t="str">
        <f>VLOOKUP(B347,Classification!A:D,4,0)</f>
        <v>Metabotropicglutamate</v>
      </c>
      <c r="BB347" s="27" t="b">
        <f t="shared" si="1927"/>
        <v>1</v>
      </c>
      <c r="BC347" s="23">
        <f t="shared" si="1900"/>
        <v>206</v>
      </c>
      <c r="BD347" s="2" t="s">
        <v>1377</v>
      </c>
      <c r="BE347" s="3" t="s">
        <v>1375</v>
      </c>
      <c r="BF347" s="119">
        <v>2.8</v>
      </c>
      <c r="BG347" s="49" t="s">
        <v>1378</v>
      </c>
      <c r="BH347" s="49" t="s">
        <v>1378</v>
      </c>
      <c r="BJ347" s="70" t="s">
        <v>1288</v>
      </c>
      <c r="BK347" s="57" t="s">
        <v>1288</v>
      </c>
      <c r="BL347" s="57" t="s">
        <v>1288</v>
      </c>
      <c r="BM347" s="57" t="s">
        <v>1288</v>
      </c>
      <c r="BN347" s="57" t="s">
        <v>1288</v>
      </c>
      <c r="BO347" s="57" t="s">
        <v>1288</v>
      </c>
      <c r="BP347" s="57" t="s">
        <v>1288</v>
      </c>
      <c r="BQ347" s="57" t="s">
        <v>1288</v>
      </c>
      <c r="BR347" s="57" t="s">
        <v>1288</v>
      </c>
      <c r="BS347" s="57" t="s">
        <v>1288</v>
      </c>
      <c r="BT347" s="57" t="s">
        <v>1288</v>
      </c>
      <c r="BU347" s="57" t="s">
        <v>1288</v>
      </c>
      <c r="BV347" s="70">
        <f t="shared" si="1901"/>
        <v>591</v>
      </c>
      <c r="BW347" s="71">
        <f t="shared" si="1902"/>
        <v>620</v>
      </c>
      <c r="BX347" s="72">
        <f t="shared" si="1903"/>
        <v>627</v>
      </c>
      <c r="BY347" s="71" t="str">
        <f t="shared" si="1904"/>
        <v>-</v>
      </c>
      <c r="BZ347" s="72">
        <f t="shared" si="1905"/>
        <v>654</v>
      </c>
      <c r="CA347" s="71" t="str">
        <f t="shared" si="1906"/>
        <v>-</v>
      </c>
      <c r="CB347" s="72">
        <f t="shared" si="1907"/>
        <v>702</v>
      </c>
      <c r="CC347" s="71">
        <f t="shared" si="1908"/>
        <v>746</v>
      </c>
      <c r="CD347" s="72">
        <f t="shared" si="1909"/>
        <v>749</v>
      </c>
      <c r="CE347" s="71">
        <f t="shared" si="1910"/>
        <v>783</v>
      </c>
      <c r="CF347" s="72">
        <f t="shared" si="1911"/>
        <v>810</v>
      </c>
      <c r="CG347" s="71" t="str">
        <f t="shared" si="1912"/>
        <v>-</v>
      </c>
      <c r="CH347" s="70">
        <f t="shared" si="1913"/>
        <v>617</v>
      </c>
      <c r="CI347" s="71">
        <f t="shared" si="1914"/>
        <v>626</v>
      </c>
      <c r="CJ347" s="72">
        <f t="shared" si="1915"/>
        <v>649</v>
      </c>
      <c r="CK347" s="72" t="str">
        <f t="shared" si="1916"/>
        <v>-</v>
      </c>
      <c r="CL347" s="72">
        <f t="shared" si="1917"/>
        <v>686</v>
      </c>
      <c r="CM347" s="72" t="str">
        <f t="shared" si="1918"/>
        <v>-</v>
      </c>
      <c r="CN347" s="72">
        <f t="shared" si="1919"/>
        <v>728</v>
      </c>
      <c r="CO347" s="72">
        <f t="shared" si="1920"/>
        <v>748</v>
      </c>
      <c r="CP347" s="72">
        <f t="shared" si="1921"/>
        <v>774</v>
      </c>
      <c r="CQ347" s="72">
        <f t="shared" si="1922"/>
        <v>807</v>
      </c>
      <c r="CR347" s="72">
        <f t="shared" si="1923"/>
        <v>841</v>
      </c>
      <c r="CS347" s="72" t="str">
        <f t="shared" si="1924"/>
        <v>-</v>
      </c>
      <c r="CT347" s="23">
        <f t="shared" si="1925"/>
        <v>1</v>
      </c>
    </row>
    <row r="348" spans="1:1030" x14ac:dyDescent="0.2">
      <c r="A348" s="3" t="str">
        <f t="shared" si="1926"/>
        <v>grm5_human__wt</v>
      </c>
      <c r="B348" s="3" t="s">
        <v>41</v>
      </c>
      <c r="C348" s="3" t="s">
        <v>100</v>
      </c>
      <c r="D348" s="3" t="str">
        <f>IFERROR(MID(VLOOKUP($B348,Seqs!$A:$B,2,0),E348,1),"")</f>
        <v>P</v>
      </c>
      <c r="E348" s="3">
        <v>578</v>
      </c>
      <c r="F348" s="3" t="str">
        <f>IFERROR(MID(VLOOKUP($B348,Seqs!$A:$B,2,0),G348,1),"")</f>
        <v>Y</v>
      </c>
      <c r="G348" s="3">
        <v>604</v>
      </c>
      <c r="H348" s="3" t="str">
        <f>IFERROR(MID(VLOOKUP($B348,Seqs!$A:$B,2,0),I348,1),"")</f>
        <v>T</v>
      </c>
      <c r="I348" s="23">
        <v>607</v>
      </c>
      <c r="J348" s="3" t="str">
        <f>IFERROR(MID(VLOOKUP($B348,Seqs!$A:$B,2,0),K348,1),"")</f>
        <v>S</v>
      </c>
      <c r="K348" s="23">
        <v>613</v>
      </c>
      <c r="L348" s="3" t="str">
        <f>IFERROR(MID(VLOOKUP($B348,Seqs!$A:$B,2,0),M348,1),"")</f>
        <v>S</v>
      </c>
      <c r="M348" s="3">
        <v>614</v>
      </c>
      <c r="N348" s="3" t="str">
        <f>IFERROR(MID(VLOOKUP($B348,Seqs!$A:$B,2,0),O348,1),"")</f>
        <v>I</v>
      </c>
      <c r="O348" s="3">
        <v>636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K</v>
      </c>
      <c r="U348" s="105">
        <v>640</v>
      </c>
      <c r="V348" s="3" t="str">
        <f>IFERROR(MID(VLOOKUP($B348,Seqs!$A:$B,2,0),W348,1),"")</f>
        <v>L</v>
      </c>
      <c r="W348" s="3">
        <v>673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S</v>
      </c>
      <c r="AC348" s="9">
        <v>689</v>
      </c>
      <c r="AD348" s="3" t="str">
        <f>IFERROR(MID(VLOOKUP($B348,Seqs!$A:$B,2,0),AE348,1),"")</f>
        <v>E</v>
      </c>
      <c r="AE348" s="3">
        <v>715</v>
      </c>
      <c r="AF348" s="3" t="str">
        <f>IFERROR(MID(VLOOKUP($B348,Seqs!$A:$B,2,0),AG348,1),"")</f>
        <v>C</v>
      </c>
      <c r="AG348" s="3">
        <v>733</v>
      </c>
      <c r="AH348" s="3" t="str">
        <f>IFERROR(MID(VLOOKUP($B348,Seqs!$A:$B,2,0),AI348,1),"")</f>
        <v>T</v>
      </c>
      <c r="AI348" s="3">
        <v>735</v>
      </c>
      <c r="AJ348" s="3" t="str">
        <f>IFERROR(MID(VLOOKUP($B348,Seqs!$A:$B,2,0),AK348,1),"")</f>
        <v>T</v>
      </c>
      <c r="AK348" s="105">
        <v>736</v>
      </c>
      <c r="AL348" s="3" t="str">
        <f>IFERROR(MID(VLOOKUP($B348,Seqs!$A:$B,2,0),AM348,1),"")</f>
        <v>T</v>
      </c>
      <c r="AM348" s="3">
        <v>761</v>
      </c>
      <c r="AN348" s="3" t="str">
        <f>IFERROR(MID(VLOOKUP($B348,Seqs!$A:$B,2,0),AO348,1),"")</f>
        <v>E</v>
      </c>
      <c r="AO348" s="3">
        <v>770</v>
      </c>
      <c r="AP348" s="3" t="str">
        <f>IFERROR(MID(VLOOKUP($B348,Seqs!$A:$B,2,0),AQ348,1),"")</f>
        <v>G</v>
      </c>
      <c r="AQ348" s="3">
        <v>794</v>
      </c>
      <c r="AR348" s="3" t="str">
        <f>IFERROR(MID(VLOOKUP($B348,Seqs!$A:$B,2,0),AS348,1),"")</f>
        <v>Y</v>
      </c>
      <c r="AS348" s="105">
        <v>797</v>
      </c>
      <c r="AT348" s="3" t="str">
        <f>IFERROR(MID(VLOOKUP($B348,Seqs!$A:$B,2,0),AU348,1),"")</f>
        <v>K</v>
      </c>
      <c r="AU348" s="3">
        <v>828</v>
      </c>
      <c r="AV348" s="3" t="str">
        <f>IFERROR(MID(VLOOKUP($B348,Seqs!$A:$B,2,0),AW348,1),"")</f>
        <v>P</v>
      </c>
      <c r="AW348" s="3">
        <v>829</v>
      </c>
      <c r="AX348" s="3" t="str">
        <f>IFERROR(MID(VLOOKUP($B348,Seqs!$A:$B,2,0),AY348,1),"")</f>
        <v>S</v>
      </c>
      <c r="AY348" s="3">
        <v>840</v>
      </c>
      <c r="AZ348" s="77" t="str">
        <f>VLOOKUP(B348,Classification!A:D,2,0)</f>
        <v>C</v>
      </c>
      <c r="BA348" s="94" t="str">
        <f>VLOOKUP(B348,Classification!A:D,4,0)</f>
        <v>Metabotropicglutamate</v>
      </c>
      <c r="BB348" s="27" t="b">
        <f t="shared" si="1927"/>
        <v>1</v>
      </c>
      <c r="BC348" s="23">
        <f t="shared" si="1900"/>
        <v>218</v>
      </c>
      <c r="BD348" s="56" t="s">
        <v>23</v>
      </c>
      <c r="BE348" s="3" t="s">
        <v>23</v>
      </c>
      <c r="BF348" s="119" t="s">
        <v>23</v>
      </c>
      <c r="BG348" s="49" t="s">
        <v>1373</v>
      </c>
      <c r="BH348" s="49" t="s">
        <v>1378</v>
      </c>
      <c r="BJ348" s="70" t="s">
        <v>1288</v>
      </c>
      <c r="BK348" s="57" t="s">
        <v>1288</v>
      </c>
      <c r="BL348" s="57" t="s">
        <v>1288</v>
      </c>
      <c r="BM348" s="57" t="s">
        <v>1288</v>
      </c>
      <c r="BN348" s="57" t="s">
        <v>1288</v>
      </c>
      <c r="BO348" s="57" t="s">
        <v>1288</v>
      </c>
      <c r="BP348" s="57" t="s">
        <v>1288</v>
      </c>
      <c r="BQ348" s="57" t="s">
        <v>1288</v>
      </c>
      <c r="BR348" s="57" t="s">
        <v>1288</v>
      </c>
      <c r="BS348" s="57" t="s">
        <v>1288</v>
      </c>
      <c r="BT348" s="57" t="s">
        <v>1288</v>
      </c>
      <c r="BU348" s="57" t="s">
        <v>1288</v>
      </c>
      <c r="BV348" s="70">
        <f t="shared" si="1901"/>
        <v>578</v>
      </c>
      <c r="BW348" s="71">
        <f t="shared" si="1902"/>
        <v>607</v>
      </c>
      <c r="BX348" s="72">
        <f t="shared" si="1903"/>
        <v>614</v>
      </c>
      <c r="BY348" s="71" t="str">
        <f t="shared" si="1904"/>
        <v>-</v>
      </c>
      <c r="BZ348" s="72">
        <f t="shared" si="1905"/>
        <v>640</v>
      </c>
      <c r="CA348" s="71" t="str">
        <f t="shared" si="1906"/>
        <v>-</v>
      </c>
      <c r="CB348" s="72">
        <f t="shared" si="1907"/>
        <v>689</v>
      </c>
      <c r="CC348" s="71">
        <f t="shared" si="1908"/>
        <v>733</v>
      </c>
      <c r="CD348" s="72">
        <f t="shared" si="1909"/>
        <v>736</v>
      </c>
      <c r="CE348" s="71">
        <f t="shared" si="1910"/>
        <v>770</v>
      </c>
      <c r="CF348" s="72">
        <f t="shared" si="1911"/>
        <v>797</v>
      </c>
      <c r="CG348" s="71">
        <f t="shared" si="1912"/>
        <v>829</v>
      </c>
      <c r="CH348" s="70">
        <f t="shared" si="1913"/>
        <v>604</v>
      </c>
      <c r="CI348" s="71">
        <f t="shared" si="1914"/>
        <v>613</v>
      </c>
      <c r="CJ348" s="72">
        <f t="shared" si="1915"/>
        <v>636</v>
      </c>
      <c r="CK348" s="72" t="str">
        <f t="shared" si="1916"/>
        <v>-</v>
      </c>
      <c r="CL348" s="72">
        <f t="shared" si="1917"/>
        <v>673</v>
      </c>
      <c r="CM348" s="72" t="str">
        <f t="shared" si="1918"/>
        <v>-</v>
      </c>
      <c r="CN348" s="72">
        <f t="shared" si="1919"/>
        <v>715</v>
      </c>
      <c r="CO348" s="72">
        <f t="shared" si="1920"/>
        <v>735</v>
      </c>
      <c r="CP348" s="72">
        <f t="shared" si="1921"/>
        <v>761</v>
      </c>
      <c r="CQ348" s="72">
        <f t="shared" si="1922"/>
        <v>794</v>
      </c>
      <c r="CR348" s="72">
        <f t="shared" si="1923"/>
        <v>828</v>
      </c>
      <c r="CS348" s="72">
        <f t="shared" si="1924"/>
        <v>840</v>
      </c>
      <c r="CT348" s="23">
        <f t="shared" si="1925"/>
        <v>1</v>
      </c>
    </row>
    <row r="349" spans="1:1030" x14ac:dyDescent="0.2">
      <c r="A349" s="3" t="str">
        <f t="shared" si="1926"/>
        <v>grm5_human_4OO9</v>
      </c>
      <c r="B349" s="3" t="s">
        <v>41</v>
      </c>
      <c r="C349" s="3" t="s">
        <v>57</v>
      </c>
      <c r="D349" s="3" t="str">
        <f>IFERROR(MID(VLOOKUP($B349,Seqs!$A:$B,2,0),E349,1),"")</f>
        <v>P</v>
      </c>
      <c r="E349" s="3">
        <v>578</v>
      </c>
      <c r="F349" s="3" t="str">
        <f>IFERROR(MID(VLOOKUP($B349,Seqs!$A:$B,2,0),G349,1),"")</f>
        <v>Y</v>
      </c>
      <c r="G349" s="3">
        <v>604</v>
      </c>
      <c r="H349" s="3" t="str">
        <f>IFERROR(MID(VLOOKUP($B349,Seqs!$A:$B,2,0),I349,1),"")</f>
        <v>T</v>
      </c>
      <c r="I349" s="23">
        <v>607</v>
      </c>
      <c r="J349" s="3" t="str">
        <f>IFERROR(MID(VLOOKUP($B349,Seqs!$A:$B,2,0),K349,1),"")</f>
        <v>S</v>
      </c>
      <c r="K349" s="23">
        <v>613</v>
      </c>
      <c r="L349" s="3" t="str">
        <f>IFERROR(MID(VLOOKUP($B349,Seqs!$A:$B,2,0),M349,1),"")</f>
        <v>S</v>
      </c>
      <c r="M349" s="3">
        <v>614</v>
      </c>
      <c r="N349" s="3" t="str">
        <f>IFERROR(MID(VLOOKUP($B349,Seqs!$A:$B,2,0),O349,1),"")</f>
        <v>I</v>
      </c>
      <c r="O349" s="3">
        <v>636</v>
      </c>
      <c r="P349" s="3" t="str">
        <f>IFERROR(MID(VLOOKUP($B349,Seqs!$A:$B,2,0),Q349,1),"")</f>
        <v/>
      </c>
      <c r="Q349" s="3" t="s">
        <v>23</v>
      </c>
      <c r="R349" s="3" t="str">
        <f>IFERROR(MID(VLOOKUP($B349,Seqs!$A:$B,2,0),S349,1),"")</f>
        <v/>
      </c>
      <c r="S349" s="3" t="s">
        <v>23</v>
      </c>
      <c r="T349" s="3" t="str">
        <f>IFERROR(MID(VLOOKUP($B349,Seqs!$A:$B,2,0),U349,1),"")</f>
        <v>Q</v>
      </c>
      <c r="U349" s="3">
        <v>641</v>
      </c>
      <c r="V349" s="3" t="str">
        <f>IFERROR(MID(VLOOKUP($B349,Seqs!$A:$B,2,0),W349,1),"")</f>
        <v>K</v>
      </c>
      <c r="W349" s="3">
        <v>678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S</v>
      </c>
      <c r="AC349" s="9">
        <v>689</v>
      </c>
      <c r="AD349" s="3" t="str">
        <f>IFERROR(MID(VLOOKUP($B349,Seqs!$A:$B,2,0),AE349,1),"")</f>
        <v>E</v>
      </c>
      <c r="AE349" s="3">
        <v>715</v>
      </c>
      <c r="AF349" s="3" t="str">
        <f>IFERROR(MID(VLOOKUP($B349,Seqs!$A:$B,2,0),AG349,1),"")</f>
        <v>C</v>
      </c>
      <c r="AG349" s="3">
        <v>733</v>
      </c>
      <c r="AH349" s="3" t="str">
        <f>IFERROR(MID(VLOOKUP($B349,Seqs!$A:$B,2,0),AI349,1),"")</f>
        <v>T</v>
      </c>
      <c r="AI349" s="3">
        <v>735</v>
      </c>
      <c r="AJ349" s="3" t="str">
        <f>IFERROR(MID(VLOOKUP($B349,Seqs!$A:$B,2,0),AK349,1),"")</f>
        <v>N</v>
      </c>
      <c r="AK349" s="3">
        <v>737</v>
      </c>
      <c r="AL349" s="3" t="str">
        <f>IFERROR(MID(VLOOKUP($B349,Seqs!$A:$B,2,0),AM349,1),"")</f>
        <v>T</v>
      </c>
      <c r="AM349" s="3">
        <v>761</v>
      </c>
      <c r="AN349" s="3" t="str">
        <f>IFERROR(MID(VLOOKUP($B349,Seqs!$A:$B,2,0),AO349,1),"")</f>
        <v>E</v>
      </c>
      <c r="AO349" s="3">
        <v>770</v>
      </c>
      <c r="AP349" s="3" t="str">
        <f>IFERROR(MID(VLOOKUP($B349,Seqs!$A:$B,2,0),AQ349,1),"")</f>
        <v>G</v>
      </c>
      <c r="AQ349" s="3">
        <v>794</v>
      </c>
      <c r="AR349" s="3" t="str">
        <f>IFERROR(MID(VLOOKUP($B349,Seqs!$A:$B,2,0),AS349,1),"")</f>
        <v>Y</v>
      </c>
      <c r="AS349" s="105">
        <v>797</v>
      </c>
      <c r="AT349" s="3" t="str">
        <f>IFERROR(MID(VLOOKUP($B349,Seqs!$A:$B,2,0),AU349,1),"")</f>
        <v>K</v>
      </c>
      <c r="AU349" s="3">
        <v>828</v>
      </c>
      <c r="AV349" s="3" t="str">
        <f>IFERROR(MID(VLOOKUP($B349,Seqs!$A:$B,2,0),AW349,1),"")</f>
        <v>P</v>
      </c>
      <c r="AW349" s="3">
        <v>829</v>
      </c>
      <c r="AX349" s="3" t="str">
        <f>IFERROR(MID(VLOOKUP($B349,Seqs!$A:$B,2,0),AY349,1),"")</f>
        <v>N</v>
      </c>
      <c r="AY349" s="3">
        <v>832</v>
      </c>
      <c r="AZ349" s="77" t="str">
        <f>VLOOKUP(B349,Classification!A:D,2,0)</f>
        <v>C</v>
      </c>
      <c r="BA349" s="94" t="str">
        <f>VLOOKUP(B349,Classification!A:D,4,0)</f>
        <v>Metabotropicglutamate</v>
      </c>
      <c r="BB349" s="27" t="b">
        <f t="shared" si="1927"/>
        <v>1</v>
      </c>
      <c r="BC349" s="23">
        <f t="shared" si="1900"/>
        <v>213</v>
      </c>
      <c r="BD349" s="106" t="s">
        <v>1377</v>
      </c>
      <c r="BE349" s="3" t="s">
        <v>1375</v>
      </c>
      <c r="BF349" s="119">
        <v>2.6</v>
      </c>
      <c r="BG349" s="49" t="s">
        <v>1378</v>
      </c>
      <c r="BH349" s="49" t="s">
        <v>1378</v>
      </c>
      <c r="BJ349" s="70" t="s">
        <v>1288</v>
      </c>
      <c r="BK349" s="57" t="s">
        <v>1288</v>
      </c>
      <c r="BL349" s="57" t="s">
        <v>1288</v>
      </c>
      <c r="BM349" s="57" t="s">
        <v>1288</v>
      </c>
      <c r="BN349" s="57" t="s">
        <v>1288</v>
      </c>
      <c r="BO349" s="57" t="s">
        <v>1288</v>
      </c>
      <c r="BP349" s="57" t="s">
        <v>1288</v>
      </c>
      <c r="BQ349" s="57" t="s">
        <v>1288</v>
      </c>
      <c r="BR349" s="57" t="s">
        <v>1288</v>
      </c>
      <c r="BS349" s="57" t="s">
        <v>1288</v>
      </c>
      <c r="BT349" s="57" t="s">
        <v>1288</v>
      </c>
      <c r="BU349" s="57" t="s">
        <v>1288</v>
      </c>
      <c r="BV349" s="70">
        <f t="shared" si="1901"/>
        <v>578</v>
      </c>
      <c r="BW349" s="71">
        <f t="shared" si="1902"/>
        <v>607</v>
      </c>
      <c r="BX349" s="72">
        <f t="shared" si="1903"/>
        <v>614</v>
      </c>
      <c r="BY349" s="71" t="str">
        <f t="shared" si="1904"/>
        <v>-</v>
      </c>
      <c r="BZ349" s="72">
        <f t="shared" si="1905"/>
        <v>641</v>
      </c>
      <c r="CA349" s="71" t="str">
        <f t="shared" si="1906"/>
        <v>-</v>
      </c>
      <c r="CB349" s="72">
        <f t="shared" si="1907"/>
        <v>689</v>
      </c>
      <c r="CC349" s="71">
        <f t="shared" si="1908"/>
        <v>733</v>
      </c>
      <c r="CD349" s="72">
        <f t="shared" si="1909"/>
        <v>737</v>
      </c>
      <c r="CE349" s="71">
        <f t="shared" si="1910"/>
        <v>770</v>
      </c>
      <c r="CF349" s="72">
        <f t="shared" si="1911"/>
        <v>797</v>
      </c>
      <c r="CG349" s="71">
        <f t="shared" si="1912"/>
        <v>829</v>
      </c>
      <c r="CH349" s="70">
        <f t="shared" si="1913"/>
        <v>604</v>
      </c>
      <c r="CI349" s="71">
        <f t="shared" si="1914"/>
        <v>613</v>
      </c>
      <c r="CJ349" s="72">
        <f t="shared" si="1915"/>
        <v>636</v>
      </c>
      <c r="CK349" s="72" t="str">
        <f t="shared" si="1916"/>
        <v>-</v>
      </c>
      <c r="CL349" s="72">
        <f t="shared" si="1917"/>
        <v>678</v>
      </c>
      <c r="CM349" s="72" t="str">
        <f t="shared" si="1918"/>
        <v>-</v>
      </c>
      <c r="CN349" s="72">
        <f t="shared" si="1919"/>
        <v>715</v>
      </c>
      <c r="CO349" s="72">
        <f t="shared" si="1920"/>
        <v>735</v>
      </c>
      <c r="CP349" s="72">
        <f t="shared" si="1921"/>
        <v>761</v>
      </c>
      <c r="CQ349" s="72">
        <f t="shared" si="1922"/>
        <v>794</v>
      </c>
      <c r="CR349" s="72">
        <f t="shared" si="1923"/>
        <v>828</v>
      </c>
      <c r="CS349" s="72">
        <f t="shared" si="1924"/>
        <v>832</v>
      </c>
      <c r="CT349" s="23">
        <f t="shared" si="1925"/>
        <v>1</v>
      </c>
    </row>
    <row r="350" spans="1:1030" x14ac:dyDescent="0.2">
      <c r="A350" s="3" t="str">
        <f t="shared" si="1926"/>
        <v>grm5_human_5CGC</v>
      </c>
      <c r="B350" s="3" t="s">
        <v>41</v>
      </c>
      <c r="C350" s="3" t="s">
        <v>58</v>
      </c>
      <c r="D350" s="3" t="str">
        <f>IFERROR(MID(VLOOKUP($B350,Seqs!$A:$B,2,0),E350,1),"")</f>
        <v>P</v>
      </c>
      <c r="E350" s="3">
        <v>578</v>
      </c>
      <c r="F350" s="3" t="str">
        <f>IFERROR(MID(VLOOKUP($B350,Seqs!$A:$B,2,0),G350,1),"")</f>
        <v>Y</v>
      </c>
      <c r="G350" s="3">
        <v>604</v>
      </c>
      <c r="H350" s="3" t="str">
        <f>IFERROR(MID(VLOOKUP($B350,Seqs!$A:$B,2,0),I350,1),"")</f>
        <v>T</v>
      </c>
      <c r="I350" s="23">
        <v>607</v>
      </c>
      <c r="J350" s="3" t="str">
        <f>IFERROR(MID(VLOOKUP($B350,Seqs!$A:$B,2,0),K350,1),"")</f>
        <v>S</v>
      </c>
      <c r="K350" s="23">
        <v>613</v>
      </c>
      <c r="L350" s="3" t="str">
        <f>IFERROR(MID(VLOOKUP($B350,Seqs!$A:$B,2,0),M350,1),"")</f>
        <v>S</v>
      </c>
      <c r="M350" s="3">
        <v>614</v>
      </c>
      <c r="N350" s="3" t="str">
        <f>IFERROR(MID(VLOOKUP($B350,Seqs!$A:$B,2,0),O350,1),"")</f>
        <v>I</v>
      </c>
      <c r="O350" s="3">
        <v>636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K</v>
      </c>
      <c r="U350" s="105">
        <v>640</v>
      </c>
      <c r="V350" s="3" t="str">
        <f>IFERROR(MID(VLOOKUP($B350,Seqs!$A:$B,2,0),W350,1),"")</f>
        <v>K</v>
      </c>
      <c r="W350" s="3">
        <v>678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S</v>
      </c>
      <c r="AC350" s="9">
        <v>689</v>
      </c>
      <c r="AD350" s="3" t="str">
        <f>IFERROR(MID(VLOOKUP($B350,Seqs!$A:$B,2,0),AE350,1),"")</f>
        <v>E</v>
      </c>
      <c r="AE350" s="3">
        <v>715</v>
      </c>
      <c r="AF350" s="3" t="str">
        <f>IFERROR(MID(VLOOKUP($B350,Seqs!$A:$B,2,0),AG350,1),"")</f>
        <v>C</v>
      </c>
      <c r="AG350" s="3">
        <v>733</v>
      </c>
      <c r="AH350" s="3" t="str">
        <f>IFERROR(MID(VLOOKUP($B350,Seqs!$A:$B,2,0),AI350,1),"")</f>
        <v>T</v>
      </c>
      <c r="AI350" s="3">
        <v>735</v>
      </c>
      <c r="AJ350" s="3" t="str">
        <f>IFERROR(MID(VLOOKUP($B350,Seqs!$A:$B,2,0),AK350,1),"")</f>
        <v>N</v>
      </c>
      <c r="AK350" s="3">
        <v>737</v>
      </c>
      <c r="AL350" s="3" t="str">
        <f>IFERROR(MID(VLOOKUP($B350,Seqs!$A:$B,2,0),AM350,1),"")</f>
        <v>T</v>
      </c>
      <c r="AM350" s="3">
        <v>761</v>
      </c>
      <c r="AN350" s="3" t="str">
        <f>IFERROR(MID(VLOOKUP($B350,Seqs!$A:$B,2,0),AO350,1),"")</f>
        <v>E</v>
      </c>
      <c r="AO350" s="3">
        <v>770</v>
      </c>
      <c r="AP350" s="3" t="str">
        <f>IFERROR(MID(VLOOKUP($B350,Seqs!$A:$B,2,0),AQ350,1),"")</f>
        <v>G</v>
      </c>
      <c r="AQ350" s="3">
        <v>794</v>
      </c>
      <c r="AR350" s="3" t="str">
        <f>IFERROR(MID(VLOOKUP($B350,Seqs!$A:$B,2,0),AS350,1),"")</f>
        <v>Y</v>
      </c>
      <c r="AS350" s="105">
        <v>797</v>
      </c>
      <c r="AT350" s="3" t="str">
        <f>IFERROR(MID(VLOOKUP($B350,Seqs!$A:$B,2,0),AU350,1),"")</f>
        <v>K</v>
      </c>
      <c r="AU350" s="3">
        <v>828</v>
      </c>
      <c r="AV350" s="3" t="str">
        <f>IFERROR(MID(VLOOKUP($B350,Seqs!$A:$B,2,0),AW350,1),"")</f>
        <v>P</v>
      </c>
      <c r="AW350" s="3">
        <v>829</v>
      </c>
      <c r="AX350" s="3" t="str">
        <f>IFERROR(MID(VLOOKUP($B350,Seqs!$A:$B,2,0),AY350,1),"")</f>
        <v>N</v>
      </c>
      <c r="AY350" s="3">
        <v>832</v>
      </c>
      <c r="AZ350" s="77" t="str">
        <f>VLOOKUP(B350,Classification!A:D,2,0)</f>
        <v>C</v>
      </c>
      <c r="BA350" s="94" t="str">
        <f>VLOOKUP(B350,Classification!A:D,4,0)</f>
        <v>Metabotropicglutamate</v>
      </c>
      <c r="BB350" s="27" t="b">
        <f t="shared" si="1927"/>
        <v>1</v>
      </c>
      <c r="BC350" s="23">
        <f t="shared" si="1900"/>
        <v>214</v>
      </c>
      <c r="BD350" s="4" t="s">
        <v>23</v>
      </c>
      <c r="BE350" s="3" t="s">
        <v>1375</v>
      </c>
      <c r="BF350" s="119">
        <v>3.1</v>
      </c>
      <c r="BG350" s="49" t="s">
        <v>1378</v>
      </c>
      <c r="BH350" s="49" t="s">
        <v>1378</v>
      </c>
      <c r="BJ350" s="70" t="s">
        <v>1288</v>
      </c>
      <c r="BK350" s="57" t="s">
        <v>1288</v>
      </c>
      <c r="BL350" s="57" t="s">
        <v>1288</v>
      </c>
      <c r="BM350" s="57" t="s">
        <v>1288</v>
      </c>
      <c r="BN350" s="57" t="s">
        <v>1288</v>
      </c>
      <c r="BO350" s="57" t="s">
        <v>1288</v>
      </c>
      <c r="BP350" s="57" t="s">
        <v>1288</v>
      </c>
      <c r="BQ350" s="57" t="s">
        <v>1288</v>
      </c>
      <c r="BR350" s="57" t="s">
        <v>1288</v>
      </c>
      <c r="BS350" s="57" t="s">
        <v>1288</v>
      </c>
      <c r="BT350" s="57" t="s">
        <v>1288</v>
      </c>
      <c r="BU350" s="57" t="s">
        <v>1288</v>
      </c>
      <c r="BV350" s="70">
        <f t="shared" si="1901"/>
        <v>578</v>
      </c>
      <c r="BW350" s="71">
        <f t="shared" si="1902"/>
        <v>607</v>
      </c>
      <c r="BX350" s="72">
        <f t="shared" si="1903"/>
        <v>614</v>
      </c>
      <c r="BY350" s="71" t="str">
        <f t="shared" si="1904"/>
        <v>-</v>
      </c>
      <c r="BZ350" s="72">
        <f t="shared" si="1905"/>
        <v>640</v>
      </c>
      <c r="CA350" s="71" t="str">
        <f t="shared" si="1906"/>
        <v>-</v>
      </c>
      <c r="CB350" s="72">
        <f t="shared" si="1907"/>
        <v>689</v>
      </c>
      <c r="CC350" s="71">
        <f t="shared" si="1908"/>
        <v>733</v>
      </c>
      <c r="CD350" s="72">
        <f t="shared" si="1909"/>
        <v>737</v>
      </c>
      <c r="CE350" s="71">
        <f t="shared" si="1910"/>
        <v>770</v>
      </c>
      <c r="CF350" s="72">
        <f t="shared" si="1911"/>
        <v>797</v>
      </c>
      <c r="CG350" s="71">
        <f t="shared" si="1912"/>
        <v>829</v>
      </c>
      <c r="CH350" s="70">
        <f t="shared" si="1913"/>
        <v>604</v>
      </c>
      <c r="CI350" s="71">
        <f t="shared" si="1914"/>
        <v>613</v>
      </c>
      <c r="CJ350" s="72">
        <f t="shared" si="1915"/>
        <v>636</v>
      </c>
      <c r="CK350" s="72" t="str">
        <f t="shared" si="1916"/>
        <v>-</v>
      </c>
      <c r="CL350" s="72">
        <f t="shared" si="1917"/>
        <v>678</v>
      </c>
      <c r="CM350" s="72" t="str">
        <f t="shared" si="1918"/>
        <v>-</v>
      </c>
      <c r="CN350" s="72">
        <f t="shared" si="1919"/>
        <v>715</v>
      </c>
      <c r="CO350" s="72">
        <f t="shared" si="1920"/>
        <v>735</v>
      </c>
      <c r="CP350" s="72">
        <f t="shared" si="1921"/>
        <v>761</v>
      </c>
      <c r="CQ350" s="72">
        <f t="shared" si="1922"/>
        <v>794</v>
      </c>
      <c r="CR350" s="72">
        <f t="shared" si="1923"/>
        <v>828</v>
      </c>
      <c r="CS350" s="72">
        <f t="shared" si="1924"/>
        <v>832</v>
      </c>
      <c r="CT350" s="23">
        <f t="shared" si="1925"/>
        <v>1</v>
      </c>
    </row>
    <row r="351" spans="1:1030" x14ac:dyDescent="0.2">
      <c r="A351" s="3" t="str">
        <f t="shared" si="1926"/>
        <v>grm5_human_5CGD</v>
      </c>
      <c r="B351" s="3" t="s">
        <v>41</v>
      </c>
      <c r="C351" s="3" t="s">
        <v>59</v>
      </c>
      <c r="D351" s="3" t="str">
        <f>IFERROR(MID(VLOOKUP($B351,Seqs!$A:$B,2,0),E351,1),"")</f>
        <v>P</v>
      </c>
      <c r="E351" s="3">
        <v>578</v>
      </c>
      <c r="F351" s="3" t="str">
        <f>IFERROR(MID(VLOOKUP($B351,Seqs!$A:$B,2,0),G351,1),"")</f>
        <v>Y</v>
      </c>
      <c r="G351" s="3">
        <v>604</v>
      </c>
      <c r="H351" s="3" t="str">
        <f>IFERROR(MID(VLOOKUP($B351,Seqs!$A:$B,2,0),I351,1),"")</f>
        <v>T</v>
      </c>
      <c r="I351" s="23">
        <v>607</v>
      </c>
      <c r="J351" s="3" t="str">
        <f>IFERROR(MID(VLOOKUP($B351,Seqs!$A:$B,2,0),K351,1),"")</f>
        <v>S</v>
      </c>
      <c r="K351" s="23">
        <v>613</v>
      </c>
      <c r="L351" s="3" t="str">
        <f>IFERROR(MID(VLOOKUP($B351,Seqs!$A:$B,2,0),M351,1),"")</f>
        <v>S</v>
      </c>
      <c r="M351" s="3">
        <v>614</v>
      </c>
      <c r="N351" s="3" t="str">
        <f>IFERROR(MID(VLOOKUP($B351,Seqs!$A:$B,2,0),O351,1),"")</f>
        <v>I</v>
      </c>
      <c r="O351" s="3">
        <v>636</v>
      </c>
      <c r="P351" s="3" t="str">
        <f>IFERROR(MID(VLOOKUP($B351,Seqs!$A:$B,2,0),Q351,1),"")</f>
        <v/>
      </c>
      <c r="Q351" s="3" t="s">
        <v>23</v>
      </c>
      <c r="R351" s="3" t="str">
        <f>IFERROR(MID(VLOOKUP($B351,Seqs!$A:$B,2,0),S351,1),"")</f>
        <v/>
      </c>
      <c r="S351" s="3" t="s">
        <v>23</v>
      </c>
      <c r="T351" s="3" t="str">
        <f>IFERROR(MID(VLOOKUP($B351,Seqs!$A:$B,2,0),U351,1),"")</f>
        <v>Q</v>
      </c>
      <c r="U351" s="3">
        <v>641</v>
      </c>
      <c r="V351" s="3" t="str">
        <f>IFERROR(MID(VLOOKUP($B351,Seqs!$A:$B,2,0),W351,1),"")</f>
        <v>K</v>
      </c>
      <c r="W351" s="3">
        <v>678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S</v>
      </c>
      <c r="AC351" s="9">
        <v>689</v>
      </c>
      <c r="AD351" s="3" t="str">
        <f>IFERROR(MID(VLOOKUP($B351,Seqs!$A:$B,2,0),AE351,1),"")</f>
        <v>E</v>
      </c>
      <c r="AE351" s="3">
        <v>715</v>
      </c>
      <c r="AF351" s="3" t="str">
        <f>IFERROR(MID(VLOOKUP($B351,Seqs!$A:$B,2,0),AG351,1),"")</f>
        <v>C</v>
      </c>
      <c r="AG351" s="3">
        <v>733</v>
      </c>
      <c r="AH351" s="3" t="str">
        <f>IFERROR(MID(VLOOKUP($B351,Seqs!$A:$B,2,0),AI351,1),"")</f>
        <v>T</v>
      </c>
      <c r="AI351" s="3">
        <v>735</v>
      </c>
      <c r="AJ351" s="3" t="str">
        <f>IFERROR(MID(VLOOKUP($B351,Seqs!$A:$B,2,0),AK351,1),"")</f>
        <v>N</v>
      </c>
      <c r="AK351" s="3">
        <v>737</v>
      </c>
      <c r="AL351" s="3" t="str">
        <f>IFERROR(MID(VLOOKUP($B351,Seqs!$A:$B,2,0),AM351,1),"")</f>
        <v>T</v>
      </c>
      <c r="AM351" s="3">
        <v>761</v>
      </c>
      <c r="AN351" s="3" t="str">
        <f>IFERROR(MID(VLOOKUP($B351,Seqs!$A:$B,2,0),AO351,1),"")</f>
        <v>E</v>
      </c>
      <c r="AO351" s="3">
        <v>770</v>
      </c>
      <c r="AP351" s="3" t="str">
        <f>IFERROR(MID(VLOOKUP($B351,Seqs!$A:$B,2,0),AQ351,1),"")</f>
        <v>G</v>
      </c>
      <c r="AQ351" s="3">
        <v>794</v>
      </c>
      <c r="AR351" s="3" t="str">
        <f>IFERROR(MID(VLOOKUP($B351,Seqs!$A:$B,2,0),AS351,1),"")</f>
        <v>Y</v>
      </c>
      <c r="AS351" s="105">
        <v>797</v>
      </c>
      <c r="AT351" s="3" t="str">
        <f>IFERROR(MID(VLOOKUP($B351,Seqs!$A:$B,2,0),AU351,1),"")</f>
        <v>K</v>
      </c>
      <c r="AU351" s="3">
        <v>828</v>
      </c>
      <c r="AV351" s="3" t="str">
        <f>IFERROR(MID(VLOOKUP($B351,Seqs!$A:$B,2,0),AW351,1),"")</f>
        <v>P</v>
      </c>
      <c r="AW351" s="3">
        <v>829</v>
      </c>
      <c r="AX351" s="3" t="str">
        <f>IFERROR(MID(VLOOKUP($B351,Seqs!$A:$B,2,0),AY351,1),"")</f>
        <v>R</v>
      </c>
      <c r="AY351" s="3">
        <v>831</v>
      </c>
      <c r="AZ351" s="77" t="str">
        <f>VLOOKUP(B351,Classification!A:D,2,0)</f>
        <v>C</v>
      </c>
      <c r="BA351" s="94" t="str">
        <f>VLOOKUP(B351,Classification!A:D,4,0)</f>
        <v>Metabotropicglutamate</v>
      </c>
      <c r="BB351" s="27" t="b">
        <f t="shared" si="1927"/>
        <v>1</v>
      </c>
      <c r="BC351" s="23">
        <f t="shared" si="1900"/>
        <v>212</v>
      </c>
      <c r="BD351" s="4" t="s">
        <v>23</v>
      </c>
      <c r="BE351" s="3" t="s">
        <v>1375</v>
      </c>
      <c r="BF351" s="119">
        <v>2.6</v>
      </c>
      <c r="BG351" s="49" t="s">
        <v>1378</v>
      </c>
      <c r="BH351" s="49" t="s">
        <v>1378</v>
      </c>
      <c r="BJ351" s="70" t="s">
        <v>1288</v>
      </c>
      <c r="BK351" s="57" t="s">
        <v>1288</v>
      </c>
      <c r="BL351" s="57" t="s">
        <v>1288</v>
      </c>
      <c r="BM351" s="57" t="s">
        <v>1288</v>
      </c>
      <c r="BN351" s="57" t="s">
        <v>1288</v>
      </c>
      <c r="BO351" s="57" t="s">
        <v>1288</v>
      </c>
      <c r="BP351" s="57" t="s">
        <v>1288</v>
      </c>
      <c r="BQ351" s="57" t="s">
        <v>1288</v>
      </c>
      <c r="BR351" s="57" t="s">
        <v>1288</v>
      </c>
      <c r="BS351" s="57" t="s">
        <v>1288</v>
      </c>
      <c r="BT351" s="57" t="s">
        <v>1288</v>
      </c>
      <c r="BU351" s="57" t="s">
        <v>1288</v>
      </c>
      <c r="BV351" s="70">
        <f t="shared" si="1901"/>
        <v>578</v>
      </c>
      <c r="BW351" s="71">
        <f t="shared" si="1902"/>
        <v>607</v>
      </c>
      <c r="BX351" s="72">
        <f t="shared" si="1903"/>
        <v>614</v>
      </c>
      <c r="BY351" s="71" t="str">
        <f t="shared" si="1904"/>
        <v>-</v>
      </c>
      <c r="BZ351" s="72">
        <f t="shared" si="1905"/>
        <v>641</v>
      </c>
      <c r="CA351" s="71" t="str">
        <f t="shared" si="1906"/>
        <v>-</v>
      </c>
      <c r="CB351" s="72">
        <f t="shared" si="1907"/>
        <v>689</v>
      </c>
      <c r="CC351" s="71">
        <f t="shared" si="1908"/>
        <v>733</v>
      </c>
      <c r="CD351" s="72">
        <f t="shared" si="1909"/>
        <v>737</v>
      </c>
      <c r="CE351" s="71">
        <f t="shared" si="1910"/>
        <v>770</v>
      </c>
      <c r="CF351" s="72">
        <f t="shared" si="1911"/>
        <v>797</v>
      </c>
      <c r="CG351" s="71">
        <f t="shared" si="1912"/>
        <v>829</v>
      </c>
      <c r="CH351" s="70">
        <f t="shared" si="1913"/>
        <v>604</v>
      </c>
      <c r="CI351" s="71">
        <f t="shared" si="1914"/>
        <v>613</v>
      </c>
      <c r="CJ351" s="72">
        <f t="shared" si="1915"/>
        <v>636</v>
      </c>
      <c r="CK351" s="72" t="str">
        <f t="shared" si="1916"/>
        <v>-</v>
      </c>
      <c r="CL351" s="72">
        <f t="shared" si="1917"/>
        <v>678</v>
      </c>
      <c r="CM351" s="72" t="str">
        <f t="shared" si="1918"/>
        <v>-</v>
      </c>
      <c r="CN351" s="72">
        <f t="shared" si="1919"/>
        <v>715</v>
      </c>
      <c r="CO351" s="72">
        <f t="shared" si="1920"/>
        <v>735</v>
      </c>
      <c r="CP351" s="72">
        <f t="shared" si="1921"/>
        <v>761</v>
      </c>
      <c r="CQ351" s="72">
        <f t="shared" si="1922"/>
        <v>794</v>
      </c>
      <c r="CR351" s="72">
        <f t="shared" si="1923"/>
        <v>828</v>
      </c>
      <c r="CS351" s="72">
        <f t="shared" si="1924"/>
        <v>831</v>
      </c>
      <c r="CT351" s="23">
        <f t="shared" si="1925"/>
        <v>1</v>
      </c>
      <c r="AMP351" s="3"/>
    </row>
    <row r="352" spans="1:1030" x14ac:dyDescent="0.2">
      <c r="A352" s="3" t="str">
        <f>CONCATENATE(B352,"_",C352)</f>
        <v>grm5_human_6FFH</v>
      </c>
      <c r="B352" s="3" t="s">
        <v>41</v>
      </c>
      <c r="C352" s="3" t="s">
        <v>1475</v>
      </c>
      <c r="D352" s="3" t="str">
        <f>IFERROR(MID(VLOOKUP($B352,Seqs!$A:$B,2,0),E352,1),"")</f>
        <v>P</v>
      </c>
      <c r="E352" s="3">
        <v>578</v>
      </c>
      <c r="F352" s="3" t="str">
        <f>IFERROR(MID(VLOOKUP($B352,Seqs!$A:$B,2,0),G352,1),"")</f>
        <v>Y</v>
      </c>
      <c r="G352" s="3">
        <v>604</v>
      </c>
      <c r="H352" s="3" t="str">
        <f>IFERROR(MID(VLOOKUP($B352,Seqs!$A:$B,2,0),I352,1),"")</f>
        <v>T</v>
      </c>
      <c r="I352" s="23">
        <v>607</v>
      </c>
      <c r="J352" s="3" t="str">
        <f>IFERROR(MID(VLOOKUP($B352,Seqs!$A:$B,2,0),K352,1),"")</f>
        <v>S</v>
      </c>
      <c r="K352" s="23">
        <v>613</v>
      </c>
      <c r="L352" s="3" t="str">
        <f>IFERROR(MID(VLOOKUP($B352,Seqs!$A:$B,2,0),M352,1),"")</f>
        <v>S</v>
      </c>
      <c r="M352" s="3">
        <v>614</v>
      </c>
      <c r="N352" s="3" t="str">
        <f>IFERROR(MID(VLOOKUP($B352,Seqs!$A:$B,2,0),O352,1),"")</f>
        <v>I</v>
      </c>
      <c r="O352" s="3">
        <v>636</v>
      </c>
      <c r="P352" s="3" t="str">
        <f>IFERROR(MID(VLOOKUP($B352,Seqs!$A:$B,2,0),Q352,1),"")</f>
        <v/>
      </c>
      <c r="Q352" s="3" t="s">
        <v>23</v>
      </c>
      <c r="R352" s="3" t="str">
        <f>IFERROR(MID(VLOOKUP($B352,Seqs!$A:$B,2,0),S352,1),"")</f>
        <v/>
      </c>
      <c r="S352" s="3" t="s">
        <v>23</v>
      </c>
      <c r="T352" s="3" t="str">
        <f>IFERROR(MID(VLOOKUP($B352,Seqs!$A:$B,2,0),U352,1),"")</f>
        <v>K</v>
      </c>
      <c r="U352" s="3">
        <v>640</v>
      </c>
      <c r="V352" s="3" t="str">
        <f>IFERROR(MID(VLOOKUP($B352,Seqs!$A:$B,2,0),W352,1),"")</f>
        <v>K</v>
      </c>
      <c r="W352" s="3">
        <v>678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/>
      </c>
      <c r="AC352" s="3">
        <v>1689</v>
      </c>
      <c r="AD352" s="3" t="str">
        <f>IFERROR(MID(VLOOKUP($B352,Seqs!$A:$B,2,0),AE352,1),"")</f>
        <v/>
      </c>
      <c r="AE352" s="3">
        <v>1715</v>
      </c>
      <c r="AF352" s="3" t="str">
        <f>IFERROR(MID(VLOOKUP($B352,Seqs!$A:$B,2,0),AG352,1),"")</f>
        <v/>
      </c>
      <c r="AG352" s="3">
        <v>1733</v>
      </c>
      <c r="AH352" s="3" t="str">
        <f>IFERROR(MID(VLOOKUP($B352,Seqs!$A:$B,2,0),AI352,1),"")</f>
        <v/>
      </c>
      <c r="AI352" s="3">
        <v>1735</v>
      </c>
      <c r="AJ352" s="3" t="str">
        <f>IFERROR(MID(VLOOKUP($B352,Seqs!$A:$B,2,0),AK352,1),"")</f>
        <v/>
      </c>
      <c r="AK352" s="3">
        <v>1736</v>
      </c>
      <c r="AL352" s="3" t="str">
        <f>IFERROR(MID(VLOOKUP($B352,Seqs!$A:$B,2,0),AM352,1),"")</f>
        <v/>
      </c>
      <c r="AM352" s="3">
        <v>1761</v>
      </c>
      <c r="AN352" s="3" t="str">
        <f>IFERROR(MID(VLOOKUP($B352,Seqs!$A:$B,2,0),AO352,1),"")</f>
        <v/>
      </c>
      <c r="AO352" s="3">
        <v>1770</v>
      </c>
      <c r="AP352" s="3" t="str">
        <f>IFERROR(MID(VLOOKUP($B352,Seqs!$A:$B,2,0),AQ352,1),"")</f>
        <v/>
      </c>
      <c r="AQ352" s="3">
        <v>1794</v>
      </c>
      <c r="AR352" s="3" t="str">
        <f>IFERROR(MID(VLOOKUP($B352,Seqs!$A:$B,2,0),AS352,1),"")</f>
        <v/>
      </c>
      <c r="AS352" s="3">
        <v>1797</v>
      </c>
      <c r="AT352" s="3" t="str">
        <f>IFERROR(MID(VLOOKUP($B352,Seqs!$A:$B,2,0),AU352,1),"")</f>
        <v/>
      </c>
      <c r="AU352" s="3">
        <v>1828</v>
      </c>
      <c r="AV352" s="3" t="str">
        <f>IFERROR(MID(VLOOKUP($B352,Seqs!$A:$B,2,0),AW352,1),"")</f>
        <v/>
      </c>
      <c r="AW352" s="3">
        <v>1829</v>
      </c>
      <c r="AX352" s="3" t="str">
        <f>IFERROR(MID(VLOOKUP($B352,Seqs!$A:$B,2,0),AY352,1),"")</f>
        <v/>
      </c>
      <c r="AY352" s="3">
        <v>1832</v>
      </c>
      <c r="AZ352" s="77" t="str">
        <f>VLOOKUP(B352,Classification!A:D,2,0)</f>
        <v>C</v>
      </c>
      <c r="BA352" s="94" t="str">
        <f>VLOOKUP(B352,Classification!A:D,4,0)</f>
        <v>Metabotropicglutamate</v>
      </c>
      <c r="BB352" s="27" t="b">
        <f>AND(E352&lt;G352,OR(G352&lt;I352,I352="-"),OR(I352&lt;K352,I352="-"),OR(K352&lt;M352,K352="-"),M352&lt;O352,OR(O352&lt;Q352,Q352="-"),OR(Q352&lt;S352,Q352="-"),OR(S352&lt;U352,S352="-"),U352&lt;W352,OR(W352&lt;Y352,Y352="-"),OR(Y352&lt;AA352,Y352="-"),OR(AA352&lt;AC352,AA352="-"),AC352&lt;AE352,OR(AE352&lt;AG352,AG352="-"),OR(AG352&lt;AI352,AG352="-"),OR(AI352&lt;AK352,AI352="-"),AK352&lt;AM352,AM352&lt;AO352,AO352&lt;AQ352,AQ352&lt;AS352,AS352&lt;AU352,OR(AU352&lt;AW352,AW352="-"),OR(AW352&lt;AY352,AW352="-"))</f>
        <v>1</v>
      </c>
      <c r="BC352" s="23">
        <f>_xlfn.AGGREGATE(9,6,CH352:CS352)-_xlfn.AGGREGATE(9,6,BV352:CG352)+12</f>
        <v>215</v>
      </c>
      <c r="BD352" s="4" t="s">
        <v>23</v>
      </c>
      <c r="BE352" s="3" t="s">
        <v>1375</v>
      </c>
      <c r="BF352" s="119">
        <v>2.65</v>
      </c>
      <c r="BG352" s="49" t="s">
        <v>1</v>
      </c>
      <c r="BH352" s="49" t="s">
        <v>1</v>
      </c>
      <c r="BJ352" s="70" t="s">
        <v>1288</v>
      </c>
      <c r="BK352" s="57" t="s">
        <v>1288</v>
      </c>
      <c r="BL352" s="57" t="s">
        <v>1288</v>
      </c>
      <c r="BM352" s="57" t="s">
        <v>1288</v>
      </c>
      <c r="BN352" s="57" t="s">
        <v>1288</v>
      </c>
      <c r="BO352" s="57" t="s">
        <v>1288</v>
      </c>
      <c r="BP352" s="57" t="s">
        <v>1288</v>
      </c>
      <c r="BQ352" s="57" t="s">
        <v>1288</v>
      </c>
      <c r="BR352" s="57" t="s">
        <v>1288</v>
      </c>
      <c r="BS352" s="57" t="s">
        <v>1288</v>
      </c>
      <c r="BT352" s="57" t="s">
        <v>1288</v>
      </c>
      <c r="BU352" s="57" t="s">
        <v>1288</v>
      </c>
      <c r="BV352" s="70">
        <f>E352</f>
        <v>578</v>
      </c>
      <c r="BW352" s="71">
        <f>I352</f>
        <v>607</v>
      </c>
      <c r="BX352" s="72">
        <f>M352</f>
        <v>614</v>
      </c>
      <c r="BY352" s="71" t="str">
        <f>Q352</f>
        <v>-</v>
      </c>
      <c r="BZ352" s="72">
        <f>U352</f>
        <v>640</v>
      </c>
      <c r="CA352" s="71" t="str">
        <f>Y352</f>
        <v>-</v>
      </c>
      <c r="CB352" s="72">
        <f>AC352</f>
        <v>1689</v>
      </c>
      <c r="CC352" s="71">
        <f>AG352</f>
        <v>1733</v>
      </c>
      <c r="CD352" s="72">
        <f>AK352</f>
        <v>1736</v>
      </c>
      <c r="CE352" s="71">
        <f>AO352</f>
        <v>1770</v>
      </c>
      <c r="CF352" s="72">
        <f>AS352</f>
        <v>1797</v>
      </c>
      <c r="CG352" s="71">
        <f>AW352</f>
        <v>1829</v>
      </c>
      <c r="CH352" s="70">
        <f>G352</f>
        <v>604</v>
      </c>
      <c r="CI352" s="71">
        <f>K352</f>
        <v>613</v>
      </c>
      <c r="CJ352" s="72">
        <f>O352</f>
        <v>636</v>
      </c>
      <c r="CK352" s="72" t="str">
        <f>S352</f>
        <v>-</v>
      </c>
      <c r="CL352" s="72">
        <f>W352</f>
        <v>678</v>
      </c>
      <c r="CM352" s="72" t="str">
        <f>AA352</f>
        <v>-</v>
      </c>
      <c r="CN352" s="72">
        <f>AE352</f>
        <v>1715</v>
      </c>
      <c r="CO352" s="72">
        <f>AI352</f>
        <v>1735</v>
      </c>
      <c r="CP352" s="72">
        <f>AM352</f>
        <v>1761</v>
      </c>
      <c r="CQ352" s="72">
        <f>AQ352</f>
        <v>1794</v>
      </c>
      <c r="CR352" s="72">
        <f>AU352</f>
        <v>1828</v>
      </c>
      <c r="CS352" s="72">
        <f>AY352</f>
        <v>1832</v>
      </c>
      <c r="CT352" s="23">
        <f>M352-K352</f>
        <v>1</v>
      </c>
      <c r="AMP352" s="3"/>
    </row>
    <row r="353" spans="1:1030" x14ac:dyDescent="0.2">
      <c r="A353" s="3" t="str">
        <f>CONCATENATE(B353,"_",C353)</f>
        <v>grm5_human_6FFI</v>
      </c>
      <c r="B353" s="3" t="s">
        <v>41</v>
      </c>
      <c r="C353" s="3" t="s">
        <v>1476</v>
      </c>
      <c r="D353" s="3" t="str">
        <f>IFERROR(MID(VLOOKUP($B353,Seqs!$A:$B,2,0),E353,1),"")</f>
        <v>P</v>
      </c>
      <c r="E353" s="3">
        <v>578</v>
      </c>
      <c r="F353" s="3" t="str">
        <f>IFERROR(MID(VLOOKUP($B353,Seqs!$A:$B,2,0),G353,1),"")</f>
        <v>Y</v>
      </c>
      <c r="G353" s="3">
        <v>604</v>
      </c>
      <c r="H353" s="3" t="str">
        <f>IFERROR(MID(VLOOKUP($B353,Seqs!$A:$B,2,0),I353,1),"")</f>
        <v>T</v>
      </c>
      <c r="I353" s="23">
        <v>607</v>
      </c>
      <c r="J353" s="3" t="str">
        <f>IFERROR(MID(VLOOKUP($B353,Seqs!$A:$B,2,0),K353,1),"")</f>
        <v>S</v>
      </c>
      <c r="K353" s="23">
        <v>613</v>
      </c>
      <c r="L353" s="3" t="str">
        <f>IFERROR(MID(VLOOKUP($B353,Seqs!$A:$B,2,0),M353,1),"")</f>
        <v>S</v>
      </c>
      <c r="M353" s="3">
        <v>614</v>
      </c>
      <c r="N353" s="3" t="str">
        <f>IFERROR(MID(VLOOKUP($B353,Seqs!$A:$B,2,0),O353,1),"")</f>
        <v>I</v>
      </c>
      <c r="O353" s="3">
        <v>636</v>
      </c>
      <c r="P353" s="3" t="str">
        <f>IFERROR(MID(VLOOKUP($B353,Seqs!$A:$B,2,0),Q353,1),"")</f>
        <v/>
      </c>
      <c r="Q353" s="3" t="s">
        <v>23</v>
      </c>
      <c r="R353" s="3" t="str">
        <f>IFERROR(MID(VLOOKUP($B353,Seqs!$A:$B,2,0),S353,1),"")</f>
        <v/>
      </c>
      <c r="S353" s="3" t="s">
        <v>23</v>
      </c>
      <c r="T353" s="3" t="str">
        <f>IFERROR(MID(VLOOKUP($B353,Seqs!$A:$B,2,0),U353,1),"")</f>
        <v>K</v>
      </c>
      <c r="U353" s="3">
        <v>640</v>
      </c>
      <c r="V353" s="3" t="str">
        <f>IFERROR(MID(VLOOKUP($B353,Seqs!$A:$B,2,0),W353,1),"")</f>
        <v>K</v>
      </c>
      <c r="W353" s="3">
        <v>678</v>
      </c>
      <c r="X353" s="3" t="str">
        <f>IFERROR(MID(VLOOKUP($B353,Seqs!$A:$B,2,0),Y353,1),"")</f>
        <v/>
      </c>
      <c r="Y353" s="3" t="s">
        <v>23</v>
      </c>
      <c r="Z353" s="3" t="str">
        <f>IFERROR(MID(VLOOKUP($B353,Seqs!$A:$B,2,0),AA353,1),"")</f>
        <v/>
      </c>
      <c r="AA353" s="3" t="s">
        <v>23</v>
      </c>
      <c r="AB353" s="3" t="str">
        <f>IFERROR(MID(VLOOKUP($B353,Seqs!$A:$B,2,0),AC353,1),"")</f>
        <v>D</v>
      </c>
      <c r="AC353" s="3">
        <v>849</v>
      </c>
      <c r="AD353" s="3" t="str">
        <f>IFERROR(MID(VLOOKUP($B353,Seqs!$A:$B,2,0),AE353,1),"")</f>
        <v>T</v>
      </c>
      <c r="AE353" s="3">
        <v>875</v>
      </c>
      <c r="AF353" s="3" t="str">
        <f>IFERROR(MID(VLOOKUP($B353,Seqs!$A:$B,2,0),AG353,1),"")</f>
        <v>F</v>
      </c>
      <c r="AG353" s="3">
        <v>893</v>
      </c>
      <c r="AH353" s="3" t="str">
        <f>IFERROR(MID(VLOOKUP($B353,Seqs!$A:$B,2,0),AI353,1),"")</f>
        <v>P</v>
      </c>
      <c r="AI353" s="3">
        <v>895</v>
      </c>
      <c r="AJ353" s="3" t="str">
        <f>IFERROR(MID(VLOOKUP($B353,Seqs!$A:$B,2,0),AK353,1),"")</f>
        <v>K</v>
      </c>
      <c r="AK353" s="3">
        <v>896</v>
      </c>
      <c r="AL353" s="3" t="str">
        <f>IFERROR(MID(VLOOKUP($B353,Seqs!$A:$B,2,0),AM353,1),"")</f>
        <v>E</v>
      </c>
      <c r="AM353" s="3">
        <v>921</v>
      </c>
      <c r="AN353" s="3" t="str">
        <f>IFERROR(MID(VLOOKUP($B353,Seqs!$A:$B,2,0),AO353,1),"")</f>
        <v>L</v>
      </c>
      <c r="AO353" s="3">
        <v>929</v>
      </c>
      <c r="AP353" s="3" t="str">
        <f>IFERROR(MID(VLOOKUP($B353,Seqs!$A:$B,2,0),AQ353,1),"")</f>
        <v>S</v>
      </c>
      <c r="AQ353" s="3">
        <v>955</v>
      </c>
      <c r="AR353" s="3" t="str">
        <f>IFERROR(MID(VLOOKUP($B353,Seqs!$A:$B,2,0),AS353,1),"")</f>
        <v>E</v>
      </c>
      <c r="AS353" s="3">
        <v>957</v>
      </c>
      <c r="AT353" s="3" t="str">
        <f>IFERROR(MID(VLOOKUP($B353,Seqs!$A:$B,2,0),AU353,1),"")</f>
        <v>G</v>
      </c>
      <c r="AU353" s="3">
        <v>988</v>
      </c>
      <c r="AV353" s="3" t="str">
        <f>IFERROR(MID(VLOOKUP($B353,Seqs!$A:$B,2,0),AW353,1),"")</f>
        <v>G</v>
      </c>
      <c r="AW353" s="3">
        <v>989</v>
      </c>
      <c r="AX353" s="3" t="str">
        <f>IFERROR(MID(VLOOKUP($B353,Seqs!$A:$B,2,0),AY353,1),"")</f>
        <v>S</v>
      </c>
      <c r="AY353" s="3">
        <v>992</v>
      </c>
      <c r="AZ353" s="77" t="str">
        <f>VLOOKUP(B353,Classification!A:D,2,0)</f>
        <v>C</v>
      </c>
      <c r="BA353" s="94" t="str">
        <f>VLOOKUP(B353,Classification!A:D,4,0)</f>
        <v>Metabotropicglutamate</v>
      </c>
      <c r="BB353" s="27" t="b">
        <f>AND(E353&lt;G353,OR(G353&lt;I353,I353="-"),OR(I353&lt;K353,I353="-"),OR(K353&lt;M353,K353="-"),M353&lt;O353,OR(O353&lt;Q353,Q353="-"),OR(Q353&lt;S353,Q353="-"),OR(S353&lt;U353,S353="-"),U353&lt;W353,OR(W353&lt;Y353,Y353="-"),OR(Y353&lt;AA353,Y353="-"),OR(AA353&lt;AC353,AA353="-"),AC353&lt;AE353,OR(AE353&lt;AG353,AG353="-"),OR(AG353&lt;AI353,AG353="-"),OR(AI353&lt;AK353,AI353="-"),AK353&lt;AM353,AM353&lt;AO353,AO353&lt;AQ353,AQ353&lt;AS353,AS353&lt;AU353,OR(AU353&lt;AW353,AW353="-"),OR(AW353&lt;AY353,AW353="-"))</f>
        <v>1</v>
      </c>
      <c r="BC353" s="23">
        <f>_xlfn.AGGREGATE(9,6,CH353:CS353)-_xlfn.AGGREGATE(9,6,BV353:CG353)+12</f>
        <v>217</v>
      </c>
      <c r="BD353" s="4" t="s">
        <v>23</v>
      </c>
      <c r="BE353" s="3" t="s">
        <v>1375</v>
      </c>
      <c r="BF353" s="119">
        <v>2.2000000000000002</v>
      </c>
      <c r="BG353" s="49" t="s">
        <v>1</v>
      </c>
      <c r="BH353" s="49" t="s">
        <v>1</v>
      </c>
      <c r="BJ353" s="70" t="s">
        <v>1288</v>
      </c>
      <c r="BK353" s="57" t="s">
        <v>1288</v>
      </c>
      <c r="BL353" s="57" t="s">
        <v>1288</v>
      </c>
      <c r="BM353" s="57" t="s">
        <v>1288</v>
      </c>
      <c r="BN353" s="57" t="s">
        <v>1288</v>
      </c>
      <c r="BO353" s="57" t="s">
        <v>1288</v>
      </c>
      <c r="BP353" s="57" t="s">
        <v>1288</v>
      </c>
      <c r="BQ353" s="57" t="s">
        <v>1288</v>
      </c>
      <c r="BR353" s="57" t="s">
        <v>1288</v>
      </c>
      <c r="BS353" s="57" t="s">
        <v>1288</v>
      </c>
      <c r="BT353" s="57" t="s">
        <v>1288</v>
      </c>
      <c r="BU353" s="57" t="s">
        <v>1288</v>
      </c>
      <c r="BV353" s="70">
        <f>E353</f>
        <v>578</v>
      </c>
      <c r="BW353" s="71">
        <f>I353</f>
        <v>607</v>
      </c>
      <c r="BX353" s="72">
        <f>M353</f>
        <v>614</v>
      </c>
      <c r="BY353" s="71" t="str">
        <f>Q353</f>
        <v>-</v>
      </c>
      <c r="BZ353" s="72">
        <f>U353</f>
        <v>640</v>
      </c>
      <c r="CA353" s="71" t="str">
        <f>Y353</f>
        <v>-</v>
      </c>
      <c r="CB353" s="72">
        <f>AC353</f>
        <v>849</v>
      </c>
      <c r="CC353" s="71">
        <f>AG353</f>
        <v>893</v>
      </c>
      <c r="CD353" s="72">
        <f>AK353</f>
        <v>896</v>
      </c>
      <c r="CE353" s="71">
        <f>AO353</f>
        <v>929</v>
      </c>
      <c r="CF353" s="72">
        <f>AS353</f>
        <v>957</v>
      </c>
      <c r="CG353" s="71">
        <f>AW353</f>
        <v>989</v>
      </c>
      <c r="CH353" s="70">
        <f>G353</f>
        <v>604</v>
      </c>
      <c r="CI353" s="71">
        <f>K353</f>
        <v>613</v>
      </c>
      <c r="CJ353" s="72">
        <f>O353</f>
        <v>636</v>
      </c>
      <c r="CK353" s="72" t="str">
        <f>S353</f>
        <v>-</v>
      </c>
      <c r="CL353" s="72">
        <f>W353</f>
        <v>678</v>
      </c>
      <c r="CM353" s="72" t="str">
        <f>AA353</f>
        <v>-</v>
      </c>
      <c r="CN353" s="72">
        <f>AE353</f>
        <v>875</v>
      </c>
      <c r="CO353" s="72">
        <f>AI353</f>
        <v>895</v>
      </c>
      <c r="CP353" s="72">
        <f>AM353</f>
        <v>921</v>
      </c>
      <c r="CQ353" s="72">
        <f>AQ353</f>
        <v>955</v>
      </c>
      <c r="CR353" s="72">
        <f>AU353</f>
        <v>988</v>
      </c>
      <c r="CS353" s="72">
        <f>AY353</f>
        <v>992</v>
      </c>
      <c r="CT353" s="23">
        <f>M353-K353</f>
        <v>1</v>
      </c>
      <c r="AMP353" s="3"/>
    </row>
    <row r="354" spans="1:1030" s="12" customFormat="1" x14ac:dyDescent="0.2">
      <c r="A354" s="9" t="str">
        <f>CONCATENATE(B354,"_",C354)</f>
        <v>grm5_human_6N51</v>
      </c>
      <c r="B354" s="9" t="s">
        <v>41</v>
      </c>
      <c r="C354" s="9" t="s">
        <v>1553</v>
      </c>
      <c r="D354" s="9" t="str">
        <f>IFERROR(MID(VLOOKUP($B354,Seqs!$A:$B,2,0),E354,1),"")</f>
        <v>D</v>
      </c>
      <c r="E354" s="9">
        <v>577</v>
      </c>
      <c r="F354" s="9" t="str">
        <f>IFERROR(MID(VLOOKUP($B354,Seqs!$A:$B,2,0),G354,1),"")</f>
        <v>I</v>
      </c>
      <c r="G354" s="9">
        <v>602</v>
      </c>
      <c r="H354" s="9" t="str">
        <f>IFERROR(MID(VLOOKUP($B354,Seqs!$A:$B,2,0),I354,1),"")</f>
        <v>T</v>
      </c>
      <c r="I354" s="109">
        <v>607</v>
      </c>
      <c r="J354" s="9" t="str">
        <f>IFERROR(MID(VLOOKUP($B354,Seqs!$A:$B,2,0),K354,1),"")</f>
        <v>S</v>
      </c>
      <c r="K354" s="109">
        <v>613</v>
      </c>
      <c r="L354" s="9" t="str">
        <f>IFERROR(MID(VLOOKUP($B354,Seqs!$A:$B,2,0),M354,1),"")</f>
        <v>S</v>
      </c>
      <c r="M354" s="9">
        <v>614</v>
      </c>
      <c r="N354" s="9" t="str">
        <f>IFERROR(MID(VLOOKUP($B354,Seqs!$A:$B,2,0),O354,1),"")</f>
        <v>C</v>
      </c>
      <c r="O354" s="9">
        <v>634</v>
      </c>
      <c r="P354" s="9" t="str">
        <f>IFERROR(MID(VLOOKUP($B354,Seqs!$A:$B,2,0),Q354,1),"")</f>
        <v/>
      </c>
      <c r="Q354" s="9" t="s">
        <v>23</v>
      </c>
      <c r="R354" s="9" t="str">
        <f>IFERROR(MID(VLOOKUP($B354,Seqs!$A:$B,2,0),S354,1),"")</f>
        <v/>
      </c>
      <c r="S354" s="9" t="s">
        <v>23</v>
      </c>
      <c r="T354" s="9" t="str">
        <f>IFERROR(MID(VLOOKUP($B354,Seqs!$A:$B,2,0),U354,1),"")</f>
        <v>K</v>
      </c>
      <c r="U354" s="9">
        <v>640</v>
      </c>
      <c r="V354" s="9" t="str">
        <f>IFERROR(MID(VLOOKUP($B354,Seqs!$A:$B,2,0),W354,1),"")</f>
        <v>A</v>
      </c>
      <c r="W354" s="9">
        <v>674</v>
      </c>
      <c r="X354" s="9" t="str">
        <f>IFERROR(MID(VLOOKUP($B354,Seqs!$A:$B,2,0),Y354,1),"")</f>
        <v/>
      </c>
      <c r="Y354" s="9" t="s">
        <v>23</v>
      </c>
      <c r="Z354" s="9" t="str">
        <f>IFERROR(MID(VLOOKUP($B354,Seqs!$A:$B,2,0),AA354,1),"")</f>
        <v/>
      </c>
      <c r="AA354" s="9" t="s">
        <v>23</v>
      </c>
      <c r="AB354" s="9" t="str">
        <f>IFERROR(MID(VLOOKUP($B354,Seqs!$A:$B,2,0),AC354,1),"")</f>
        <v>S</v>
      </c>
      <c r="AC354" s="9">
        <v>689</v>
      </c>
      <c r="AD354" s="9" t="str">
        <f>IFERROR(MID(VLOOKUP($B354,Seqs!$A:$B,2,0),AE354,1),"")</f>
        <v>E</v>
      </c>
      <c r="AE354" s="9">
        <v>715</v>
      </c>
      <c r="AF354" s="9" t="str">
        <f>IFERROR(MID(VLOOKUP($B354,Seqs!$A:$B,2,0),AG354,1),"")</f>
        <v>C</v>
      </c>
      <c r="AG354" s="9">
        <v>733</v>
      </c>
      <c r="AH354" s="9" t="str">
        <f>IFERROR(MID(VLOOKUP($B354,Seqs!$A:$B,2,0),AI354,1),"")</f>
        <v>T</v>
      </c>
      <c r="AI354" s="9">
        <v>735</v>
      </c>
      <c r="AJ354" s="9" t="str">
        <f>IFERROR(MID(VLOOKUP($B354,Seqs!$A:$B,2,0),AK354,1),"")</f>
        <v>N</v>
      </c>
      <c r="AK354" s="9">
        <v>737</v>
      </c>
      <c r="AL354" s="9" t="str">
        <f>IFERROR(MID(VLOOKUP($B354,Seqs!$A:$B,2,0),AM354,1),"")</f>
        <v>A</v>
      </c>
      <c r="AM354" s="9">
        <v>758</v>
      </c>
      <c r="AN354" s="9" t="str">
        <f>IFERROR(MID(VLOOKUP($B354,Seqs!$A:$B,2,0),AO354,1),"")</f>
        <v>N</v>
      </c>
      <c r="AO354" s="9">
        <v>769</v>
      </c>
      <c r="AP354" s="9" t="str">
        <f>IFERROR(MID(VLOOKUP($B354,Seqs!$A:$B,2,0),AQ354,1),"")</f>
        <v>G</v>
      </c>
      <c r="AQ354" s="9">
        <v>794</v>
      </c>
      <c r="AR354" s="9" t="str">
        <f>IFERROR(MID(VLOOKUP($B354,Seqs!$A:$B,2,0),AS354,1),"")</f>
        <v>I</v>
      </c>
      <c r="AS354" s="9">
        <v>799</v>
      </c>
      <c r="AT354" s="9" t="str">
        <f>IFERROR(MID(VLOOKUP($B354,Seqs!$A:$B,2,0),AU354,1),"")</f>
        <v>L</v>
      </c>
      <c r="AU354" s="9">
        <v>826</v>
      </c>
      <c r="AV354" s="9" t="str">
        <f>IFERROR(MID(VLOOKUP($B354,Seqs!$A:$B,2,0),AW354,1),"")</f>
        <v/>
      </c>
      <c r="AW354" s="9" t="s">
        <v>23</v>
      </c>
      <c r="AX354" s="9" t="str">
        <f>IFERROR(MID(VLOOKUP($B354,Seqs!$A:$B,2,0),AY354,1),"")</f>
        <v/>
      </c>
      <c r="AY354" s="9" t="s">
        <v>23</v>
      </c>
      <c r="AZ354" s="110" t="str">
        <f>VLOOKUP(B354,Classification!A:D,2,0)</f>
        <v>C</v>
      </c>
      <c r="BA354" s="98" t="str">
        <f>VLOOKUP(B354,Classification!A:D,4,0)</f>
        <v>Metabotropicglutamate</v>
      </c>
      <c r="BB354" s="36" t="b">
        <f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109">
        <f>_xlfn.AGGREGATE(9,6,CH354:CS354)-_xlfn.AGGREGATE(9,6,BV354:CG354)+12</f>
        <v>198</v>
      </c>
      <c r="BD354" s="11" t="s">
        <v>23</v>
      </c>
      <c r="BE354" s="9" t="s">
        <v>1375</v>
      </c>
      <c r="BF354" s="120">
        <v>4</v>
      </c>
      <c r="BG354" s="51" t="s">
        <v>1282</v>
      </c>
      <c r="BH354" s="51" t="s">
        <v>1282</v>
      </c>
      <c r="BI354" s="9"/>
      <c r="BJ354" s="111" t="s">
        <v>1288</v>
      </c>
      <c r="BK354" s="112" t="s">
        <v>1288</v>
      </c>
      <c r="BL354" s="112" t="s">
        <v>1288</v>
      </c>
      <c r="BM354" s="112" t="s">
        <v>1288</v>
      </c>
      <c r="BN354" s="112" t="s">
        <v>1288</v>
      </c>
      <c r="BO354" s="112" t="s">
        <v>1288</v>
      </c>
      <c r="BP354" s="112" t="s">
        <v>1288</v>
      </c>
      <c r="BQ354" s="112" t="s">
        <v>1288</v>
      </c>
      <c r="BR354" s="112" t="s">
        <v>1288</v>
      </c>
      <c r="BS354" s="112" t="s">
        <v>1288</v>
      </c>
      <c r="BT354" s="112" t="s">
        <v>1288</v>
      </c>
      <c r="BU354" s="112" t="s">
        <v>1288</v>
      </c>
      <c r="BV354" s="111">
        <f>E354</f>
        <v>577</v>
      </c>
      <c r="BW354" s="113">
        <f>I354</f>
        <v>607</v>
      </c>
      <c r="BX354" s="114">
        <f>M354</f>
        <v>614</v>
      </c>
      <c r="BY354" s="113" t="str">
        <f>Q354</f>
        <v>-</v>
      </c>
      <c r="BZ354" s="114">
        <f>U354</f>
        <v>640</v>
      </c>
      <c r="CA354" s="113" t="str">
        <f>Y354</f>
        <v>-</v>
      </c>
      <c r="CB354" s="114">
        <f>AC354</f>
        <v>689</v>
      </c>
      <c r="CC354" s="113">
        <f>AG354</f>
        <v>733</v>
      </c>
      <c r="CD354" s="114">
        <f>AK354</f>
        <v>737</v>
      </c>
      <c r="CE354" s="113">
        <f>AO354</f>
        <v>769</v>
      </c>
      <c r="CF354" s="114">
        <f>AS354</f>
        <v>799</v>
      </c>
      <c r="CG354" s="113" t="str">
        <f>AW354</f>
        <v>-</v>
      </c>
      <c r="CH354" s="111">
        <f>G354</f>
        <v>602</v>
      </c>
      <c r="CI354" s="113">
        <f>K354</f>
        <v>613</v>
      </c>
      <c r="CJ354" s="114">
        <f>O354</f>
        <v>634</v>
      </c>
      <c r="CK354" s="114" t="str">
        <f>S354</f>
        <v>-</v>
      </c>
      <c r="CL354" s="114">
        <f>W354</f>
        <v>674</v>
      </c>
      <c r="CM354" s="114" t="str">
        <f>AA354</f>
        <v>-</v>
      </c>
      <c r="CN354" s="114">
        <f>AE354</f>
        <v>715</v>
      </c>
      <c r="CO354" s="114">
        <f>AI354</f>
        <v>735</v>
      </c>
      <c r="CP354" s="114">
        <f>AM354</f>
        <v>758</v>
      </c>
      <c r="CQ354" s="114">
        <f>AQ354</f>
        <v>794</v>
      </c>
      <c r="CR354" s="114">
        <f>AU354</f>
        <v>826</v>
      </c>
      <c r="CS354" s="114" t="str">
        <f>AY354</f>
        <v>-</v>
      </c>
      <c r="CT354" s="109">
        <f>M354-K354</f>
        <v>1</v>
      </c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  <c r="AMO354" s="9"/>
      <c r="AMP354" s="9"/>
    </row>
    <row r="355" spans="1:1030" s="12" customFormat="1" x14ac:dyDescent="0.2">
      <c r="A355" s="9" t="str">
        <f>CONCATENATE(B355,"_",C355)</f>
        <v>grm5_human_6N52</v>
      </c>
      <c r="B355" s="9" t="s">
        <v>41</v>
      </c>
      <c r="C355" s="9" t="s">
        <v>1554</v>
      </c>
      <c r="D355" s="9" t="str">
        <f>IFERROR(MID(VLOOKUP($B355,Seqs!$A:$B,2,0),E355,1),"")</f>
        <v>P</v>
      </c>
      <c r="E355" s="9">
        <v>580</v>
      </c>
      <c r="F355" s="9" t="str">
        <f>IFERROR(MID(VLOOKUP($B355,Seqs!$A:$B,2,0),G355,1),"")</f>
        <v>T</v>
      </c>
      <c r="G355" s="9">
        <v>598</v>
      </c>
      <c r="H355" s="9" t="str">
        <f>IFERROR(MID(VLOOKUP($B355,Seqs!$A:$B,2,0),I355,1),"")</f>
        <v>T</v>
      </c>
      <c r="I355" s="109">
        <v>607</v>
      </c>
      <c r="J355" s="9" t="str">
        <f>IFERROR(MID(VLOOKUP($B355,Seqs!$A:$B,2,0),K355,1),"")</f>
        <v>S</v>
      </c>
      <c r="K355" s="109">
        <v>613</v>
      </c>
      <c r="L355" s="9" t="str">
        <f>IFERROR(MID(VLOOKUP($B355,Seqs!$A:$B,2,0),M355,1),"")</f>
        <v>S</v>
      </c>
      <c r="M355" s="9">
        <v>614</v>
      </c>
      <c r="N355" s="9" t="str">
        <f>IFERROR(MID(VLOOKUP($B355,Seqs!$A:$B,2,0),O355,1),"")</f>
        <v>I</v>
      </c>
      <c r="O355" s="9">
        <v>636</v>
      </c>
      <c r="P355" s="9" t="str">
        <f>IFERROR(MID(VLOOKUP($B355,Seqs!$A:$B,2,0),Q355,1),"")</f>
        <v/>
      </c>
      <c r="Q355" s="9" t="s">
        <v>23</v>
      </c>
      <c r="R355" s="9" t="str">
        <f>IFERROR(MID(VLOOKUP($B355,Seqs!$A:$B,2,0),S355,1),"")</f>
        <v/>
      </c>
      <c r="S355" s="9" t="s">
        <v>23</v>
      </c>
      <c r="T355" s="9" t="str">
        <f>IFERROR(MID(VLOOKUP($B355,Seqs!$A:$B,2,0),U355,1),"")</f>
        <v>K</v>
      </c>
      <c r="U355" s="9">
        <v>640</v>
      </c>
      <c r="V355" s="9" t="str">
        <f>IFERROR(MID(VLOOKUP($B355,Seqs!$A:$B,2,0),W355,1),"")</f>
        <v>I</v>
      </c>
      <c r="W355" s="9">
        <v>669</v>
      </c>
      <c r="X355" s="9" t="str">
        <f>IFERROR(MID(VLOOKUP($B355,Seqs!$A:$B,2,0),Y355,1),"")</f>
        <v/>
      </c>
      <c r="Y355" s="9" t="s">
        <v>23</v>
      </c>
      <c r="Z355" s="9" t="str">
        <f>IFERROR(MID(VLOOKUP($B355,Seqs!$A:$B,2,0),AA355,1),"")</f>
        <v/>
      </c>
      <c r="AA355" s="9" t="s">
        <v>23</v>
      </c>
      <c r="AB355" s="9" t="str">
        <f>IFERROR(MID(VLOOKUP($B355,Seqs!$A:$B,2,0),AC355,1),"")</f>
        <v>A</v>
      </c>
      <c r="AC355" s="9">
        <v>692</v>
      </c>
      <c r="AD355" s="9" t="str">
        <f>IFERROR(MID(VLOOKUP($B355,Seqs!$A:$B,2,0),AE355,1),"")</f>
        <v>E</v>
      </c>
      <c r="AE355" s="9">
        <v>715</v>
      </c>
      <c r="AF355" s="9" t="str">
        <f>IFERROR(MID(VLOOKUP($B355,Seqs!$A:$B,2,0),AG355,1),"")</f>
        <v>C</v>
      </c>
      <c r="AG355" s="9">
        <v>733</v>
      </c>
      <c r="AH355" s="9" t="str">
        <f>IFERROR(MID(VLOOKUP($B355,Seqs!$A:$B,2,0),AI355,1),"")</f>
        <v>T</v>
      </c>
      <c r="AI355" s="9">
        <v>735</v>
      </c>
      <c r="AJ355" s="9" t="str">
        <f>IFERROR(MID(VLOOKUP($B355,Seqs!$A:$B,2,0),AK355,1),"")</f>
        <v>T</v>
      </c>
      <c r="AK355" s="9">
        <v>736</v>
      </c>
      <c r="AL355" s="9" t="str">
        <f>IFERROR(MID(VLOOKUP($B355,Seqs!$A:$B,2,0),AM355,1),"")</f>
        <v>T</v>
      </c>
      <c r="AM355" s="9">
        <v>761</v>
      </c>
      <c r="AN355" s="9" t="str">
        <f>IFERROR(MID(VLOOKUP($B355,Seqs!$A:$B,2,0),AO355,1),"")</f>
        <v>E</v>
      </c>
      <c r="AO355" s="9">
        <v>770</v>
      </c>
      <c r="AP355" s="9" t="str">
        <f>IFERROR(MID(VLOOKUP($B355,Seqs!$A:$B,2,0),AQ355,1),"")</f>
        <v>F</v>
      </c>
      <c r="AQ355" s="9">
        <v>793</v>
      </c>
      <c r="AR355" s="9" t="str">
        <f>IFERROR(MID(VLOOKUP($B355,Seqs!$A:$B,2,0),AS355,1),"")</f>
        <v>I</v>
      </c>
      <c r="AS355" s="9">
        <v>799</v>
      </c>
      <c r="AT355" s="9" t="str">
        <f>IFERROR(MID(VLOOKUP($B355,Seqs!$A:$B,2,0),AU355,1),"")</f>
        <v>K</v>
      </c>
      <c r="AU355" s="9">
        <v>828</v>
      </c>
      <c r="AV355" s="9" t="str">
        <f>IFERROR(MID(VLOOKUP($B355,Seqs!$A:$B,2,0),AW355,1),"")</f>
        <v>P</v>
      </c>
      <c r="AW355" s="9">
        <v>829</v>
      </c>
      <c r="AX355" s="9" t="str">
        <f>IFERROR(MID(VLOOKUP($B355,Seqs!$A:$B,2,0),AY355,1),"")</f>
        <v>N</v>
      </c>
      <c r="AY355" s="9">
        <v>832</v>
      </c>
      <c r="AZ355" s="110" t="str">
        <f>VLOOKUP(B355,Classification!A:D,2,0)</f>
        <v>C</v>
      </c>
      <c r="BA355" s="98" t="str">
        <f>VLOOKUP(B355,Classification!A:D,4,0)</f>
        <v>Metabotropicglutamate</v>
      </c>
      <c r="BB355" s="36" t="b">
        <f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109">
        <f>_xlfn.AGGREGATE(9,6,CH355:CS355)-_xlfn.AGGREGATE(9,6,BV355:CG355)+12</f>
        <v>192</v>
      </c>
      <c r="BD355" s="11" t="s">
        <v>23</v>
      </c>
      <c r="BE355" s="9" t="s">
        <v>1375</v>
      </c>
      <c r="BF355" s="120">
        <v>4</v>
      </c>
      <c r="BG355" s="51" t="s">
        <v>1</v>
      </c>
      <c r="BH355" s="51" t="s">
        <v>1</v>
      </c>
      <c r="BI355" s="9"/>
      <c r="BJ355" s="111" t="s">
        <v>1288</v>
      </c>
      <c r="BK355" s="112" t="s">
        <v>1288</v>
      </c>
      <c r="BL355" s="112" t="s">
        <v>1288</v>
      </c>
      <c r="BM355" s="112" t="s">
        <v>1288</v>
      </c>
      <c r="BN355" s="112" t="s">
        <v>1288</v>
      </c>
      <c r="BO355" s="112" t="s">
        <v>1288</v>
      </c>
      <c r="BP355" s="112" t="s">
        <v>1288</v>
      </c>
      <c r="BQ355" s="112" t="s">
        <v>1288</v>
      </c>
      <c r="BR355" s="112" t="s">
        <v>1288</v>
      </c>
      <c r="BS355" s="112" t="s">
        <v>1288</v>
      </c>
      <c r="BT355" s="112" t="s">
        <v>1288</v>
      </c>
      <c r="BU355" s="112" t="s">
        <v>1288</v>
      </c>
      <c r="BV355" s="111">
        <f>E355</f>
        <v>580</v>
      </c>
      <c r="BW355" s="113">
        <f>I355</f>
        <v>607</v>
      </c>
      <c r="BX355" s="114">
        <f>M355</f>
        <v>614</v>
      </c>
      <c r="BY355" s="113" t="str">
        <f>Q355</f>
        <v>-</v>
      </c>
      <c r="BZ355" s="114">
        <f>U355</f>
        <v>640</v>
      </c>
      <c r="CA355" s="113" t="str">
        <f>Y355</f>
        <v>-</v>
      </c>
      <c r="CB355" s="114">
        <f>AC355</f>
        <v>692</v>
      </c>
      <c r="CC355" s="113">
        <f>AG355</f>
        <v>733</v>
      </c>
      <c r="CD355" s="114">
        <f>AK355</f>
        <v>736</v>
      </c>
      <c r="CE355" s="113">
        <f>AO355</f>
        <v>770</v>
      </c>
      <c r="CF355" s="114">
        <f>AS355</f>
        <v>799</v>
      </c>
      <c r="CG355" s="113">
        <f>AW355</f>
        <v>829</v>
      </c>
      <c r="CH355" s="111">
        <f>G355</f>
        <v>598</v>
      </c>
      <c r="CI355" s="113">
        <f>K355</f>
        <v>613</v>
      </c>
      <c r="CJ355" s="114">
        <f>O355</f>
        <v>636</v>
      </c>
      <c r="CK355" s="114" t="str">
        <f>S355</f>
        <v>-</v>
      </c>
      <c r="CL355" s="114">
        <f>W355</f>
        <v>669</v>
      </c>
      <c r="CM355" s="114" t="str">
        <f>AA355</f>
        <v>-</v>
      </c>
      <c r="CN355" s="114">
        <f>AE355</f>
        <v>715</v>
      </c>
      <c r="CO355" s="114">
        <f>AI355</f>
        <v>735</v>
      </c>
      <c r="CP355" s="114">
        <f>AM355</f>
        <v>761</v>
      </c>
      <c r="CQ355" s="114">
        <f>AQ355</f>
        <v>793</v>
      </c>
      <c r="CR355" s="114">
        <f>AU355</f>
        <v>828</v>
      </c>
      <c r="CS355" s="114">
        <f>AY355</f>
        <v>832</v>
      </c>
      <c r="CT355" s="109">
        <f>M355-K355</f>
        <v>1</v>
      </c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  <c r="AMO355" s="9"/>
      <c r="AMP355" s="9"/>
    </row>
    <row r="356" spans="1:1030" s="12" customFormat="1" x14ac:dyDescent="0.2">
      <c r="A356" s="9" t="str">
        <f>CONCATENATE(B356,"_",C356)</f>
        <v>fzd4_human__wt</v>
      </c>
      <c r="B356" s="9" t="s">
        <v>450</v>
      </c>
      <c r="C356" s="9" t="s">
        <v>100</v>
      </c>
      <c r="D356" s="9" t="str">
        <f>IFERROR(MID(VLOOKUP($B356,Seqs!$A:$B,2,0),E356,1),"")</f>
        <v>S</v>
      </c>
      <c r="E356" s="9">
        <v>212</v>
      </c>
      <c r="F356" s="9" t="str">
        <f>IFERROR(MID(VLOOKUP($B356,Seqs!$A:$B,2,0),G356,1),"")</f>
        <v>D</v>
      </c>
      <c r="G356" s="9">
        <v>244</v>
      </c>
      <c r="H356" s="9" t="str">
        <f>IFERROR(MID(VLOOKUP($B356,Seqs!$A:$B,2,0),I356,1),"")</f>
        <v>S</v>
      </c>
      <c r="I356" s="109">
        <v>245</v>
      </c>
      <c r="J356" s="9" t="str">
        <f>IFERROR(MID(VLOOKUP($B356,Seqs!$A:$B,2,0),K356,1),"")</f>
        <v>S</v>
      </c>
      <c r="K356" s="109">
        <v>249</v>
      </c>
      <c r="L356" s="9" t="str">
        <f>IFERROR(MID(VLOOKUP($B356,Seqs!$A:$B,2,0),M356,1),"")</f>
        <v>Y</v>
      </c>
      <c r="M356" s="9">
        <v>250</v>
      </c>
      <c r="N356" s="9" t="str">
        <f>IFERROR(MID(VLOOKUP($B356,Seqs!$A:$B,2,0),O356,1),"")</f>
        <v>G</v>
      </c>
      <c r="O356" s="9">
        <v>276</v>
      </c>
      <c r="P356" s="9" t="str">
        <f>IFERROR(MID(VLOOKUP($B356,Seqs!$A:$B,2,0),Q356,1),"")</f>
        <v/>
      </c>
      <c r="Q356" s="9" t="s">
        <v>23</v>
      </c>
      <c r="R356" s="9" t="str">
        <f>IFERROR(MID(VLOOKUP($B356,Seqs!$A:$B,2,0),S356,1),"")</f>
        <v/>
      </c>
      <c r="S356" s="9" t="s">
        <v>23</v>
      </c>
      <c r="T356" s="9" t="str">
        <f>IFERROR(MID(VLOOKUP($B356,Seqs!$A:$B,2,0),U356,1),"")</f>
        <v>N</v>
      </c>
      <c r="U356" s="9">
        <v>299</v>
      </c>
      <c r="V356" s="9" t="str">
        <f>IFERROR(MID(VLOOKUP($B356,Seqs!$A:$B,2,0),W356,1),"")</f>
        <v>G</v>
      </c>
      <c r="W356" s="9">
        <v>332</v>
      </c>
      <c r="X356" s="9" t="str">
        <f>IFERROR(MID(VLOOKUP($B356,Seqs!$A:$B,2,0),Y356,1),"")</f>
        <v/>
      </c>
      <c r="Y356" s="9" t="s">
        <v>23</v>
      </c>
      <c r="Z356" s="9" t="str">
        <f>IFERROR(MID(VLOOKUP($B356,Seqs!$A:$B,2,0),AA356,1),"")</f>
        <v/>
      </c>
      <c r="AA356" s="9" t="s">
        <v>23</v>
      </c>
      <c r="AB356" s="9" t="str">
        <f>IFERROR(MID(VLOOKUP($B356,Seqs!$A:$B,2,0),AC356,1),"")</f>
        <v>H</v>
      </c>
      <c r="AC356" s="9">
        <v>343</v>
      </c>
      <c r="AD356" s="9" t="str">
        <f>IFERROR(MID(VLOOKUP($B356,Seqs!$A:$B,2,0),AE356,1),"")</f>
        <v>R</v>
      </c>
      <c r="AE356" s="9">
        <v>366</v>
      </c>
      <c r="AF356" s="9" t="str">
        <f>IFERROR(MID(VLOOKUP($B356,Seqs!$A:$B,2,0),AG356,1),"")</f>
        <v>C</v>
      </c>
      <c r="AG356" s="9">
        <v>377</v>
      </c>
      <c r="AH356" s="9" t="str">
        <f>IFERROR(MID(VLOOKUP($B356,Seqs!$A:$B,2,0),AI356,1),"")</f>
        <v>V</v>
      </c>
      <c r="AI356" s="9">
        <v>379</v>
      </c>
      <c r="AJ356" s="9" t="str">
        <f>IFERROR(MID(VLOOKUP($B356,Seqs!$A:$B,2,0),AK356,1),"")</f>
        <v>N</v>
      </c>
      <c r="AK356" s="9">
        <v>383</v>
      </c>
      <c r="AL356" s="9" t="str">
        <f>IFERROR(MID(VLOOKUP($B356,Seqs!$A:$B,2,0),AM356,1),"")</f>
        <v>L</v>
      </c>
      <c r="AM356" s="9">
        <v>420</v>
      </c>
      <c r="AN356" s="9" t="str">
        <f>IFERROR(MID(VLOOKUP($B356,Seqs!$A:$B,2,0),AO356,1),"")</f>
        <v>E</v>
      </c>
      <c r="AO356" s="9">
        <v>431</v>
      </c>
      <c r="AP356" s="9" t="str">
        <f>IFERROR(MID(VLOOKUP($B356,Seqs!$A:$B,2,0),AQ356,1),"")</f>
        <v>N</v>
      </c>
      <c r="AQ356" s="9">
        <v>461</v>
      </c>
      <c r="AR356" s="9" t="str">
        <f>IFERROR(MID(VLOOKUP($B356,Seqs!$A:$B,2,0),AS356,1),"")</f>
        <v>N</v>
      </c>
      <c r="AS356" s="9">
        <v>473</v>
      </c>
      <c r="AT356" s="9" t="str">
        <f>IFERROR(MID(VLOOKUP($B356,Seqs!$A:$B,2,0),AU356,1),"")</f>
        <v>W</v>
      </c>
      <c r="AU356" s="9">
        <v>496</v>
      </c>
      <c r="AV356" s="9" t="str">
        <f>IFERROR(MID(VLOOKUP($B356,Seqs!$A:$B,2,0),AW356,1),"")</f>
        <v>S</v>
      </c>
      <c r="AW356" s="9">
        <v>497</v>
      </c>
      <c r="AX356" s="9" t="str">
        <f>IFERROR(MID(VLOOKUP($B356,Seqs!$A:$B,2,0),AY356,1),"")</f>
        <v>V</v>
      </c>
      <c r="AY356" s="9">
        <v>512</v>
      </c>
      <c r="AZ356" s="110" t="str">
        <f>VLOOKUP(B356,Classification!A:D,2,0)</f>
        <v>F</v>
      </c>
      <c r="BA356" s="98" t="str">
        <f>VLOOKUP(B356,Classification!A:D,4,0)</f>
        <v>Frizzled</v>
      </c>
      <c r="BB356" s="36" t="b">
        <f t="shared" ref="BB356:BB357" si="2096"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109">
        <f t="shared" ref="BC356:BC357" si="2097">_xlfn.AGGREGATE(9,6,CH356:CS356)-_xlfn.AGGREGATE(9,6,BV356:CG356)+12</f>
        <v>237</v>
      </c>
      <c r="BD356" s="11" t="s">
        <v>23</v>
      </c>
      <c r="BE356" s="9" t="s">
        <v>23</v>
      </c>
      <c r="BF356" s="120" t="s">
        <v>23</v>
      </c>
      <c r="BG356" s="51" t="s">
        <v>23</v>
      </c>
      <c r="BH356" s="51" t="s">
        <v>23</v>
      </c>
      <c r="BI356" s="9"/>
      <c r="BJ356" s="111" t="s">
        <v>1288</v>
      </c>
      <c r="BK356" s="112" t="s">
        <v>1288</v>
      </c>
      <c r="BL356" s="112" t="s">
        <v>1288</v>
      </c>
      <c r="BM356" s="112" t="s">
        <v>1288</v>
      </c>
      <c r="BN356" s="112" t="s">
        <v>1288</v>
      </c>
      <c r="BO356" s="112" t="s">
        <v>1288</v>
      </c>
      <c r="BP356" s="112" t="s">
        <v>1288</v>
      </c>
      <c r="BQ356" s="112" t="s">
        <v>1288</v>
      </c>
      <c r="BR356" s="112" t="s">
        <v>1288</v>
      </c>
      <c r="BS356" s="112" t="s">
        <v>1288</v>
      </c>
      <c r="BT356" s="112" t="s">
        <v>1288</v>
      </c>
      <c r="BU356" s="112" t="s">
        <v>1288</v>
      </c>
      <c r="BV356" s="111">
        <f t="shared" ref="BV356:BV357" si="2098">E356</f>
        <v>212</v>
      </c>
      <c r="BW356" s="113">
        <f t="shared" ref="BW356:BW357" si="2099">I356</f>
        <v>245</v>
      </c>
      <c r="BX356" s="114">
        <f t="shared" ref="BX356:BX357" si="2100">M356</f>
        <v>250</v>
      </c>
      <c r="BY356" s="113" t="str">
        <f t="shared" ref="BY356:BY357" si="2101">Q356</f>
        <v>-</v>
      </c>
      <c r="BZ356" s="114">
        <f t="shared" ref="BZ356:BZ357" si="2102">U356</f>
        <v>299</v>
      </c>
      <c r="CA356" s="113" t="str">
        <f t="shared" ref="CA356:CA357" si="2103">Y356</f>
        <v>-</v>
      </c>
      <c r="CB356" s="114">
        <f t="shared" ref="CB356:CB357" si="2104">AC356</f>
        <v>343</v>
      </c>
      <c r="CC356" s="113">
        <f t="shared" ref="CC356:CC357" si="2105">AG356</f>
        <v>377</v>
      </c>
      <c r="CD356" s="114">
        <f t="shared" ref="CD356:CD357" si="2106">AK356</f>
        <v>383</v>
      </c>
      <c r="CE356" s="113">
        <f t="shared" ref="CE356:CE357" si="2107">AO356</f>
        <v>431</v>
      </c>
      <c r="CF356" s="114">
        <f t="shared" ref="CF356:CF357" si="2108">AS356</f>
        <v>473</v>
      </c>
      <c r="CG356" s="113">
        <f t="shared" ref="CG356:CG357" si="2109">AW356</f>
        <v>497</v>
      </c>
      <c r="CH356" s="111">
        <f t="shared" ref="CH356:CH357" si="2110">G356</f>
        <v>244</v>
      </c>
      <c r="CI356" s="113">
        <f t="shared" ref="CI356:CI357" si="2111">K356</f>
        <v>249</v>
      </c>
      <c r="CJ356" s="114">
        <f t="shared" ref="CJ356:CJ357" si="2112">O356</f>
        <v>276</v>
      </c>
      <c r="CK356" s="114" t="str">
        <f t="shared" ref="CK356:CK357" si="2113">S356</f>
        <v>-</v>
      </c>
      <c r="CL356" s="114">
        <f t="shared" ref="CL356:CL357" si="2114">W356</f>
        <v>332</v>
      </c>
      <c r="CM356" s="114" t="str">
        <f t="shared" ref="CM356:CM357" si="2115">AA356</f>
        <v>-</v>
      </c>
      <c r="CN356" s="114">
        <f t="shared" ref="CN356:CN357" si="2116">AE356</f>
        <v>366</v>
      </c>
      <c r="CO356" s="114">
        <f t="shared" ref="CO356:CO357" si="2117">AI356</f>
        <v>379</v>
      </c>
      <c r="CP356" s="114">
        <f t="shared" ref="CP356:CP357" si="2118">AM356</f>
        <v>420</v>
      </c>
      <c r="CQ356" s="114">
        <f t="shared" ref="CQ356:CQ357" si="2119">AQ356</f>
        <v>461</v>
      </c>
      <c r="CR356" s="114">
        <f t="shared" ref="CR356:CR357" si="2120">AU356</f>
        <v>496</v>
      </c>
      <c r="CS356" s="114">
        <f t="shared" ref="CS356:CS357" si="2121">AY356</f>
        <v>512</v>
      </c>
      <c r="CT356" s="109">
        <f t="shared" ref="CT356:CT357" si="2122">M356-K356</f>
        <v>1</v>
      </c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  <c r="AMO356" s="9"/>
      <c r="AMP356" s="9"/>
    </row>
    <row r="357" spans="1:1030" s="12" customFormat="1" x14ac:dyDescent="0.2">
      <c r="A357" s="9" t="str">
        <f t="shared" ref="A357" si="2123">CONCATENATE(B357,"_",C357)</f>
        <v>fzd4_human_6BD4</v>
      </c>
      <c r="B357" s="9" t="s">
        <v>450</v>
      </c>
      <c r="C357" s="9" t="s">
        <v>1555</v>
      </c>
      <c r="D357" s="9" t="str">
        <f>IFERROR(MID(VLOOKUP($B357,Seqs!$A:$B,2,0),E357,1),"")</f>
        <v>S</v>
      </c>
      <c r="E357" s="9">
        <v>212</v>
      </c>
      <c r="F357" s="9" t="str">
        <f>IFERROR(MID(VLOOKUP($B357,Seqs!$A:$B,2,0),G357,1),"")</f>
        <v>D</v>
      </c>
      <c r="G357" s="9">
        <v>244</v>
      </c>
      <c r="H357" s="9" t="str">
        <f>IFERROR(MID(VLOOKUP($B357,Seqs!$A:$B,2,0),I357,1),"")</f>
        <v>S</v>
      </c>
      <c r="I357" s="109">
        <v>245</v>
      </c>
      <c r="J357" s="9" t="str">
        <f>IFERROR(MID(VLOOKUP($B357,Seqs!$A:$B,2,0),K357,1),"")</f>
        <v>S</v>
      </c>
      <c r="K357" s="109">
        <v>249</v>
      </c>
      <c r="L357" s="9" t="str">
        <f>IFERROR(MID(VLOOKUP($B357,Seqs!$A:$B,2,0),M357,1),"")</f>
        <v>Y</v>
      </c>
      <c r="M357" s="9">
        <v>250</v>
      </c>
      <c r="N357" s="9" t="str">
        <f>IFERROR(MID(VLOOKUP($B357,Seqs!$A:$B,2,0),O357,1),"")</f>
        <v>G</v>
      </c>
      <c r="O357" s="9">
        <v>276</v>
      </c>
      <c r="P357" s="9" t="str">
        <f>IFERROR(MID(VLOOKUP($B357,Seqs!$A:$B,2,0),Q357,1),"")</f>
        <v/>
      </c>
      <c r="Q357" s="9" t="s">
        <v>23</v>
      </c>
      <c r="R357" s="9" t="str">
        <f>IFERROR(MID(VLOOKUP($B357,Seqs!$A:$B,2,0),S357,1),"")</f>
        <v/>
      </c>
      <c r="S357" s="9" t="s">
        <v>23</v>
      </c>
      <c r="T357" s="9" t="str">
        <f>IFERROR(MID(VLOOKUP($B357,Seqs!$A:$B,2,0),U357,1),"")</f>
        <v>N</v>
      </c>
      <c r="U357" s="9">
        <v>299</v>
      </c>
      <c r="V357" s="9" t="str">
        <f>IFERROR(MID(VLOOKUP($B357,Seqs!$A:$B,2,0),W357,1),"")</f>
        <v>G</v>
      </c>
      <c r="W357" s="9">
        <v>332</v>
      </c>
      <c r="X357" s="9" t="str">
        <f>IFERROR(MID(VLOOKUP($B357,Seqs!$A:$B,2,0),Y357,1),"")</f>
        <v/>
      </c>
      <c r="Y357" s="9" t="s">
        <v>23</v>
      </c>
      <c r="Z357" s="9" t="str">
        <f>IFERROR(MID(VLOOKUP($B357,Seqs!$A:$B,2,0),AA357,1),"")</f>
        <v/>
      </c>
      <c r="AA357" s="9" t="s">
        <v>23</v>
      </c>
      <c r="AB357" s="9" t="str">
        <f>IFERROR(MID(VLOOKUP($B357,Seqs!$A:$B,2,0),AC357,1),"")</f>
        <v>H</v>
      </c>
      <c r="AC357" s="9">
        <v>343</v>
      </c>
      <c r="AD357" s="9" t="str">
        <f>IFERROR(MID(VLOOKUP($B357,Seqs!$A:$B,2,0),AE357,1),"")</f>
        <v>R</v>
      </c>
      <c r="AE357" s="9">
        <v>366</v>
      </c>
      <c r="AF357" s="9" t="str">
        <f>IFERROR(MID(VLOOKUP($B357,Seqs!$A:$B,2,0),AG357,1),"")</f>
        <v>C</v>
      </c>
      <c r="AG357" s="9">
        <v>377</v>
      </c>
      <c r="AH357" s="9" t="str">
        <f>IFERROR(MID(VLOOKUP($B357,Seqs!$A:$B,2,0),AI357,1),"")</f>
        <v>V</v>
      </c>
      <c r="AI357" s="9">
        <v>379</v>
      </c>
      <c r="AJ357" s="9" t="str">
        <f>IFERROR(MID(VLOOKUP($B357,Seqs!$A:$B,2,0),AK357,1),"")</f>
        <v>N</v>
      </c>
      <c r="AK357" s="9">
        <v>383</v>
      </c>
      <c r="AL357" s="9" t="str">
        <f>IFERROR(MID(VLOOKUP($B357,Seqs!$A:$B,2,0),AM357,1),"")</f>
        <v>S</v>
      </c>
      <c r="AM357" s="9">
        <v>418</v>
      </c>
      <c r="AN357" s="9" t="str">
        <f>IFERROR(MID(VLOOKUP($B357,Seqs!$A:$B,2,0),AO357,1),"")</f>
        <v>E</v>
      </c>
      <c r="AO357" s="9">
        <v>431</v>
      </c>
      <c r="AP357" s="9" t="str">
        <f>IFERROR(MID(VLOOKUP($B357,Seqs!$A:$B,2,0),AQ357,1),"")</f>
        <v>N</v>
      </c>
      <c r="AQ357" s="9">
        <v>461</v>
      </c>
      <c r="AR357" s="9" t="str">
        <f>IFERROR(MID(VLOOKUP($B357,Seqs!$A:$B,2,0),AS357,1),"")</f>
        <v>N</v>
      </c>
      <c r="AS357" s="9">
        <v>473</v>
      </c>
      <c r="AT357" s="9" t="str">
        <f>IFERROR(MID(VLOOKUP($B357,Seqs!$A:$B,2,0),AU357,1),"")</f>
        <v>W</v>
      </c>
      <c r="AU357" s="9">
        <v>496</v>
      </c>
      <c r="AV357" s="9" t="str">
        <f>IFERROR(MID(VLOOKUP($B357,Seqs!$A:$B,2,0),AW357,1),"")</f>
        <v>S</v>
      </c>
      <c r="AW357" s="9">
        <v>497</v>
      </c>
      <c r="AX357" s="9" t="str">
        <f>IFERROR(MID(VLOOKUP($B357,Seqs!$A:$B,2,0),AY357,1),"")</f>
        <v>V</v>
      </c>
      <c r="AY357" s="9">
        <v>512</v>
      </c>
      <c r="AZ357" s="110" t="str">
        <f>VLOOKUP(B357,Classification!A:D,2,0)</f>
        <v>F</v>
      </c>
      <c r="BA357" s="98" t="str">
        <f>VLOOKUP(B357,Classification!A:D,4,0)</f>
        <v>Frizzled</v>
      </c>
      <c r="BB357" s="36" t="b">
        <f t="shared" si="2096"/>
        <v>1</v>
      </c>
      <c r="BC357" s="109">
        <f t="shared" si="2097"/>
        <v>235</v>
      </c>
      <c r="BD357" s="11" t="s">
        <v>1377</v>
      </c>
      <c r="BE357" s="9" t="s">
        <v>1375</v>
      </c>
      <c r="BF357" s="120">
        <v>2.4</v>
      </c>
      <c r="BG357" s="51" t="s">
        <v>1</v>
      </c>
      <c r="BH357" s="51" t="s">
        <v>1</v>
      </c>
      <c r="BI357" s="9"/>
      <c r="BJ357" s="111" t="s">
        <v>1288</v>
      </c>
      <c r="BK357" s="112" t="s">
        <v>1288</v>
      </c>
      <c r="BL357" s="112" t="s">
        <v>1288</v>
      </c>
      <c r="BM357" s="112" t="s">
        <v>1288</v>
      </c>
      <c r="BN357" s="112" t="s">
        <v>1288</v>
      </c>
      <c r="BO357" s="112" t="s">
        <v>1288</v>
      </c>
      <c r="BP357" s="112" t="s">
        <v>1288</v>
      </c>
      <c r="BQ357" s="112" t="s">
        <v>1288</v>
      </c>
      <c r="BR357" s="112" t="s">
        <v>1288</v>
      </c>
      <c r="BS357" s="112" t="s">
        <v>1288</v>
      </c>
      <c r="BT357" s="112" t="s">
        <v>1288</v>
      </c>
      <c r="BU357" s="112" t="s">
        <v>1288</v>
      </c>
      <c r="BV357" s="111">
        <f t="shared" si="2098"/>
        <v>212</v>
      </c>
      <c r="BW357" s="113">
        <f t="shared" si="2099"/>
        <v>245</v>
      </c>
      <c r="BX357" s="114">
        <f t="shared" si="2100"/>
        <v>250</v>
      </c>
      <c r="BY357" s="113" t="str">
        <f t="shared" si="2101"/>
        <v>-</v>
      </c>
      <c r="BZ357" s="114">
        <f t="shared" si="2102"/>
        <v>299</v>
      </c>
      <c r="CA357" s="113" t="str">
        <f t="shared" si="2103"/>
        <v>-</v>
      </c>
      <c r="CB357" s="114">
        <f t="shared" si="2104"/>
        <v>343</v>
      </c>
      <c r="CC357" s="113">
        <f t="shared" si="2105"/>
        <v>377</v>
      </c>
      <c r="CD357" s="114">
        <f t="shared" si="2106"/>
        <v>383</v>
      </c>
      <c r="CE357" s="113">
        <f t="shared" si="2107"/>
        <v>431</v>
      </c>
      <c r="CF357" s="114">
        <f t="shared" si="2108"/>
        <v>473</v>
      </c>
      <c r="CG357" s="113">
        <f t="shared" si="2109"/>
        <v>497</v>
      </c>
      <c r="CH357" s="111">
        <f t="shared" si="2110"/>
        <v>244</v>
      </c>
      <c r="CI357" s="113">
        <f t="shared" si="2111"/>
        <v>249</v>
      </c>
      <c r="CJ357" s="114">
        <f t="shared" si="2112"/>
        <v>276</v>
      </c>
      <c r="CK357" s="114" t="str">
        <f t="shared" si="2113"/>
        <v>-</v>
      </c>
      <c r="CL357" s="114">
        <f t="shared" si="2114"/>
        <v>332</v>
      </c>
      <c r="CM357" s="114" t="str">
        <f t="shared" si="2115"/>
        <v>-</v>
      </c>
      <c r="CN357" s="114">
        <f t="shared" si="2116"/>
        <v>366</v>
      </c>
      <c r="CO357" s="114">
        <f t="shared" si="2117"/>
        <v>379</v>
      </c>
      <c r="CP357" s="114">
        <f t="shared" si="2118"/>
        <v>418</v>
      </c>
      <c r="CQ357" s="114">
        <f t="shared" si="2119"/>
        <v>461</v>
      </c>
      <c r="CR357" s="114">
        <f t="shared" si="2120"/>
        <v>496</v>
      </c>
      <c r="CS357" s="114">
        <f t="shared" si="2121"/>
        <v>512</v>
      </c>
      <c r="CT357" s="109">
        <f t="shared" si="2122"/>
        <v>1</v>
      </c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  <c r="AMO357" s="9"/>
      <c r="AMP357" s="9"/>
    </row>
    <row r="358" spans="1:1030" x14ac:dyDescent="0.2">
      <c r="A358" s="3" t="str">
        <f t="shared" si="1926"/>
        <v>smo_human__wt</v>
      </c>
      <c r="B358" s="3" t="s">
        <v>33</v>
      </c>
      <c r="C358" s="3" t="s">
        <v>100</v>
      </c>
      <c r="D358" s="3" t="str">
        <f>IFERROR(MID(VLOOKUP($B358,Seqs!$A:$B,2,0),E358,1),"")</f>
        <v>T</v>
      </c>
      <c r="E358" s="105">
        <v>223</v>
      </c>
      <c r="F358" s="3" t="str">
        <f>IFERROR(MID(VLOOKUP($B358,Seqs!$A:$B,2,0),G358,1),"")</f>
        <v>D</v>
      </c>
      <c r="G358" s="3">
        <v>255</v>
      </c>
      <c r="H358" s="3" t="str">
        <f>IFERROR(MID(VLOOKUP($B358,Seqs!$A:$B,2,0),I358,1),"")</f>
        <v>W</v>
      </c>
      <c r="I358" s="23">
        <v>256</v>
      </c>
      <c r="J358" s="3" t="str">
        <f>IFERROR(MID(VLOOKUP($B358,Seqs!$A:$B,2,0),K358,1),"")</f>
        <v>N</v>
      </c>
      <c r="K358" s="23">
        <v>260</v>
      </c>
      <c r="L358" s="3" t="str">
        <f>IFERROR(MID(VLOOKUP($B358,Seqs!$A:$B,2,0),M358,1),"")</f>
        <v>R</v>
      </c>
      <c r="M358" s="3">
        <v>261</v>
      </c>
      <c r="N358" s="3" t="str">
        <f>IFERROR(MID(VLOOKUP($B358,Seqs!$A:$B,2,0),O358,1),"")</f>
        <v>F</v>
      </c>
      <c r="O358" s="3">
        <v>285</v>
      </c>
      <c r="P358" s="3" t="str">
        <f>IFERROR(MID(VLOOKUP($B358,Seqs!$A:$B,2,0),Q358,1),"")</f>
        <v/>
      </c>
      <c r="Q358" s="3" t="s">
        <v>23</v>
      </c>
      <c r="R358" s="3" t="str">
        <f>IFERROR(MID(VLOOKUP($B358,Seqs!$A:$B,2,0),S358,1),"")</f>
        <v/>
      </c>
      <c r="S358" s="3" t="s">
        <v>23</v>
      </c>
      <c r="T358" s="3" t="str">
        <f>IFERROR(MID(VLOOKUP($B358,Seqs!$A:$B,2,0),U358,1),"")</f>
        <v>L</v>
      </c>
      <c r="U358" s="3">
        <v>312</v>
      </c>
      <c r="V358" s="3" t="str">
        <f>IFERROR(MID(VLOOKUP($B358,Seqs!$A:$B,2,0),W358,1),"")</f>
        <v>A</v>
      </c>
      <c r="W358" s="105">
        <v>345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K</v>
      </c>
      <c r="AC358" s="9">
        <v>356</v>
      </c>
      <c r="AD358" s="3" t="str">
        <f>IFERROR(MID(VLOOKUP($B358,Seqs!$A:$B,2,0),AE358,1),"")</f>
        <v>V</v>
      </c>
      <c r="AE358" s="3">
        <v>378</v>
      </c>
      <c r="AF358" s="3" t="str">
        <f>IFERROR(MID(VLOOKUP($B358,Seqs!$A:$B,2,0),AG358,1),"")</f>
        <v>C</v>
      </c>
      <c r="AG358" s="3">
        <v>390</v>
      </c>
      <c r="AH358" s="3" t="str">
        <f>IFERROR(MID(VLOOKUP($B358,Seqs!$A:$B,2,0),AI358,1),"")</f>
        <v>V</v>
      </c>
      <c r="AI358" s="3">
        <v>392</v>
      </c>
      <c r="AJ358" s="3" t="str">
        <f>IFERROR(MID(VLOOKUP($B358,Seqs!$A:$B,2,0),AK358,1),"")</f>
        <v>N</v>
      </c>
      <c r="AK358" s="105">
        <v>396</v>
      </c>
      <c r="AL358" s="3" t="str">
        <f>IFERROR(MID(VLOOKUP($B358,Seqs!$A:$B,2,0),AM358,1),"")</f>
        <v>H</v>
      </c>
      <c r="AM358" s="3">
        <v>433</v>
      </c>
      <c r="AN358" s="3" t="str">
        <f>IFERROR(MID(VLOOKUP($B358,Seqs!$A:$B,2,0),AO358,1),"")</f>
        <v>A</v>
      </c>
      <c r="AO358" s="3">
        <v>442</v>
      </c>
      <c r="AP358" s="3" t="str">
        <f>IFERROR(MID(VLOOKUP($B358,Seqs!$A:$B,2,0),AQ358,1),"")</f>
        <v>I</v>
      </c>
      <c r="AQ358" s="3">
        <v>496</v>
      </c>
      <c r="AR358" s="3" t="str">
        <f>IFERROR(MID(VLOOKUP($B358,Seqs!$A:$B,2,0),AS358,1),"")</f>
        <v>S</v>
      </c>
      <c r="AS358" s="105">
        <v>514</v>
      </c>
      <c r="AT358" s="3" t="str">
        <f>IFERROR(MID(VLOOKUP($B358,Seqs!$A:$B,2,0),AU358,1),"")</f>
        <v>W</v>
      </c>
      <c r="AU358" s="3">
        <v>537</v>
      </c>
      <c r="AV358" s="3" t="str">
        <f>IFERROR(MID(VLOOKUP($B358,Seqs!$A:$B,2,0),AW358,1),"")</f>
        <v>T</v>
      </c>
      <c r="AW358" s="3">
        <v>538</v>
      </c>
      <c r="AX358" s="3" t="str">
        <f>IFERROR(MID(VLOOKUP($B358,Seqs!$A:$B,2,0),AY358,1),"")</f>
        <v>T</v>
      </c>
      <c r="AY358" s="3">
        <v>553</v>
      </c>
      <c r="AZ358" s="77" t="str">
        <f>VLOOKUP(B358,Classification!A:D,2,0)</f>
        <v>F</v>
      </c>
      <c r="BA358" s="94" t="str">
        <f>VLOOKUP(B358,Classification!A:D,4,0)</f>
        <v>Frizzled</v>
      </c>
      <c r="BB358" s="27" t="b">
        <f t="shared" si="1927"/>
        <v>1</v>
      </c>
      <c r="BC358" s="23">
        <f t="shared" si="1900"/>
        <v>258</v>
      </c>
      <c r="BD358" s="56" t="s">
        <v>23</v>
      </c>
      <c r="BE358" s="3" t="s">
        <v>23</v>
      </c>
      <c r="BF358" s="119" t="s">
        <v>23</v>
      </c>
      <c r="BG358" s="49" t="s">
        <v>1373</v>
      </c>
      <c r="BH358" s="49" t="s">
        <v>1378</v>
      </c>
      <c r="BJ358" s="70" t="s">
        <v>1288</v>
      </c>
      <c r="BK358" s="57" t="s">
        <v>1288</v>
      </c>
      <c r="BL358" s="57" t="s">
        <v>1288</v>
      </c>
      <c r="BM358" s="57" t="s">
        <v>1288</v>
      </c>
      <c r="BN358" s="57" t="s">
        <v>1288</v>
      </c>
      <c r="BO358" s="57" t="s">
        <v>1288</v>
      </c>
      <c r="BP358" s="57" t="s">
        <v>1288</v>
      </c>
      <c r="BQ358" s="57" t="s">
        <v>1288</v>
      </c>
      <c r="BR358" s="57" t="s">
        <v>1288</v>
      </c>
      <c r="BS358" s="57" t="s">
        <v>1288</v>
      </c>
      <c r="BT358" s="57" t="s">
        <v>1288</v>
      </c>
      <c r="BU358" s="57" t="s">
        <v>1288</v>
      </c>
      <c r="BV358" s="70">
        <f t="shared" si="1901"/>
        <v>223</v>
      </c>
      <c r="BW358" s="71">
        <f t="shared" si="1902"/>
        <v>256</v>
      </c>
      <c r="BX358" s="72">
        <f t="shared" si="1903"/>
        <v>261</v>
      </c>
      <c r="BY358" s="71" t="str">
        <f t="shared" si="1904"/>
        <v>-</v>
      </c>
      <c r="BZ358" s="72">
        <f t="shared" si="1905"/>
        <v>312</v>
      </c>
      <c r="CA358" s="71" t="str">
        <f t="shared" si="1906"/>
        <v>-</v>
      </c>
      <c r="CB358" s="72">
        <f t="shared" si="1907"/>
        <v>356</v>
      </c>
      <c r="CC358" s="71">
        <f t="shared" si="1908"/>
        <v>390</v>
      </c>
      <c r="CD358" s="72">
        <f t="shared" si="1909"/>
        <v>396</v>
      </c>
      <c r="CE358" s="71">
        <f t="shared" si="1910"/>
        <v>442</v>
      </c>
      <c r="CF358" s="72">
        <f t="shared" si="1911"/>
        <v>514</v>
      </c>
      <c r="CG358" s="71">
        <f t="shared" si="1912"/>
        <v>538</v>
      </c>
      <c r="CH358" s="70">
        <f t="shared" si="1913"/>
        <v>255</v>
      </c>
      <c r="CI358" s="71">
        <f t="shared" si="1914"/>
        <v>260</v>
      </c>
      <c r="CJ358" s="72">
        <f t="shared" si="1915"/>
        <v>285</v>
      </c>
      <c r="CK358" s="72" t="str">
        <f t="shared" si="1916"/>
        <v>-</v>
      </c>
      <c r="CL358" s="72">
        <f t="shared" si="1917"/>
        <v>345</v>
      </c>
      <c r="CM358" s="72" t="str">
        <f t="shared" si="1918"/>
        <v>-</v>
      </c>
      <c r="CN358" s="72">
        <f t="shared" si="1919"/>
        <v>378</v>
      </c>
      <c r="CO358" s="72">
        <f t="shared" si="1920"/>
        <v>392</v>
      </c>
      <c r="CP358" s="72">
        <f t="shared" si="1921"/>
        <v>433</v>
      </c>
      <c r="CQ358" s="72">
        <f t="shared" si="1922"/>
        <v>496</v>
      </c>
      <c r="CR358" s="72">
        <f t="shared" si="1923"/>
        <v>537</v>
      </c>
      <c r="CS358" s="72">
        <f t="shared" si="1924"/>
        <v>553</v>
      </c>
      <c r="CT358" s="23">
        <f t="shared" si="1925"/>
        <v>1</v>
      </c>
    </row>
    <row r="359" spans="1:1030" x14ac:dyDescent="0.2">
      <c r="A359" s="3" t="str">
        <f t="shared" si="1926"/>
        <v>smo_human_4JKV</v>
      </c>
      <c r="B359" s="3" t="s">
        <v>33</v>
      </c>
      <c r="C359" s="3" t="s">
        <v>86</v>
      </c>
      <c r="D359" s="3" t="str">
        <f>IFERROR(MID(VLOOKUP($B359,Seqs!$A:$B,2,0),E359,1),"")</f>
        <v>T</v>
      </c>
      <c r="E359" s="105">
        <v>223</v>
      </c>
      <c r="F359" s="3" t="str">
        <f>IFERROR(MID(VLOOKUP($B359,Seqs!$A:$B,2,0),G359,1),"")</f>
        <v>D</v>
      </c>
      <c r="G359" s="3">
        <v>255</v>
      </c>
      <c r="H359" s="3" t="str">
        <f>IFERROR(MID(VLOOKUP($B359,Seqs!$A:$B,2,0),I359,1),"")</f>
        <v>W</v>
      </c>
      <c r="I359" s="23">
        <v>256</v>
      </c>
      <c r="J359" s="3" t="str">
        <f>IFERROR(MID(VLOOKUP($B359,Seqs!$A:$B,2,0),K359,1),"")</f>
        <v>N</v>
      </c>
      <c r="K359" s="23">
        <v>260</v>
      </c>
      <c r="L359" s="3" t="str">
        <f>IFERROR(MID(VLOOKUP($B359,Seqs!$A:$B,2,0),M359,1),"")</f>
        <v>R</v>
      </c>
      <c r="M359" s="3">
        <v>261</v>
      </c>
      <c r="N359" s="3" t="str">
        <f>IFERROR(MID(VLOOKUP($B359,Seqs!$A:$B,2,0),O359,1),"")</f>
        <v>F</v>
      </c>
      <c r="O359" s="3">
        <v>285</v>
      </c>
      <c r="P359" s="3" t="str">
        <f>IFERROR(MID(VLOOKUP($B359,Seqs!$A:$B,2,0),Q359,1),"")</f>
        <v/>
      </c>
      <c r="Q359" s="3" t="s">
        <v>23</v>
      </c>
      <c r="R359" s="3" t="str">
        <f>IFERROR(MID(VLOOKUP($B359,Seqs!$A:$B,2,0),S359,1),"")</f>
        <v/>
      </c>
      <c r="S359" s="3" t="s">
        <v>23</v>
      </c>
      <c r="T359" s="3" t="str">
        <f>IFERROR(MID(VLOOKUP($B359,Seqs!$A:$B,2,0),U359,1),"")</f>
        <v>L</v>
      </c>
      <c r="U359" s="3">
        <v>312</v>
      </c>
      <c r="V359" s="3" t="str">
        <f>IFERROR(MID(VLOOKUP($B359,Seqs!$A:$B,2,0),W359,1),"")</f>
        <v>T</v>
      </c>
      <c r="W359" s="3">
        <v>348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F</v>
      </c>
      <c r="AC359" s="9">
        <v>360</v>
      </c>
      <c r="AD359" s="3" t="str">
        <f>IFERROR(MID(VLOOKUP($B359,Seqs!$A:$B,2,0),AE359,1),"")</f>
        <v>V</v>
      </c>
      <c r="AE359" s="3">
        <v>378</v>
      </c>
      <c r="AF359" s="3" t="str">
        <f>IFERROR(MID(VLOOKUP($B359,Seqs!$A:$B,2,0),AG359,1),"")</f>
        <v>C</v>
      </c>
      <c r="AG359" s="3">
        <v>390</v>
      </c>
      <c r="AH359" s="3" t="str">
        <f>IFERROR(MID(VLOOKUP($B359,Seqs!$A:$B,2,0),AI359,1),"")</f>
        <v>V</v>
      </c>
      <c r="AI359" s="3">
        <v>392</v>
      </c>
      <c r="AJ359" s="3" t="str">
        <f>IFERROR(MID(VLOOKUP($B359,Seqs!$A:$B,2,0),AK359,1),"")</f>
        <v>N</v>
      </c>
      <c r="AK359" s="105">
        <v>396</v>
      </c>
      <c r="AL359" s="3" t="str">
        <f>IFERROR(MID(VLOOKUP($B359,Seqs!$A:$B,2,0),AM359,1),"")</f>
        <v>H</v>
      </c>
      <c r="AM359" s="3">
        <v>433</v>
      </c>
      <c r="AN359" s="3" t="str">
        <f>IFERROR(MID(VLOOKUP($B359,Seqs!$A:$B,2,0),AO359,1),"")</f>
        <v>A</v>
      </c>
      <c r="AO359" s="3">
        <v>442</v>
      </c>
      <c r="AP359" s="3" t="str">
        <f>IFERROR(MID(VLOOKUP($B359,Seqs!$A:$B,2,0),AQ359,1),"")</f>
        <v>N</v>
      </c>
      <c r="AQ359" s="3">
        <v>493</v>
      </c>
      <c r="AR359" s="3" t="str">
        <f>IFERROR(MID(VLOOKUP($B359,Seqs!$A:$B,2,0),AS359,1),"")</f>
        <v>S</v>
      </c>
      <c r="AS359" s="105">
        <v>514</v>
      </c>
      <c r="AT359" s="3" t="str">
        <f>IFERROR(MID(VLOOKUP($B359,Seqs!$A:$B,2,0),AU359,1),"")</f>
        <v>W</v>
      </c>
      <c r="AU359" s="3">
        <v>537</v>
      </c>
      <c r="AV359" s="3" t="str">
        <f>IFERROR(MID(VLOOKUP($B359,Seqs!$A:$B,2,0),AW359,1),"")</f>
        <v>T</v>
      </c>
      <c r="AW359" s="3">
        <v>538</v>
      </c>
      <c r="AX359" s="3" t="str">
        <f>IFERROR(MID(VLOOKUP($B359,Seqs!$A:$B,2,0),AY359,1),"")</f>
        <v>C</v>
      </c>
      <c r="AY359" s="3">
        <v>550</v>
      </c>
      <c r="AZ359" s="77" t="str">
        <f>VLOOKUP(B359,Classification!A:D,2,0)</f>
        <v>F</v>
      </c>
      <c r="BA359" s="94" t="str">
        <f>VLOOKUP(B359,Classification!A:D,4,0)</f>
        <v>Frizzled</v>
      </c>
      <c r="BB359" s="27" t="b">
        <f t="shared" si="1927"/>
        <v>1</v>
      </c>
      <c r="BC359" s="23">
        <f t="shared" si="1900"/>
        <v>251</v>
      </c>
      <c r="BD359" s="4" t="s">
        <v>23</v>
      </c>
      <c r="BE359" s="3" t="s">
        <v>1375</v>
      </c>
      <c r="BF359" s="119">
        <v>2.4500000000000002</v>
      </c>
      <c r="BG359" s="49" t="s">
        <v>1378</v>
      </c>
      <c r="BH359" s="49" t="s">
        <v>1378</v>
      </c>
      <c r="BJ359" s="70" t="s">
        <v>1288</v>
      </c>
      <c r="BK359" s="57" t="s">
        <v>1288</v>
      </c>
      <c r="BL359" s="57" t="s">
        <v>1288</v>
      </c>
      <c r="BM359" s="57" t="s">
        <v>1288</v>
      </c>
      <c r="BN359" s="57" t="s">
        <v>1288</v>
      </c>
      <c r="BO359" s="57" t="s">
        <v>1288</v>
      </c>
      <c r="BP359" s="57" t="s">
        <v>1288</v>
      </c>
      <c r="BQ359" s="57" t="s">
        <v>1288</v>
      </c>
      <c r="BR359" s="57" t="s">
        <v>1288</v>
      </c>
      <c r="BS359" s="57" t="s">
        <v>1288</v>
      </c>
      <c r="BT359" s="57" t="s">
        <v>1288</v>
      </c>
      <c r="BU359" s="57" t="s">
        <v>1288</v>
      </c>
      <c r="BV359" s="70">
        <f t="shared" si="1901"/>
        <v>223</v>
      </c>
      <c r="BW359" s="71">
        <f t="shared" si="1902"/>
        <v>256</v>
      </c>
      <c r="BX359" s="72">
        <f t="shared" si="1903"/>
        <v>261</v>
      </c>
      <c r="BY359" s="71" t="str">
        <f t="shared" si="1904"/>
        <v>-</v>
      </c>
      <c r="BZ359" s="72">
        <f t="shared" si="1905"/>
        <v>312</v>
      </c>
      <c r="CA359" s="71" t="str">
        <f t="shared" si="1906"/>
        <v>-</v>
      </c>
      <c r="CB359" s="72">
        <f t="shared" si="1907"/>
        <v>360</v>
      </c>
      <c r="CC359" s="71">
        <f t="shared" si="1908"/>
        <v>390</v>
      </c>
      <c r="CD359" s="72">
        <f t="shared" si="1909"/>
        <v>396</v>
      </c>
      <c r="CE359" s="71">
        <f t="shared" si="1910"/>
        <v>442</v>
      </c>
      <c r="CF359" s="72">
        <f t="shared" si="1911"/>
        <v>514</v>
      </c>
      <c r="CG359" s="71">
        <f t="shared" si="1912"/>
        <v>538</v>
      </c>
      <c r="CH359" s="70">
        <f t="shared" si="1913"/>
        <v>255</v>
      </c>
      <c r="CI359" s="71">
        <f t="shared" si="1914"/>
        <v>260</v>
      </c>
      <c r="CJ359" s="72">
        <f t="shared" si="1915"/>
        <v>285</v>
      </c>
      <c r="CK359" s="72" t="str">
        <f t="shared" si="1916"/>
        <v>-</v>
      </c>
      <c r="CL359" s="72">
        <f t="shared" si="1917"/>
        <v>348</v>
      </c>
      <c r="CM359" s="72" t="str">
        <f t="shared" si="1918"/>
        <v>-</v>
      </c>
      <c r="CN359" s="72">
        <f t="shared" si="1919"/>
        <v>378</v>
      </c>
      <c r="CO359" s="72">
        <f t="shared" si="1920"/>
        <v>392</v>
      </c>
      <c r="CP359" s="72">
        <f t="shared" si="1921"/>
        <v>433</v>
      </c>
      <c r="CQ359" s="72">
        <f t="shared" si="1922"/>
        <v>493</v>
      </c>
      <c r="CR359" s="72">
        <f t="shared" si="1923"/>
        <v>537</v>
      </c>
      <c r="CS359" s="72">
        <f t="shared" si="1924"/>
        <v>550</v>
      </c>
      <c r="CT359" s="23">
        <f t="shared" si="1925"/>
        <v>1</v>
      </c>
    </row>
    <row r="360" spans="1:1030" x14ac:dyDescent="0.2">
      <c r="A360" s="3" t="str">
        <f t="shared" si="1926"/>
        <v>smo_human_4N4W</v>
      </c>
      <c r="B360" s="3" t="s">
        <v>33</v>
      </c>
      <c r="C360" s="3" t="s">
        <v>1048</v>
      </c>
      <c r="D360" s="3" t="str">
        <f>IFERROR(MID(VLOOKUP($B360,Seqs!$A:$B,2,0),E360,1),"")</f>
        <v>T</v>
      </c>
      <c r="E360" s="105">
        <v>223</v>
      </c>
      <c r="F360" s="3" t="str">
        <f>IFERROR(MID(VLOOKUP($B360,Seqs!$A:$B,2,0),G360,1),"")</f>
        <v>D</v>
      </c>
      <c r="G360" s="3">
        <v>255</v>
      </c>
      <c r="H360" s="3" t="str">
        <f>IFERROR(MID(VLOOKUP($B360,Seqs!$A:$B,2,0),I360,1),"")</f>
        <v>W</v>
      </c>
      <c r="I360" s="23">
        <v>256</v>
      </c>
      <c r="J360" s="3" t="str">
        <f>IFERROR(MID(VLOOKUP($B360,Seqs!$A:$B,2,0),K360,1),"")</f>
        <v>N</v>
      </c>
      <c r="K360" s="23">
        <v>260</v>
      </c>
      <c r="L360" s="3" t="str">
        <f>IFERROR(MID(VLOOKUP($B360,Seqs!$A:$B,2,0),M360,1),"")</f>
        <v>R</v>
      </c>
      <c r="M360" s="3">
        <v>261</v>
      </c>
      <c r="N360" s="3" t="str">
        <f>IFERROR(MID(VLOOKUP($B360,Seqs!$A:$B,2,0),O360,1),"")</f>
        <v>F</v>
      </c>
      <c r="O360" s="3">
        <v>285</v>
      </c>
      <c r="P360" s="3" t="str">
        <f>IFERROR(MID(VLOOKUP($B360,Seqs!$A:$B,2,0),Q360,1),"")</f>
        <v/>
      </c>
      <c r="Q360" s="3" t="s">
        <v>23</v>
      </c>
      <c r="R360" s="3" t="str">
        <f>IFERROR(MID(VLOOKUP($B360,Seqs!$A:$B,2,0),S360,1),"")</f>
        <v/>
      </c>
      <c r="S360" s="3" t="s">
        <v>23</v>
      </c>
      <c r="T360" s="3" t="str">
        <f>IFERROR(MID(VLOOKUP($B360,Seqs!$A:$B,2,0),U360,1),"")</f>
        <v>L</v>
      </c>
      <c r="U360" s="3">
        <v>312</v>
      </c>
      <c r="V360" s="3" t="str">
        <f>IFERROR(MID(VLOOKUP($B360,Seqs!$A:$B,2,0),W360,1),"")</f>
        <v>A</v>
      </c>
      <c r="W360" s="3">
        <v>345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K</v>
      </c>
      <c r="AC360" s="9">
        <v>356</v>
      </c>
      <c r="AD360" s="3" t="str">
        <f>IFERROR(MID(VLOOKUP($B360,Seqs!$A:$B,2,0),AE360,1),"")</f>
        <v>V</v>
      </c>
      <c r="AE360" s="3">
        <v>378</v>
      </c>
      <c r="AF360" s="3" t="str">
        <f>IFERROR(MID(VLOOKUP($B360,Seqs!$A:$B,2,0),AG360,1),"")</f>
        <v>C</v>
      </c>
      <c r="AG360" s="3">
        <v>390</v>
      </c>
      <c r="AH360" s="3" t="str">
        <f>IFERROR(MID(VLOOKUP($B360,Seqs!$A:$B,2,0),AI360,1),"")</f>
        <v>V</v>
      </c>
      <c r="AI360" s="3">
        <v>392</v>
      </c>
      <c r="AJ360" s="3" t="str">
        <f>IFERROR(MID(VLOOKUP($B360,Seqs!$A:$B,2,0),AK360,1),"")</f>
        <v>N</v>
      </c>
      <c r="AK360" s="105">
        <v>396</v>
      </c>
      <c r="AL360" s="3" t="str">
        <f>IFERROR(MID(VLOOKUP($B360,Seqs!$A:$B,2,0),AM360,1),"")</f>
        <v>H</v>
      </c>
      <c r="AM360" s="3">
        <v>433</v>
      </c>
      <c r="AN360" s="3" t="str">
        <f>IFERROR(MID(VLOOKUP($B360,Seqs!$A:$B,2,0),AO360,1),"")</f>
        <v>S</v>
      </c>
      <c r="AO360" s="3">
        <v>443</v>
      </c>
      <c r="AP360" s="3" t="str">
        <f>IFERROR(MID(VLOOKUP($B360,Seqs!$A:$B,2,0),AQ360,1),"")</f>
        <v>Q</v>
      </c>
      <c r="AQ360" s="3">
        <v>491</v>
      </c>
      <c r="AR360" s="3" t="str">
        <f>IFERROR(MID(VLOOKUP($B360,Seqs!$A:$B,2,0),AS360,1),"")</f>
        <v>S</v>
      </c>
      <c r="AS360" s="105">
        <v>514</v>
      </c>
      <c r="AT360" s="3" t="str">
        <f>IFERROR(MID(VLOOKUP($B360,Seqs!$A:$B,2,0),AU360,1),"")</f>
        <v>W</v>
      </c>
      <c r="AU360" s="3">
        <v>537</v>
      </c>
      <c r="AV360" s="3" t="str">
        <f>IFERROR(MID(VLOOKUP($B360,Seqs!$A:$B,2,0),AW360,1),"")</f>
        <v>T</v>
      </c>
      <c r="AW360" s="3">
        <v>538</v>
      </c>
      <c r="AX360" s="3" t="str">
        <f>IFERROR(MID(VLOOKUP($B360,Seqs!$A:$B,2,0),AY360,1),"")</f>
        <v>L</v>
      </c>
      <c r="AY360" s="3">
        <v>552</v>
      </c>
      <c r="AZ360" s="77" t="str">
        <f>VLOOKUP(B360,Classification!A:D,2,0)</f>
        <v>F</v>
      </c>
      <c r="BA360" s="94" t="str">
        <f>VLOOKUP(B360,Classification!A:D,4,0)</f>
        <v>Frizzled</v>
      </c>
      <c r="BB360" s="27" t="b">
        <f t="shared" si="1927"/>
        <v>1</v>
      </c>
      <c r="BC360" s="23">
        <f t="shared" si="1900"/>
        <v>251</v>
      </c>
      <c r="BD360" s="2" t="s">
        <v>23</v>
      </c>
      <c r="BE360" s="3" t="s">
        <v>1375</v>
      </c>
      <c r="BF360" s="119">
        <v>2.8</v>
      </c>
      <c r="BG360" s="49" t="s">
        <v>1378</v>
      </c>
      <c r="BH360" s="49" t="s">
        <v>1378</v>
      </c>
      <c r="BJ360" s="70" t="s">
        <v>1288</v>
      </c>
      <c r="BK360" s="57" t="s">
        <v>1288</v>
      </c>
      <c r="BL360" s="57" t="s">
        <v>1288</v>
      </c>
      <c r="BM360" s="57" t="s">
        <v>1288</v>
      </c>
      <c r="BN360" s="57" t="s">
        <v>1288</v>
      </c>
      <c r="BO360" s="57" t="s">
        <v>1288</v>
      </c>
      <c r="BP360" s="57" t="s">
        <v>1288</v>
      </c>
      <c r="BQ360" s="57" t="s">
        <v>1288</v>
      </c>
      <c r="BR360" s="57" t="s">
        <v>1288</v>
      </c>
      <c r="BS360" s="57" t="s">
        <v>1288</v>
      </c>
      <c r="BT360" s="57" t="s">
        <v>1288</v>
      </c>
      <c r="BU360" s="57" t="s">
        <v>1288</v>
      </c>
      <c r="BV360" s="70">
        <f t="shared" si="1901"/>
        <v>223</v>
      </c>
      <c r="BW360" s="71">
        <f t="shared" si="1902"/>
        <v>256</v>
      </c>
      <c r="BX360" s="72">
        <f t="shared" si="1903"/>
        <v>261</v>
      </c>
      <c r="BY360" s="71" t="str">
        <f t="shared" si="1904"/>
        <v>-</v>
      </c>
      <c r="BZ360" s="72">
        <f t="shared" si="1905"/>
        <v>312</v>
      </c>
      <c r="CA360" s="71" t="str">
        <f t="shared" si="1906"/>
        <v>-</v>
      </c>
      <c r="CB360" s="72">
        <f t="shared" si="1907"/>
        <v>356</v>
      </c>
      <c r="CC360" s="71">
        <f t="shared" si="1908"/>
        <v>390</v>
      </c>
      <c r="CD360" s="72">
        <f t="shared" si="1909"/>
        <v>396</v>
      </c>
      <c r="CE360" s="71">
        <f t="shared" si="1910"/>
        <v>443</v>
      </c>
      <c r="CF360" s="72">
        <f t="shared" si="1911"/>
        <v>514</v>
      </c>
      <c r="CG360" s="71">
        <f t="shared" si="1912"/>
        <v>538</v>
      </c>
      <c r="CH360" s="70">
        <f t="shared" si="1913"/>
        <v>255</v>
      </c>
      <c r="CI360" s="71">
        <f t="shared" si="1914"/>
        <v>260</v>
      </c>
      <c r="CJ360" s="72">
        <f t="shared" si="1915"/>
        <v>285</v>
      </c>
      <c r="CK360" s="72" t="str">
        <f t="shared" si="1916"/>
        <v>-</v>
      </c>
      <c r="CL360" s="72">
        <f t="shared" si="1917"/>
        <v>345</v>
      </c>
      <c r="CM360" s="72" t="str">
        <f t="shared" si="1918"/>
        <v>-</v>
      </c>
      <c r="CN360" s="72">
        <f t="shared" si="1919"/>
        <v>378</v>
      </c>
      <c r="CO360" s="72">
        <f t="shared" si="1920"/>
        <v>392</v>
      </c>
      <c r="CP360" s="72">
        <f t="shared" si="1921"/>
        <v>433</v>
      </c>
      <c r="CQ360" s="72">
        <f t="shared" si="1922"/>
        <v>491</v>
      </c>
      <c r="CR360" s="72">
        <f t="shared" si="1923"/>
        <v>537</v>
      </c>
      <c r="CS360" s="72">
        <f t="shared" si="1924"/>
        <v>552</v>
      </c>
      <c r="CT360" s="23">
        <f t="shared" si="1925"/>
        <v>1</v>
      </c>
    </row>
    <row r="361" spans="1:1030" x14ac:dyDescent="0.2">
      <c r="A361" s="3" t="str">
        <f t="shared" si="1926"/>
        <v>smo_human_4O9R</v>
      </c>
      <c r="B361" s="3" t="s">
        <v>33</v>
      </c>
      <c r="C361" s="3" t="s">
        <v>1050</v>
      </c>
      <c r="D361" s="3" t="str">
        <f>IFERROR(MID(VLOOKUP($B361,Seqs!$A:$B,2,0),E361,1),"")</f>
        <v>T</v>
      </c>
      <c r="E361" s="105">
        <v>223</v>
      </c>
      <c r="F361" s="3" t="str">
        <f>IFERROR(MID(VLOOKUP($B361,Seqs!$A:$B,2,0),G361,1),"")</f>
        <v>D</v>
      </c>
      <c r="G361" s="3">
        <v>255</v>
      </c>
      <c r="H361" s="3" t="str">
        <f>IFERROR(MID(VLOOKUP($B361,Seqs!$A:$B,2,0),I361,1),"")</f>
        <v>W</v>
      </c>
      <c r="I361" s="23">
        <v>256</v>
      </c>
      <c r="J361" s="3" t="str">
        <f>IFERROR(MID(VLOOKUP($B361,Seqs!$A:$B,2,0),K361,1),"")</f>
        <v>N</v>
      </c>
      <c r="K361" s="23">
        <v>260</v>
      </c>
      <c r="L361" s="3" t="str">
        <f>IFERROR(MID(VLOOKUP($B361,Seqs!$A:$B,2,0),M361,1),"")</f>
        <v>R</v>
      </c>
      <c r="M361" s="3">
        <v>261</v>
      </c>
      <c r="N361" s="3" t="str">
        <f>IFERROR(MID(VLOOKUP($B361,Seqs!$A:$B,2,0),O361,1),"")</f>
        <v>F</v>
      </c>
      <c r="O361" s="3">
        <v>285</v>
      </c>
      <c r="P361" s="3" t="str">
        <f>IFERROR(MID(VLOOKUP($B361,Seqs!$A:$B,2,0),Q361,1),"")</f>
        <v/>
      </c>
      <c r="Q361" s="3" t="s">
        <v>23</v>
      </c>
      <c r="R361" s="3" t="str">
        <f>IFERROR(MID(VLOOKUP($B361,Seqs!$A:$B,2,0),S361,1),"")</f>
        <v/>
      </c>
      <c r="S361" s="3" t="s">
        <v>23</v>
      </c>
      <c r="T361" s="3" t="str">
        <f>IFERROR(MID(VLOOKUP($B361,Seqs!$A:$B,2,0),U361,1),"")</f>
        <v>L</v>
      </c>
      <c r="U361" s="3">
        <v>312</v>
      </c>
      <c r="V361" s="3" t="str">
        <f>IFERROR(MID(VLOOKUP($B361,Seqs!$A:$B,2,0),W361,1),"")</f>
        <v>F</v>
      </c>
      <c r="W361" s="3">
        <v>343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F</v>
      </c>
      <c r="AC361" s="9">
        <v>360</v>
      </c>
      <c r="AD361" s="3" t="str">
        <f>IFERROR(MID(VLOOKUP($B361,Seqs!$A:$B,2,0),AE361,1),"")</f>
        <v>V</v>
      </c>
      <c r="AE361" s="3">
        <v>378</v>
      </c>
      <c r="AF361" s="3" t="str">
        <f>IFERROR(MID(VLOOKUP($B361,Seqs!$A:$B,2,0),AG361,1),"")</f>
        <v>C</v>
      </c>
      <c r="AG361" s="3">
        <v>390</v>
      </c>
      <c r="AH361" s="3" t="str">
        <f>IFERROR(MID(VLOOKUP($B361,Seqs!$A:$B,2,0),AI361,1),"")</f>
        <v>V</v>
      </c>
      <c r="AI361" s="3">
        <v>392</v>
      </c>
      <c r="AJ361" s="3" t="str">
        <f>IFERROR(MID(VLOOKUP($B361,Seqs!$A:$B,2,0),AK361,1),"")</f>
        <v>N</v>
      </c>
      <c r="AK361" s="105">
        <v>396</v>
      </c>
      <c r="AL361" s="3" t="str">
        <f>IFERROR(MID(VLOOKUP($B361,Seqs!$A:$B,2,0),AM361,1),"")</f>
        <v>H</v>
      </c>
      <c r="AM361" s="3">
        <v>433</v>
      </c>
      <c r="AN361" s="3" t="str">
        <f>IFERROR(MID(VLOOKUP($B361,Seqs!$A:$B,2,0),AO361,1),"")</f>
        <v>E</v>
      </c>
      <c r="AO361" s="3">
        <v>447</v>
      </c>
      <c r="AP361" s="3" t="str">
        <f>IFERROR(MID(VLOOKUP($B361,Seqs!$A:$B,2,0),AQ361,1),"")</f>
        <v>N</v>
      </c>
      <c r="AQ361" s="3">
        <v>493</v>
      </c>
      <c r="AR361" s="3" t="str">
        <f>IFERROR(MID(VLOOKUP($B361,Seqs!$A:$B,2,0),AS361,1),"")</f>
        <v>S</v>
      </c>
      <c r="AS361" s="105">
        <v>514</v>
      </c>
      <c r="AT361" s="3" t="str">
        <f>IFERROR(MID(VLOOKUP($B361,Seqs!$A:$B,2,0),AU361,1),"")</f>
        <v>W</v>
      </c>
      <c r="AU361" s="3">
        <v>537</v>
      </c>
      <c r="AV361" s="3" t="str">
        <f>IFERROR(MID(VLOOKUP($B361,Seqs!$A:$B,2,0),AW361,1),"")</f>
        <v>T</v>
      </c>
      <c r="AW361" s="3">
        <v>538</v>
      </c>
      <c r="AX361" s="3" t="str">
        <f>IFERROR(MID(VLOOKUP($B361,Seqs!$A:$B,2,0),AY361,1),"")</f>
        <v>W</v>
      </c>
      <c r="AY361" s="3">
        <v>549</v>
      </c>
      <c r="AZ361" s="78" t="str">
        <f>VLOOKUP(B361,Classification!A:D,2,0)</f>
        <v>F</v>
      </c>
      <c r="BA361" s="94" t="str">
        <f>VLOOKUP(B361,Classification!A:D,4,0)</f>
        <v>Frizzled</v>
      </c>
      <c r="BB361" s="92" t="b">
        <f t="shared" si="1927"/>
        <v>1</v>
      </c>
      <c r="BC361" s="23">
        <f t="shared" si="1900"/>
        <v>240</v>
      </c>
      <c r="BD361" s="74" t="s">
        <v>23</v>
      </c>
      <c r="BE361" s="3" t="s">
        <v>1375</v>
      </c>
      <c r="BF361" s="119">
        <v>3.2</v>
      </c>
      <c r="BG361" s="49" t="s">
        <v>1378</v>
      </c>
      <c r="BH361" s="49" t="s">
        <v>1378</v>
      </c>
      <c r="BJ361" s="75" t="s">
        <v>1288</v>
      </c>
      <c r="BK361" s="57" t="s">
        <v>1288</v>
      </c>
      <c r="BL361" s="57" t="s">
        <v>1288</v>
      </c>
      <c r="BM361" s="57" t="s">
        <v>1288</v>
      </c>
      <c r="BN361" s="57" t="s">
        <v>1288</v>
      </c>
      <c r="BO361" s="57" t="s">
        <v>1288</v>
      </c>
      <c r="BP361" s="57" t="s">
        <v>1288</v>
      </c>
      <c r="BQ361" s="57" t="s">
        <v>1288</v>
      </c>
      <c r="BR361" s="57" t="s">
        <v>1288</v>
      </c>
      <c r="BS361" s="57" t="s">
        <v>1288</v>
      </c>
      <c r="BT361" s="57" t="s">
        <v>1288</v>
      </c>
      <c r="BU361" s="57" t="s">
        <v>1288</v>
      </c>
      <c r="BV361" s="75">
        <f t="shared" si="1901"/>
        <v>223</v>
      </c>
      <c r="BW361" s="71">
        <f t="shared" si="1902"/>
        <v>256</v>
      </c>
      <c r="BX361" s="72">
        <f t="shared" si="1903"/>
        <v>261</v>
      </c>
      <c r="BY361" s="71" t="str">
        <f t="shared" si="1904"/>
        <v>-</v>
      </c>
      <c r="BZ361" s="72">
        <f t="shared" si="1905"/>
        <v>312</v>
      </c>
      <c r="CA361" s="71" t="str">
        <f t="shared" si="1906"/>
        <v>-</v>
      </c>
      <c r="CB361" s="72">
        <f t="shared" si="1907"/>
        <v>360</v>
      </c>
      <c r="CC361" s="71">
        <f t="shared" si="1908"/>
        <v>390</v>
      </c>
      <c r="CD361" s="72">
        <f t="shared" si="1909"/>
        <v>396</v>
      </c>
      <c r="CE361" s="71">
        <f t="shared" si="1910"/>
        <v>447</v>
      </c>
      <c r="CF361" s="72">
        <f t="shared" si="1911"/>
        <v>514</v>
      </c>
      <c r="CG361" s="71">
        <f t="shared" si="1912"/>
        <v>538</v>
      </c>
      <c r="CH361" s="75">
        <f t="shared" si="1913"/>
        <v>255</v>
      </c>
      <c r="CI361" s="71">
        <f t="shared" si="1914"/>
        <v>260</v>
      </c>
      <c r="CJ361" s="72">
        <f t="shared" si="1915"/>
        <v>285</v>
      </c>
      <c r="CK361" s="72" t="str">
        <f t="shared" si="1916"/>
        <v>-</v>
      </c>
      <c r="CL361" s="72">
        <f t="shared" si="1917"/>
        <v>343</v>
      </c>
      <c r="CM361" s="72" t="str">
        <f t="shared" si="1918"/>
        <v>-</v>
      </c>
      <c r="CN361" s="72">
        <f t="shared" si="1919"/>
        <v>378</v>
      </c>
      <c r="CO361" s="72">
        <f t="shared" si="1920"/>
        <v>392</v>
      </c>
      <c r="CP361" s="72">
        <f t="shared" si="1921"/>
        <v>433</v>
      </c>
      <c r="CQ361" s="72">
        <f t="shared" si="1922"/>
        <v>493</v>
      </c>
      <c r="CR361" s="72">
        <f t="shared" si="1923"/>
        <v>537</v>
      </c>
      <c r="CS361" s="72">
        <f t="shared" si="1924"/>
        <v>549</v>
      </c>
      <c r="CT361" s="23">
        <f t="shared" si="1925"/>
        <v>1</v>
      </c>
    </row>
    <row r="362" spans="1:1030" s="6" customFormat="1" x14ac:dyDescent="0.2">
      <c r="A362" s="3" t="str">
        <f t="shared" si="1926"/>
        <v>smo_human_4QIM</v>
      </c>
      <c r="B362" s="3" t="s">
        <v>33</v>
      </c>
      <c r="C362" s="3" t="s">
        <v>1052</v>
      </c>
      <c r="D362" s="3" t="str">
        <f>IFERROR(MID(VLOOKUP($B362,Seqs!$A:$B,2,0),E362,1),"")</f>
        <v>T</v>
      </c>
      <c r="E362" s="105">
        <v>223</v>
      </c>
      <c r="F362" s="3" t="str">
        <f>IFERROR(MID(VLOOKUP($B362,Seqs!$A:$B,2,0),G362,1),"")</f>
        <v>D</v>
      </c>
      <c r="G362" s="3">
        <v>255</v>
      </c>
      <c r="H362" s="3" t="str">
        <f>IFERROR(MID(VLOOKUP($B362,Seqs!$A:$B,2,0),I362,1),"")</f>
        <v>W</v>
      </c>
      <c r="I362" s="23">
        <v>256</v>
      </c>
      <c r="J362" s="3" t="str">
        <f>IFERROR(MID(VLOOKUP($B362,Seqs!$A:$B,2,0),K362,1),"")</f>
        <v>N</v>
      </c>
      <c r="K362" s="23">
        <v>260</v>
      </c>
      <c r="L362" s="3" t="str">
        <f>IFERROR(MID(VLOOKUP($B362,Seqs!$A:$B,2,0),M362,1),"")</f>
        <v>R</v>
      </c>
      <c r="M362" s="3">
        <v>261</v>
      </c>
      <c r="N362" s="3" t="str">
        <f>IFERROR(MID(VLOOKUP($B362,Seqs!$A:$B,2,0),O362,1),"")</f>
        <v>F</v>
      </c>
      <c r="O362" s="3">
        <v>285</v>
      </c>
      <c r="P362" s="3" t="str">
        <f>IFERROR(MID(VLOOKUP($B362,Seqs!$A:$B,2,0),Q362,1),"")</f>
        <v/>
      </c>
      <c r="Q362" s="3" t="s">
        <v>23</v>
      </c>
      <c r="R362" s="3" t="str">
        <f>IFERROR(MID(VLOOKUP($B362,Seqs!$A:$B,2,0),S362,1),"")</f>
        <v/>
      </c>
      <c r="S362" s="3" t="s">
        <v>23</v>
      </c>
      <c r="T362" s="3" t="str">
        <f>IFERROR(MID(VLOOKUP($B362,Seqs!$A:$B,2,0),U362,1),"")</f>
        <v>L</v>
      </c>
      <c r="U362" s="3">
        <v>312</v>
      </c>
      <c r="V362" s="3" t="str">
        <f>IFERROR(MID(VLOOKUP($B362,Seqs!$A:$B,2,0),W362,1),"")</f>
        <v>A</v>
      </c>
      <c r="W362" s="3">
        <v>345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K</v>
      </c>
      <c r="AC362" s="9">
        <v>356</v>
      </c>
      <c r="AD362" s="3" t="str">
        <f>IFERROR(MID(VLOOKUP($B362,Seqs!$A:$B,2,0),AE362,1),"")</f>
        <v>V</v>
      </c>
      <c r="AE362" s="3">
        <v>378</v>
      </c>
      <c r="AF362" s="3" t="str">
        <f>IFERROR(MID(VLOOKUP($B362,Seqs!$A:$B,2,0),AG362,1),"")</f>
        <v>C</v>
      </c>
      <c r="AG362" s="3">
        <v>390</v>
      </c>
      <c r="AH362" s="3" t="str">
        <f>IFERROR(MID(VLOOKUP($B362,Seqs!$A:$B,2,0),AI362,1),"")</f>
        <v>V</v>
      </c>
      <c r="AI362" s="3">
        <v>392</v>
      </c>
      <c r="AJ362" s="3" t="str">
        <f>IFERROR(MID(VLOOKUP($B362,Seqs!$A:$B,2,0),AK362,1),"")</f>
        <v>N</v>
      </c>
      <c r="AK362" s="105">
        <v>396</v>
      </c>
      <c r="AL362" s="3" t="str">
        <f>IFERROR(MID(VLOOKUP($B362,Seqs!$A:$B,2,0),AM362,1),"")</f>
        <v>H</v>
      </c>
      <c r="AM362" s="3">
        <v>433</v>
      </c>
      <c r="AN362" s="3" t="str">
        <f>IFERROR(MID(VLOOKUP($B362,Seqs!$A:$B,2,0),AO362,1),"")</f>
        <v>E</v>
      </c>
      <c r="AO362" s="3">
        <v>447</v>
      </c>
      <c r="AP362" s="3" t="str">
        <f>IFERROR(MID(VLOOKUP($B362,Seqs!$A:$B,2,0),AQ362,1),"")</f>
        <v>N</v>
      </c>
      <c r="AQ362" s="3">
        <v>493</v>
      </c>
      <c r="AR362" s="3" t="str">
        <f>IFERROR(MID(VLOOKUP($B362,Seqs!$A:$B,2,0),AS362,1),"")</f>
        <v>S</v>
      </c>
      <c r="AS362" s="105">
        <v>514</v>
      </c>
      <c r="AT362" s="3" t="str">
        <f>IFERROR(MID(VLOOKUP($B362,Seqs!$A:$B,2,0),AU362,1),"")</f>
        <v>W</v>
      </c>
      <c r="AU362" s="3">
        <v>537</v>
      </c>
      <c r="AV362" s="3" t="str">
        <f>IFERROR(MID(VLOOKUP($B362,Seqs!$A:$B,2,0),AW362,1),"")</f>
        <v>T</v>
      </c>
      <c r="AW362" s="3">
        <v>538</v>
      </c>
      <c r="AX362" s="3" t="str">
        <f>IFERROR(MID(VLOOKUP($B362,Seqs!$A:$B,2,0),AY362,1),"")</f>
        <v>T</v>
      </c>
      <c r="AY362" s="3">
        <v>553</v>
      </c>
      <c r="AZ362" s="78" t="str">
        <f>VLOOKUP(B362,Classification!A:D,2,0)</f>
        <v>F</v>
      </c>
      <c r="BA362" s="94" t="str">
        <f>VLOOKUP(B362,Classification!A:D,4,0)</f>
        <v>Frizzled</v>
      </c>
      <c r="BB362" s="92" t="b">
        <f t="shared" si="1927"/>
        <v>1</v>
      </c>
      <c r="BC362" s="23">
        <f t="shared" si="1900"/>
        <v>250</v>
      </c>
      <c r="BD362" s="74" t="s">
        <v>23</v>
      </c>
      <c r="BE362" s="3" t="s">
        <v>1375</v>
      </c>
      <c r="BF362" s="119">
        <v>2.61</v>
      </c>
      <c r="BG362" s="49" t="s">
        <v>1378</v>
      </c>
      <c r="BH362" s="49" t="s">
        <v>1378</v>
      </c>
      <c r="BI362" s="3"/>
      <c r="BJ362" s="75" t="s">
        <v>1288</v>
      </c>
      <c r="BK362" s="57" t="s">
        <v>1288</v>
      </c>
      <c r="BL362" s="57" t="s">
        <v>1288</v>
      </c>
      <c r="BM362" s="57" t="s">
        <v>1288</v>
      </c>
      <c r="BN362" s="57" t="s">
        <v>1288</v>
      </c>
      <c r="BO362" s="57" t="s">
        <v>1288</v>
      </c>
      <c r="BP362" s="57" t="s">
        <v>1288</v>
      </c>
      <c r="BQ362" s="57" t="s">
        <v>1288</v>
      </c>
      <c r="BR362" s="57" t="s">
        <v>1288</v>
      </c>
      <c r="BS362" s="57" t="s">
        <v>1288</v>
      </c>
      <c r="BT362" s="57" t="s">
        <v>1288</v>
      </c>
      <c r="BU362" s="57" t="s">
        <v>1288</v>
      </c>
      <c r="BV362" s="75">
        <f t="shared" si="1901"/>
        <v>223</v>
      </c>
      <c r="BW362" s="71">
        <f t="shared" si="1902"/>
        <v>256</v>
      </c>
      <c r="BX362" s="72">
        <f t="shared" si="1903"/>
        <v>261</v>
      </c>
      <c r="BY362" s="71" t="str">
        <f t="shared" si="1904"/>
        <v>-</v>
      </c>
      <c r="BZ362" s="72">
        <f t="shared" si="1905"/>
        <v>312</v>
      </c>
      <c r="CA362" s="71" t="str">
        <f t="shared" si="1906"/>
        <v>-</v>
      </c>
      <c r="CB362" s="72">
        <f t="shared" si="1907"/>
        <v>356</v>
      </c>
      <c r="CC362" s="71">
        <f t="shared" si="1908"/>
        <v>390</v>
      </c>
      <c r="CD362" s="72">
        <f t="shared" si="1909"/>
        <v>396</v>
      </c>
      <c r="CE362" s="71">
        <f t="shared" si="1910"/>
        <v>447</v>
      </c>
      <c r="CF362" s="72">
        <f t="shared" si="1911"/>
        <v>514</v>
      </c>
      <c r="CG362" s="71">
        <f t="shared" si="1912"/>
        <v>538</v>
      </c>
      <c r="CH362" s="75">
        <f t="shared" si="1913"/>
        <v>255</v>
      </c>
      <c r="CI362" s="71">
        <f t="shared" si="1914"/>
        <v>260</v>
      </c>
      <c r="CJ362" s="72">
        <f t="shared" si="1915"/>
        <v>285</v>
      </c>
      <c r="CK362" s="72" t="str">
        <f t="shared" si="1916"/>
        <v>-</v>
      </c>
      <c r="CL362" s="72">
        <f t="shared" si="1917"/>
        <v>345</v>
      </c>
      <c r="CM362" s="72" t="str">
        <f t="shared" si="1918"/>
        <v>-</v>
      </c>
      <c r="CN362" s="72">
        <f t="shared" si="1919"/>
        <v>378</v>
      </c>
      <c r="CO362" s="72">
        <f t="shared" si="1920"/>
        <v>392</v>
      </c>
      <c r="CP362" s="72">
        <f t="shared" si="1921"/>
        <v>433</v>
      </c>
      <c r="CQ362" s="72">
        <f t="shared" si="1922"/>
        <v>493</v>
      </c>
      <c r="CR362" s="72">
        <f t="shared" si="1923"/>
        <v>537</v>
      </c>
      <c r="CS362" s="72">
        <f t="shared" si="1924"/>
        <v>553</v>
      </c>
      <c r="CT362" s="23">
        <f t="shared" si="1925"/>
        <v>1</v>
      </c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/>
      <c r="XJ362" s="3"/>
      <c r="XK362" s="3"/>
      <c r="XL362" s="3"/>
      <c r="XM362" s="3"/>
      <c r="XN362" s="3"/>
      <c r="XO362" s="3"/>
      <c r="XP362" s="3"/>
      <c r="XQ362" s="3"/>
      <c r="XR362" s="3"/>
      <c r="XS362" s="3"/>
      <c r="XT362" s="3"/>
      <c r="XU362" s="3"/>
      <c r="XV362" s="3"/>
      <c r="XW362" s="3"/>
      <c r="XX362" s="3"/>
      <c r="XY362" s="3"/>
      <c r="XZ362" s="3"/>
      <c r="YA362" s="3"/>
      <c r="YB362" s="3"/>
      <c r="YC362" s="3"/>
      <c r="YD362" s="3"/>
      <c r="YE362" s="3"/>
      <c r="YF362" s="3"/>
      <c r="YG362" s="3"/>
      <c r="YH362" s="3"/>
      <c r="YI362" s="3"/>
      <c r="YJ362" s="3"/>
      <c r="YK362" s="3"/>
      <c r="YL362" s="3"/>
      <c r="YM362" s="3"/>
      <c r="YN362" s="3"/>
      <c r="YO362" s="3"/>
      <c r="YP362" s="3"/>
      <c r="YQ362" s="3"/>
      <c r="YR362" s="3"/>
      <c r="YS362" s="3"/>
      <c r="YT362" s="3"/>
      <c r="YU362" s="3"/>
      <c r="YV362" s="3"/>
      <c r="YW362" s="3"/>
      <c r="YX362" s="3"/>
      <c r="YY362" s="3"/>
      <c r="YZ362" s="3"/>
      <c r="ZA362" s="3"/>
      <c r="ZB362" s="3"/>
      <c r="ZC362" s="3"/>
      <c r="ZD362" s="3"/>
      <c r="ZE362" s="3"/>
      <c r="ZF362" s="3"/>
      <c r="ZG362" s="3"/>
      <c r="ZH362" s="3"/>
      <c r="ZI362" s="3"/>
      <c r="ZJ362" s="3"/>
      <c r="ZK362" s="3"/>
      <c r="ZL362" s="3"/>
      <c r="ZM362" s="3"/>
      <c r="ZN362" s="3"/>
      <c r="ZO362" s="3"/>
      <c r="ZP362" s="3"/>
      <c r="ZQ362" s="3"/>
      <c r="ZR362" s="3"/>
      <c r="ZS362" s="3"/>
      <c r="ZT362" s="3"/>
      <c r="ZU362" s="3"/>
      <c r="ZV362" s="3"/>
      <c r="ZW362" s="3"/>
      <c r="ZX362" s="3"/>
      <c r="ZY362" s="3"/>
      <c r="ZZ362" s="3"/>
      <c r="AAA362" s="3"/>
      <c r="AAB362" s="3"/>
      <c r="AAC362" s="3"/>
      <c r="AAD362" s="3"/>
      <c r="AAE362" s="3"/>
      <c r="AAF362" s="3"/>
      <c r="AAG362" s="3"/>
      <c r="AAH362" s="3"/>
      <c r="AAI362" s="3"/>
      <c r="AAJ362" s="3"/>
      <c r="AAK362" s="3"/>
      <c r="AAL362" s="3"/>
      <c r="AAM362" s="3"/>
      <c r="AAN362" s="3"/>
      <c r="AAO362" s="3"/>
      <c r="AAP362" s="3"/>
      <c r="AAQ362" s="3"/>
      <c r="AAR362" s="3"/>
      <c r="AAS362" s="3"/>
      <c r="AAT362" s="3"/>
      <c r="AAU362" s="3"/>
      <c r="AAV362" s="3"/>
      <c r="AAW362" s="3"/>
      <c r="AAX362" s="3"/>
      <c r="AAY362" s="3"/>
      <c r="AAZ362" s="3"/>
      <c r="ABA362" s="3"/>
      <c r="ABB362" s="3"/>
      <c r="ABC362" s="3"/>
      <c r="ABD362" s="3"/>
      <c r="ABE362" s="3"/>
      <c r="ABF362" s="3"/>
      <c r="ABG362" s="3"/>
      <c r="ABH362" s="3"/>
      <c r="ABI362" s="3"/>
      <c r="ABJ362" s="3"/>
      <c r="ABK362" s="3"/>
      <c r="ABL362" s="3"/>
      <c r="ABM362" s="3"/>
      <c r="ABN362" s="3"/>
      <c r="ABO362" s="3"/>
      <c r="ABP362" s="3"/>
      <c r="ABQ362" s="3"/>
      <c r="ABR362" s="3"/>
      <c r="ABS362" s="3"/>
      <c r="ABT362" s="3"/>
      <c r="ABU362" s="3"/>
      <c r="ABV362" s="3"/>
      <c r="ABW362" s="3"/>
      <c r="ABX362" s="3"/>
      <c r="ABY362" s="3"/>
      <c r="ABZ362" s="3"/>
      <c r="ACA362" s="3"/>
      <c r="ACB362" s="3"/>
      <c r="ACC362" s="3"/>
      <c r="ACD362" s="3"/>
      <c r="ACE362" s="3"/>
      <c r="ACF362" s="3"/>
      <c r="ACG362" s="3"/>
      <c r="ACH362" s="3"/>
      <c r="ACI362" s="3"/>
      <c r="ACJ362" s="3"/>
      <c r="ACK362" s="3"/>
      <c r="ACL362" s="3"/>
      <c r="ACM362" s="3"/>
      <c r="ACN362" s="3"/>
      <c r="ACO362" s="3"/>
      <c r="ACP362" s="3"/>
      <c r="ACQ362" s="3"/>
      <c r="ACR362" s="3"/>
      <c r="ACS362" s="3"/>
      <c r="ACT362" s="3"/>
      <c r="ACU362" s="3"/>
      <c r="ACV362" s="3"/>
      <c r="ACW362" s="3"/>
      <c r="ACX362" s="3"/>
      <c r="ACY362" s="3"/>
      <c r="ACZ362" s="3"/>
      <c r="ADA362" s="3"/>
      <c r="ADB362" s="3"/>
      <c r="ADC362" s="3"/>
      <c r="ADD362" s="3"/>
      <c r="ADE362" s="3"/>
      <c r="ADF362" s="3"/>
      <c r="ADG362" s="3"/>
      <c r="ADH362" s="3"/>
      <c r="ADI362" s="3"/>
      <c r="ADJ362" s="3"/>
      <c r="ADK362" s="3"/>
      <c r="ADL362" s="3"/>
      <c r="ADM362" s="3"/>
      <c r="ADN362" s="3"/>
      <c r="ADO362" s="3"/>
      <c r="ADP362" s="3"/>
      <c r="ADQ362" s="3"/>
      <c r="ADR362" s="3"/>
      <c r="ADS362" s="3"/>
      <c r="ADT362" s="3"/>
      <c r="ADU362" s="3"/>
      <c r="ADV362" s="3"/>
      <c r="ADW362" s="3"/>
      <c r="ADX362" s="3"/>
      <c r="ADY362" s="3"/>
      <c r="ADZ362" s="3"/>
      <c r="AEA362" s="3"/>
      <c r="AEB362" s="3"/>
      <c r="AEC362" s="3"/>
      <c r="AED362" s="3"/>
      <c r="AEE362" s="3"/>
      <c r="AEF362" s="3"/>
      <c r="AEG362" s="3"/>
      <c r="AEH362" s="3"/>
      <c r="AEI362" s="3"/>
      <c r="AEJ362" s="3"/>
      <c r="AEK362" s="3"/>
      <c r="AEL362" s="3"/>
      <c r="AEM362" s="3"/>
      <c r="AEN362" s="3"/>
      <c r="AEO362" s="3"/>
      <c r="AEP362" s="3"/>
      <c r="AEQ362" s="3"/>
      <c r="AER362" s="3"/>
      <c r="AES362" s="3"/>
      <c r="AET362" s="3"/>
      <c r="AEU362" s="3"/>
      <c r="AEV362" s="3"/>
      <c r="AEW362" s="3"/>
      <c r="AEX362" s="3"/>
      <c r="AEY362" s="3"/>
      <c r="AEZ362" s="3"/>
      <c r="AFA362" s="3"/>
      <c r="AFB362" s="3"/>
      <c r="AFC362" s="3"/>
      <c r="AFD362" s="3"/>
      <c r="AFE362" s="3"/>
      <c r="AFF362" s="3"/>
      <c r="AFG362" s="3"/>
      <c r="AFH362" s="3"/>
      <c r="AFI362" s="3"/>
      <c r="AFJ362" s="3"/>
      <c r="AFK362" s="3"/>
      <c r="AFL362" s="3"/>
      <c r="AFM362" s="3"/>
      <c r="AFN362" s="3"/>
      <c r="AFO362" s="3"/>
      <c r="AFP362" s="3"/>
      <c r="AFQ362" s="3"/>
      <c r="AFR362" s="3"/>
      <c r="AFS362" s="3"/>
      <c r="AFT362" s="3"/>
      <c r="AFU362" s="3"/>
      <c r="AFV362" s="3"/>
      <c r="AFW362" s="3"/>
      <c r="AFX362" s="3"/>
      <c r="AFY362" s="3"/>
      <c r="AFZ362" s="3"/>
      <c r="AGA362" s="3"/>
      <c r="AGB362" s="3"/>
      <c r="AGC362" s="3"/>
      <c r="AGD362" s="3"/>
      <c r="AGE362" s="3"/>
      <c r="AGF362" s="3"/>
      <c r="AGG362" s="3"/>
      <c r="AGH362" s="3"/>
      <c r="AGI362" s="3"/>
      <c r="AGJ362" s="3"/>
      <c r="AGK362" s="3"/>
      <c r="AGL362" s="3"/>
      <c r="AGM362" s="3"/>
      <c r="AGN362" s="3"/>
      <c r="AGO362" s="3"/>
      <c r="AGP362" s="3"/>
      <c r="AGQ362" s="3"/>
      <c r="AGR362" s="3"/>
      <c r="AGS362" s="3"/>
      <c r="AGT362" s="3"/>
      <c r="AGU362" s="3"/>
      <c r="AGV362" s="3"/>
      <c r="AGW362" s="3"/>
      <c r="AGX362" s="3"/>
      <c r="AGY362" s="3"/>
      <c r="AGZ362" s="3"/>
      <c r="AHA362" s="3"/>
      <c r="AHB362" s="3"/>
      <c r="AHC362" s="3"/>
      <c r="AHD362" s="3"/>
      <c r="AHE362" s="3"/>
      <c r="AHF362" s="3"/>
      <c r="AHG362" s="3"/>
      <c r="AHH362" s="3"/>
      <c r="AHI362" s="3"/>
      <c r="AHJ362" s="3"/>
      <c r="AHK362" s="3"/>
      <c r="AHL362" s="3"/>
      <c r="AHM362" s="3"/>
      <c r="AHN362" s="3"/>
      <c r="AHO362" s="3"/>
      <c r="AHP362" s="3"/>
      <c r="AHQ362" s="3"/>
      <c r="AHR362" s="3"/>
      <c r="AHS362" s="3"/>
      <c r="AHT362" s="3"/>
      <c r="AHU362" s="3"/>
      <c r="AHV362" s="3"/>
      <c r="AHW362" s="3"/>
      <c r="AHX362" s="3"/>
      <c r="AHY362" s="3"/>
      <c r="AHZ362" s="3"/>
      <c r="AIA362" s="3"/>
      <c r="AIB362" s="3"/>
      <c r="AIC362" s="3"/>
      <c r="AID362" s="3"/>
      <c r="AIE362" s="3"/>
      <c r="AIF362" s="3"/>
      <c r="AIG362" s="3"/>
      <c r="AIH362" s="3"/>
      <c r="AII362" s="3"/>
      <c r="AIJ362" s="3"/>
      <c r="AIK362" s="3"/>
      <c r="AIL362" s="3"/>
      <c r="AIM362" s="3"/>
      <c r="AIN362" s="3"/>
      <c r="AIO362" s="3"/>
      <c r="AIP362" s="3"/>
      <c r="AIQ362" s="3"/>
      <c r="AIR362" s="3"/>
      <c r="AIS362" s="3"/>
      <c r="AIT362" s="3"/>
      <c r="AIU362" s="3"/>
      <c r="AIV362" s="3"/>
      <c r="AIW362" s="3"/>
      <c r="AIX362" s="3"/>
      <c r="AIY362" s="3"/>
      <c r="AIZ362" s="3"/>
      <c r="AJA362" s="3"/>
      <c r="AJB362" s="3"/>
      <c r="AJC362" s="3"/>
      <c r="AJD362" s="3"/>
      <c r="AJE362" s="3"/>
      <c r="AJF362" s="3"/>
      <c r="AJG362" s="3"/>
      <c r="AJH362" s="3"/>
      <c r="AJI362" s="3"/>
      <c r="AJJ362" s="3"/>
      <c r="AJK362" s="3"/>
      <c r="AJL362" s="3"/>
      <c r="AJM362" s="3"/>
      <c r="AJN362" s="3"/>
      <c r="AJO362" s="3"/>
      <c r="AJP362" s="3"/>
      <c r="AJQ362" s="3"/>
      <c r="AJR362" s="3"/>
      <c r="AJS362" s="3"/>
      <c r="AJT362" s="3"/>
      <c r="AJU362" s="3"/>
      <c r="AJV362" s="3"/>
      <c r="AJW362" s="3"/>
      <c r="AJX362" s="3"/>
      <c r="AJY362" s="3"/>
      <c r="AJZ362" s="3"/>
      <c r="AKA362" s="3"/>
      <c r="AKB362" s="3"/>
      <c r="AKC362" s="3"/>
      <c r="AKD362" s="3"/>
      <c r="AKE362" s="3"/>
      <c r="AKF362" s="3"/>
      <c r="AKG362" s="3"/>
      <c r="AKH362" s="3"/>
      <c r="AKI362" s="3"/>
      <c r="AKJ362" s="3"/>
      <c r="AKK362" s="3"/>
      <c r="AKL362" s="3"/>
      <c r="AKM362" s="3"/>
      <c r="AKN362" s="3"/>
      <c r="AKO362" s="3"/>
      <c r="AKP362" s="3"/>
      <c r="AKQ362" s="3"/>
      <c r="AKR362" s="3"/>
      <c r="AKS362" s="3"/>
      <c r="AKT362" s="3"/>
      <c r="AKU362" s="3"/>
      <c r="AKV362" s="3"/>
      <c r="AKW362" s="3"/>
      <c r="AKX362" s="3"/>
      <c r="AKY362" s="3"/>
      <c r="AKZ362" s="3"/>
      <c r="ALA362" s="3"/>
      <c r="ALB362" s="3"/>
      <c r="ALC362" s="3"/>
      <c r="ALD362" s="3"/>
      <c r="ALE362" s="3"/>
      <c r="ALF362" s="3"/>
      <c r="ALG362" s="3"/>
      <c r="ALH362" s="3"/>
      <c r="ALI362" s="3"/>
      <c r="ALJ362" s="3"/>
      <c r="ALK362" s="3"/>
      <c r="ALL362" s="3"/>
      <c r="ALM362" s="3"/>
      <c r="ALN362" s="3"/>
      <c r="ALO362" s="3"/>
      <c r="ALP362" s="3"/>
      <c r="ALQ362" s="3"/>
      <c r="ALR362" s="3"/>
      <c r="ALS362" s="3"/>
      <c r="ALT362" s="3"/>
      <c r="ALU362" s="3"/>
      <c r="ALV362" s="3"/>
      <c r="ALW362" s="3"/>
      <c r="ALX362" s="3"/>
      <c r="ALY362" s="3"/>
      <c r="ALZ362" s="3"/>
      <c r="AMA362" s="3"/>
      <c r="AMB362" s="3"/>
      <c r="AMC362" s="3"/>
      <c r="AMD362" s="3"/>
      <c r="AME362" s="3"/>
      <c r="AMF362" s="3"/>
      <c r="AMG362" s="3"/>
      <c r="AMH362" s="3"/>
      <c r="AMI362" s="3"/>
      <c r="AMJ362" s="3"/>
      <c r="AMK362" s="3"/>
      <c r="AML362" s="3"/>
      <c r="AMM362" s="3"/>
      <c r="AMN362" s="3"/>
      <c r="AMO362" s="3"/>
      <c r="AMP362" s="1"/>
    </row>
    <row r="363" spans="1:1030" s="6" customFormat="1" x14ac:dyDescent="0.2">
      <c r="A363" s="3" t="str">
        <f t="shared" si="1926"/>
        <v>smo_human_4QIN</v>
      </c>
      <c r="B363" s="3" t="s">
        <v>33</v>
      </c>
      <c r="C363" s="3" t="s">
        <v>56</v>
      </c>
      <c r="D363" s="3" t="str">
        <f>IFERROR(MID(VLOOKUP($B363,Seqs!$A:$B,2,0),E363,1),"")</f>
        <v>T</v>
      </c>
      <c r="E363" s="105">
        <v>223</v>
      </c>
      <c r="F363" s="3" t="str">
        <f>IFERROR(MID(VLOOKUP($B363,Seqs!$A:$B,2,0),G363,1),"")</f>
        <v>D</v>
      </c>
      <c r="G363" s="3">
        <v>255</v>
      </c>
      <c r="H363" s="3" t="str">
        <f>IFERROR(MID(VLOOKUP($B363,Seqs!$A:$B,2,0),I363,1),"")</f>
        <v>W</v>
      </c>
      <c r="I363" s="23">
        <v>256</v>
      </c>
      <c r="J363" s="3" t="str">
        <f>IFERROR(MID(VLOOKUP($B363,Seqs!$A:$B,2,0),K363,1),"")</f>
        <v>N</v>
      </c>
      <c r="K363" s="23">
        <v>260</v>
      </c>
      <c r="L363" s="3" t="str">
        <f>IFERROR(MID(VLOOKUP($B363,Seqs!$A:$B,2,0),M363,1),"")</f>
        <v>R</v>
      </c>
      <c r="M363" s="3">
        <v>261</v>
      </c>
      <c r="N363" s="3" t="str">
        <f>IFERROR(MID(VLOOKUP($B363,Seqs!$A:$B,2,0),O363,1),"")</f>
        <v>F</v>
      </c>
      <c r="O363" s="3">
        <v>285</v>
      </c>
      <c r="P363" s="3" t="str">
        <f>IFERROR(MID(VLOOKUP($B363,Seqs!$A:$B,2,0),Q363,1),"")</f>
        <v/>
      </c>
      <c r="Q363" s="3" t="s">
        <v>23</v>
      </c>
      <c r="R363" s="3" t="str">
        <f>IFERROR(MID(VLOOKUP($B363,Seqs!$A:$B,2,0),S363,1),"")</f>
        <v/>
      </c>
      <c r="S363" s="3" t="s">
        <v>23</v>
      </c>
      <c r="T363" s="3" t="str">
        <f>IFERROR(MID(VLOOKUP($B363,Seqs!$A:$B,2,0),U363,1),"")</f>
        <v>L</v>
      </c>
      <c r="U363" s="3">
        <v>312</v>
      </c>
      <c r="V363" s="3" t="str">
        <f>IFERROR(MID(VLOOKUP($B363,Seqs!$A:$B,2,0),W363,1),"")</f>
        <v>A</v>
      </c>
      <c r="W363" s="3">
        <v>345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K</v>
      </c>
      <c r="AC363" s="9">
        <v>356</v>
      </c>
      <c r="AD363" s="3" t="str">
        <f>IFERROR(MID(VLOOKUP($B363,Seqs!$A:$B,2,0),AE363,1),"")</f>
        <v>V</v>
      </c>
      <c r="AE363" s="3">
        <v>378</v>
      </c>
      <c r="AF363" s="3" t="str">
        <f>IFERROR(MID(VLOOKUP($B363,Seqs!$A:$B,2,0),AG363,1),"")</f>
        <v>C</v>
      </c>
      <c r="AG363" s="3">
        <v>390</v>
      </c>
      <c r="AH363" s="3" t="str">
        <f>IFERROR(MID(VLOOKUP($B363,Seqs!$A:$B,2,0),AI363,1),"")</f>
        <v>V</v>
      </c>
      <c r="AI363" s="3">
        <v>392</v>
      </c>
      <c r="AJ363" s="3" t="str">
        <f>IFERROR(MID(VLOOKUP($B363,Seqs!$A:$B,2,0),AK363,1),"")</f>
        <v>N</v>
      </c>
      <c r="AK363" s="105">
        <v>396</v>
      </c>
      <c r="AL363" s="3" t="str">
        <f>IFERROR(MID(VLOOKUP($B363,Seqs!$A:$B,2,0),AM363,1),"")</f>
        <v>H</v>
      </c>
      <c r="AM363" s="3">
        <v>433</v>
      </c>
      <c r="AN363" s="3" t="str">
        <f>IFERROR(MID(VLOOKUP($B363,Seqs!$A:$B,2,0),AO363,1),"")</f>
        <v>E</v>
      </c>
      <c r="AO363" s="3">
        <v>447</v>
      </c>
      <c r="AP363" s="3" t="str">
        <f>IFERROR(MID(VLOOKUP($B363,Seqs!$A:$B,2,0),AQ363,1),"")</f>
        <v>A</v>
      </c>
      <c r="AQ363" s="3">
        <v>492</v>
      </c>
      <c r="AR363" s="3" t="str">
        <f>IFERROR(MID(VLOOKUP($B363,Seqs!$A:$B,2,0),AS363,1),"")</f>
        <v>S</v>
      </c>
      <c r="AS363" s="105">
        <v>514</v>
      </c>
      <c r="AT363" s="3" t="str">
        <f>IFERROR(MID(VLOOKUP($B363,Seqs!$A:$B,2,0),AU363,1),"")</f>
        <v>W</v>
      </c>
      <c r="AU363" s="3">
        <v>537</v>
      </c>
      <c r="AV363" s="3" t="str">
        <f>IFERROR(MID(VLOOKUP($B363,Seqs!$A:$B,2,0),AW363,1),"")</f>
        <v>T</v>
      </c>
      <c r="AW363" s="3">
        <v>538</v>
      </c>
      <c r="AX363" s="3" t="str">
        <f>IFERROR(MID(VLOOKUP($B363,Seqs!$A:$B,2,0),AY363,1),"")</f>
        <v>R</v>
      </c>
      <c r="AY363" s="3">
        <v>551</v>
      </c>
      <c r="AZ363" s="78" t="str">
        <f>VLOOKUP(B363,Classification!A:D,2,0)</f>
        <v>F</v>
      </c>
      <c r="BA363" s="94" t="str">
        <f>VLOOKUP(B363,Classification!A:D,4,0)</f>
        <v>Frizzled</v>
      </c>
      <c r="BB363" s="92" t="b">
        <f t="shared" si="1927"/>
        <v>1</v>
      </c>
      <c r="BC363" s="23">
        <f t="shared" si="1900"/>
        <v>247</v>
      </c>
      <c r="BD363" s="74" t="s">
        <v>23</v>
      </c>
      <c r="BE363" s="3" t="s">
        <v>1375</v>
      </c>
      <c r="BF363" s="119">
        <v>2.6</v>
      </c>
      <c r="BG363" s="49" t="s">
        <v>1378</v>
      </c>
      <c r="BH363" s="49" t="s">
        <v>1378</v>
      </c>
      <c r="BI363" s="3"/>
      <c r="BJ363" s="75" t="s">
        <v>1288</v>
      </c>
      <c r="BK363" s="57" t="s">
        <v>1288</v>
      </c>
      <c r="BL363" s="57" t="s">
        <v>1288</v>
      </c>
      <c r="BM363" s="57" t="s">
        <v>1288</v>
      </c>
      <c r="BN363" s="57" t="s">
        <v>1288</v>
      </c>
      <c r="BO363" s="57" t="s">
        <v>1288</v>
      </c>
      <c r="BP363" s="57" t="s">
        <v>1288</v>
      </c>
      <c r="BQ363" s="57" t="s">
        <v>1288</v>
      </c>
      <c r="BR363" s="57" t="s">
        <v>1288</v>
      </c>
      <c r="BS363" s="57" t="s">
        <v>1288</v>
      </c>
      <c r="BT363" s="57" t="s">
        <v>1288</v>
      </c>
      <c r="BU363" s="57" t="s">
        <v>1288</v>
      </c>
      <c r="BV363" s="75">
        <f t="shared" si="1901"/>
        <v>223</v>
      </c>
      <c r="BW363" s="71">
        <f t="shared" si="1902"/>
        <v>256</v>
      </c>
      <c r="BX363" s="72">
        <f t="shared" si="1903"/>
        <v>261</v>
      </c>
      <c r="BY363" s="71" t="str">
        <f t="shared" si="1904"/>
        <v>-</v>
      </c>
      <c r="BZ363" s="72">
        <f t="shared" si="1905"/>
        <v>312</v>
      </c>
      <c r="CA363" s="71" t="str">
        <f t="shared" si="1906"/>
        <v>-</v>
      </c>
      <c r="CB363" s="72">
        <f t="shared" si="1907"/>
        <v>356</v>
      </c>
      <c r="CC363" s="71">
        <f t="shared" si="1908"/>
        <v>390</v>
      </c>
      <c r="CD363" s="72">
        <f t="shared" si="1909"/>
        <v>396</v>
      </c>
      <c r="CE363" s="71">
        <f t="shared" si="1910"/>
        <v>447</v>
      </c>
      <c r="CF363" s="72">
        <f t="shared" si="1911"/>
        <v>514</v>
      </c>
      <c r="CG363" s="71">
        <f t="shared" si="1912"/>
        <v>538</v>
      </c>
      <c r="CH363" s="75">
        <f t="shared" si="1913"/>
        <v>255</v>
      </c>
      <c r="CI363" s="71">
        <f t="shared" si="1914"/>
        <v>260</v>
      </c>
      <c r="CJ363" s="72">
        <f t="shared" si="1915"/>
        <v>285</v>
      </c>
      <c r="CK363" s="72" t="str">
        <f t="shared" si="1916"/>
        <v>-</v>
      </c>
      <c r="CL363" s="72">
        <f t="shared" si="1917"/>
        <v>345</v>
      </c>
      <c r="CM363" s="72" t="str">
        <f t="shared" si="1918"/>
        <v>-</v>
      </c>
      <c r="CN363" s="72">
        <f t="shared" si="1919"/>
        <v>378</v>
      </c>
      <c r="CO363" s="72">
        <f t="shared" si="1920"/>
        <v>392</v>
      </c>
      <c r="CP363" s="72">
        <f t="shared" si="1921"/>
        <v>433</v>
      </c>
      <c r="CQ363" s="72">
        <f t="shared" si="1922"/>
        <v>492</v>
      </c>
      <c r="CR363" s="72">
        <f t="shared" si="1923"/>
        <v>537</v>
      </c>
      <c r="CS363" s="72">
        <f t="shared" si="1924"/>
        <v>551</v>
      </c>
      <c r="CT363" s="23">
        <f t="shared" si="1925"/>
        <v>1</v>
      </c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/>
      <c r="RV363" s="3"/>
      <c r="RW363" s="3"/>
      <c r="RX363" s="3"/>
      <c r="RY363" s="3"/>
      <c r="RZ363" s="3"/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  <c r="TK363" s="3"/>
      <c r="TL363" s="3"/>
      <c r="TM363" s="3"/>
      <c r="TN363" s="3"/>
      <c r="TO363" s="3"/>
      <c r="TP363" s="3"/>
      <c r="TQ363" s="3"/>
      <c r="TR363" s="3"/>
      <c r="TS363" s="3"/>
      <c r="TT363" s="3"/>
      <c r="TU363" s="3"/>
      <c r="TV363" s="3"/>
      <c r="TW363" s="3"/>
      <c r="TX363" s="3"/>
      <c r="TY363" s="3"/>
      <c r="TZ363" s="3"/>
      <c r="UA363" s="3"/>
      <c r="UB363" s="3"/>
      <c r="UC363" s="3"/>
      <c r="UD363" s="3"/>
      <c r="UE363" s="3"/>
      <c r="UF363" s="3"/>
      <c r="UG363" s="3"/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/>
      <c r="UZ363" s="3"/>
      <c r="VA363" s="3"/>
      <c r="VB363" s="3"/>
      <c r="VC363" s="3"/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/>
      <c r="VV363" s="3"/>
      <c r="VW363" s="3"/>
      <c r="VX363" s="3"/>
      <c r="VY363" s="3"/>
      <c r="VZ363" s="3"/>
      <c r="WA363" s="3"/>
      <c r="WB363" s="3"/>
      <c r="WC363" s="3"/>
      <c r="WD363" s="3"/>
      <c r="WE363" s="3"/>
      <c r="WF363" s="3"/>
      <c r="WG363" s="3"/>
      <c r="WH363" s="3"/>
      <c r="WI363" s="3"/>
      <c r="WJ363" s="3"/>
      <c r="WK363" s="3"/>
      <c r="WL363" s="3"/>
      <c r="WM363" s="3"/>
      <c r="WN363" s="3"/>
      <c r="WO363" s="3"/>
      <c r="WP363" s="3"/>
      <c r="WQ363" s="3"/>
      <c r="WR363" s="3"/>
      <c r="WS363" s="3"/>
      <c r="WT363" s="3"/>
      <c r="WU363" s="3"/>
      <c r="WV363" s="3"/>
      <c r="WW363" s="3"/>
      <c r="WX363" s="3"/>
      <c r="WY363" s="3"/>
      <c r="WZ363" s="3"/>
      <c r="XA363" s="3"/>
      <c r="XB363" s="3"/>
      <c r="XC363" s="3"/>
      <c r="XD363" s="3"/>
      <c r="XE363" s="3"/>
      <c r="XF363" s="3"/>
      <c r="XG363" s="3"/>
      <c r="XH363" s="3"/>
      <c r="XI363" s="3"/>
      <c r="XJ363" s="3"/>
      <c r="XK363" s="3"/>
      <c r="XL363" s="3"/>
      <c r="XM363" s="3"/>
      <c r="XN363" s="3"/>
      <c r="XO363" s="3"/>
      <c r="XP363" s="3"/>
      <c r="XQ363" s="3"/>
      <c r="XR363" s="3"/>
      <c r="XS363" s="3"/>
      <c r="XT363" s="3"/>
      <c r="XU363" s="3"/>
      <c r="XV363" s="3"/>
      <c r="XW363" s="3"/>
      <c r="XX363" s="3"/>
      <c r="XY363" s="3"/>
      <c r="XZ363" s="3"/>
      <c r="YA363" s="3"/>
      <c r="YB363" s="3"/>
      <c r="YC363" s="3"/>
      <c r="YD363" s="3"/>
      <c r="YE363" s="3"/>
      <c r="YF363" s="3"/>
      <c r="YG363" s="3"/>
      <c r="YH363" s="3"/>
      <c r="YI363" s="3"/>
      <c r="YJ363" s="3"/>
      <c r="YK363" s="3"/>
      <c r="YL363" s="3"/>
      <c r="YM363" s="3"/>
      <c r="YN363" s="3"/>
      <c r="YO363" s="3"/>
      <c r="YP363" s="3"/>
      <c r="YQ363" s="3"/>
      <c r="YR363" s="3"/>
      <c r="YS363" s="3"/>
      <c r="YT363" s="3"/>
      <c r="YU363" s="3"/>
      <c r="YV363" s="3"/>
      <c r="YW363" s="3"/>
      <c r="YX363" s="3"/>
      <c r="YY363" s="3"/>
      <c r="YZ363" s="3"/>
      <c r="ZA363" s="3"/>
      <c r="ZB363" s="3"/>
      <c r="ZC363" s="3"/>
      <c r="ZD363" s="3"/>
      <c r="ZE363" s="3"/>
      <c r="ZF363" s="3"/>
      <c r="ZG363" s="3"/>
      <c r="ZH363" s="3"/>
      <c r="ZI363" s="3"/>
      <c r="ZJ363" s="3"/>
      <c r="ZK363" s="3"/>
      <c r="ZL363" s="3"/>
      <c r="ZM363" s="3"/>
      <c r="ZN363" s="3"/>
      <c r="ZO363" s="3"/>
      <c r="ZP363" s="3"/>
      <c r="ZQ363" s="3"/>
      <c r="ZR363" s="3"/>
      <c r="ZS363" s="3"/>
      <c r="ZT363" s="3"/>
      <c r="ZU363" s="3"/>
      <c r="ZV363" s="3"/>
      <c r="ZW363" s="3"/>
      <c r="ZX363" s="3"/>
      <c r="ZY363" s="3"/>
      <c r="ZZ363" s="3"/>
      <c r="AAA363" s="3"/>
      <c r="AAB363" s="3"/>
      <c r="AAC363" s="3"/>
      <c r="AAD363" s="3"/>
      <c r="AAE363" s="3"/>
      <c r="AAF363" s="3"/>
      <c r="AAG363" s="3"/>
      <c r="AAH363" s="3"/>
      <c r="AAI363" s="3"/>
      <c r="AAJ363" s="3"/>
      <c r="AAK363" s="3"/>
      <c r="AAL363" s="3"/>
      <c r="AAM363" s="3"/>
      <c r="AAN363" s="3"/>
      <c r="AAO363" s="3"/>
      <c r="AAP363" s="3"/>
      <c r="AAQ363" s="3"/>
      <c r="AAR363" s="3"/>
      <c r="AAS363" s="3"/>
      <c r="AAT363" s="3"/>
      <c r="AAU363" s="3"/>
      <c r="AAV363" s="3"/>
      <c r="AAW363" s="3"/>
      <c r="AAX363" s="3"/>
      <c r="AAY363" s="3"/>
      <c r="AAZ363" s="3"/>
      <c r="ABA363" s="3"/>
      <c r="ABB363" s="3"/>
      <c r="ABC363" s="3"/>
      <c r="ABD363" s="3"/>
      <c r="ABE363" s="3"/>
      <c r="ABF363" s="3"/>
      <c r="ABG363" s="3"/>
      <c r="ABH363" s="3"/>
      <c r="ABI363" s="3"/>
      <c r="ABJ363" s="3"/>
      <c r="ABK363" s="3"/>
      <c r="ABL363" s="3"/>
      <c r="ABM363" s="3"/>
      <c r="ABN363" s="3"/>
      <c r="ABO363" s="3"/>
      <c r="ABP363" s="3"/>
      <c r="ABQ363" s="3"/>
      <c r="ABR363" s="3"/>
      <c r="ABS363" s="3"/>
      <c r="ABT363" s="3"/>
      <c r="ABU363" s="3"/>
      <c r="ABV363" s="3"/>
      <c r="ABW363" s="3"/>
      <c r="ABX363" s="3"/>
      <c r="ABY363" s="3"/>
      <c r="ABZ363" s="3"/>
      <c r="ACA363" s="3"/>
      <c r="ACB363" s="3"/>
      <c r="ACC363" s="3"/>
      <c r="ACD363" s="3"/>
      <c r="ACE363" s="3"/>
      <c r="ACF363" s="3"/>
      <c r="ACG363" s="3"/>
      <c r="ACH363" s="3"/>
      <c r="ACI363" s="3"/>
      <c r="ACJ363" s="3"/>
      <c r="ACK363" s="3"/>
      <c r="ACL363" s="3"/>
      <c r="ACM363" s="3"/>
      <c r="ACN363" s="3"/>
      <c r="ACO363" s="3"/>
      <c r="ACP363" s="3"/>
      <c r="ACQ363" s="3"/>
      <c r="ACR363" s="3"/>
      <c r="ACS363" s="3"/>
      <c r="ACT363" s="3"/>
      <c r="ACU363" s="3"/>
      <c r="ACV363" s="3"/>
      <c r="ACW363" s="3"/>
      <c r="ACX363" s="3"/>
      <c r="ACY363" s="3"/>
      <c r="ACZ363" s="3"/>
      <c r="ADA363" s="3"/>
      <c r="ADB363" s="3"/>
      <c r="ADC363" s="3"/>
      <c r="ADD363" s="3"/>
      <c r="ADE363" s="3"/>
      <c r="ADF363" s="3"/>
      <c r="ADG363" s="3"/>
      <c r="ADH363" s="3"/>
      <c r="ADI363" s="3"/>
      <c r="ADJ363" s="3"/>
      <c r="ADK363" s="3"/>
      <c r="ADL363" s="3"/>
      <c r="ADM363" s="3"/>
      <c r="ADN363" s="3"/>
      <c r="ADO363" s="3"/>
      <c r="ADP363" s="3"/>
      <c r="ADQ363" s="3"/>
      <c r="ADR363" s="3"/>
      <c r="ADS363" s="3"/>
      <c r="ADT363" s="3"/>
      <c r="ADU363" s="3"/>
      <c r="ADV363" s="3"/>
      <c r="ADW363" s="3"/>
      <c r="ADX363" s="3"/>
      <c r="ADY363" s="3"/>
      <c r="ADZ363" s="3"/>
      <c r="AEA363" s="3"/>
      <c r="AEB363" s="3"/>
      <c r="AEC363" s="3"/>
      <c r="AED363" s="3"/>
      <c r="AEE363" s="3"/>
      <c r="AEF363" s="3"/>
      <c r="AEG363" s="3"/>
      <c r="AEH363" s="3"/>
      <c r="AEI363" s="3"/>
      <c r="AEJ363" s="3"/>
      <c r="AEK363" s="3"/>
      <c r="AEL363" s="3"/>
      <c r="AEM363" s="3"/>
      <c r="AEN363" s="3"/>
      <c r="AEO363" s="3"/>
      <c r="AEP363" s="3"/>
      <c r="AEQ363" s="3"/>
      <c r="AER363" s="3"/>
      <c r="AES363" s="3"/>
      <c r="AET363" s="3"/>
      <c r="AEU363" s="3"/>
      <c r="AEV363" s="3"/>
      <c r="AEW363" s="3"/>
      <c r="AEX363" s="3"/>
      <c r="AEY363" s="3"/>
      <c r="AEZ363" s="3"/>
      <c r="AFA363" s="3"/>
      <c r="AFB363" s="3"/>
      <c r="AFC363" s="3"/>
      <c r="AFD363" s="3"/>
      <c r="AFE363" s="3"/>
      <c r="AFF363" s="3"/>
      <c r="AFG363" s="3"/>
      <c r="AFH363" s="3"/>
      <c r="AFI363" s="3"/>
      <c r="AFJ363" s="3"/>
      <c r="AFK363" s="3"/>
      <c r="AFL363" s="3"/>
      <c r="AFM363" s="3"/>
      <c r="AFN363" s="3"/>
      <c r="AFO363" s="3"/>
      <c r="AFP363" s="3"/>
      <c r="AFQ363" s="3"/>
      <c r="AFR363" s="3"/>
      <c r="AFS363" s="3"/>
      <c r="AFT363" s="3"/>
      <c r="AFU363" s="3"/>
      <c r="AFV363" s="3"/>
      <c r="AFW363" s="3"/>
      <c r="AFX363" s="3"/>
      <c r="AFY363" s="3"/>
      <c r="AFZ363" s="3"/>
      <c r="AGA363" s="3"/>
      <c r="AGB363" s="3"/>
      <c r="AGC363" s="3"/>
      <c r="AGD363" s="3"/>
      <c r="AGE363" s="3"/>
      <c r="AGF363" s="3"/>
      <c r="AGG363" s="3"/>
      <c r="AGH363" s="3"/>
      <c r="AGI363" s="3"/>
      <c r="AGJ363" s="3"/>
      <c r="AGK363" s="3"/>
      <c r="AGL363" s="3"/>
      <c r="AGM363" s="3"/>
      <c r="AGN363" s="3"/>
      <c r="AGO363" s="3"/>
      <c r="AGP363" s="3"/>
      <c r="AGQ363" s="3"/>
      <c r="AGR363" s="3"/>
      <c r="AGS363" s="3"/>
      <c r="AGT363" s="3"/>
      <c r="AGU363" s="3"/>
      <c r="AGV363" s="3"/>
      <c r="AGW363" s="3"/>
      <c r="AGX363" s="3"/>
      <c r="AGY363" s="3"/>
      <c r="AGZ363" s="3"/>
      <c r="AHA363" s="3"/>
      <c r="AHB363" s="3"/>
      <c r="AHC363" s="3"/>
      <c r="AHD363" s="3"/>
      <c r="AHE363" s="3"/>
      <c r="AHF363" s="3"/>
      <c r="AHG363" s="3"/>
      <c r="AHH363" s="3"/>
      <c r="AHI363" s="3"/>
      <c r="AHJ363" s="3"/>
      <c r="AHK363" s="3"/>
      <c r="AHL363" s="3"/>
      <c r="AHM363" s="3"/>
      <c r="AHN363" s="3"/>
      <c r="AHO363" s="3"/>
      <c r="AHP363" s="3"/>
      <c r="AHQ363" s="3"/>
      <c r="AHR363" s="3"/>
      <c r="AHS363" s="3"/>
      <c r="AHT363" s="3"/>
      <c r="AHU363" s="3"/>
      <c r="AHV363" s="3"/>
      <c r="AHW363" s="3"/>
      <c r="AHX363" s="3"/>
      <c r="AHY363" s="3"/>
      <c r="AHZ363" s="3"/>
      <c r="AIA363" s="3"/>
      <c r="AIB363" s="3"/>
      <c r="AIC363" s="3"/>
      <c r="AID363" s="3"/>
      <c r="AIE363" s="3"/>
      <c r="AIF363" s="3"/>
      <c r="AIG363" s="3"/>
      <c r="AIH363" s="3"/>
      <c r="AII363" s="3"/>
      <c r="AIJ363" s="3"/>
      <c r="AIK363" s="3"/>
      <c r="AIL363" s="3"/>
      <c r="AIM363" s="3"/>
      <c r="AIN363" s="3"/>
      <c r="AIO363" s="3"/>
      <c r="AIP363" s="3"/>
      <c r="AIQ363" s="3"/>
      <c r="AIR363" s="3"/>
      <c r="AIS363" s="3"/>
      <c r="AIT363" s="3"/>
      <c r="AIU363" s="3"/>
      <c r="AIV363" s="3"/>
      <c r="AIW363" s="3"/>
      <c r="AIX363" s="3"/>
      <c r="AIY363" s="3"/>
      <c r="AIZ363" s="3"/>
      <c r="AJA363" s="3"/>
      <c r="AJB363" s="3"/>
      <c r="AJC363" s="3"/>
      <c r="AJD363" s="3"/>
      <c r="AJE363" s="3"/>
      <c r="AJF363" s="3"/>
      <c r="AJG363" s="3"/>
      <c r="AJH363" s="3"/>
      <c r="AJI363" s="3"/>
      <c r="AJJ363" s="3"/>
      <c r="AJK363" s="3"/>
      <c r="AJL363" s="3"/>
      <c r="AJM363" s="3"/>
      <c r="AJN363" s="3"/>
      <c r="AJO363" s="3"/>
      <c r="AJP363" s="3"/>
      <c r="AJQ363" s="3"/>
      <c r="AJR363" s="3"/>
      <c r="AJS363" s="3"/>
      <c r="AJT363" s="3"/>
      <c r="AJU363" s="3"/>
      <c r="AJV363" s="3"/>
      <c r="AJW363" s="3"/>
      <c r="AJX363" s="3"/>
      <c r="AJY363" s="3"/>
      <c r="AJZ363" s="3"/>
      <c r="AKA363" s="3"/>
      <c r="AKB363" s="3"/>
      <c r="AKC363" s="3"/>
      <c r="AKD363" s="3"/>
      <c r="AKE363" s="3"/>
      <c r="AKF363" s="3"/>
      <c r="AKG363" s="3"/>
      <c r="AKH363" s="3"/>
      <c r="AKI363" s="3"/>
      <c r="AKJ363" s="3"/>
      <c r="AKK363" s="3"/>
      <c r="AKL363" s="3"/>
      <c r="AKM363" s="3"/>
      <c r="AKN363" s="3"/>
      <c r="AKO363" s="3"/>
      <c r="AKP363" s="3"/>
      <c r="AKQ363" s="3"/>
      <c r="AKR363" s="3"/>
      <c r="AKS363" s="3"/>
      <c r="AKT363" s="3"/>
      <c r="AKU363" s="3"/>
      <c r="AKV363" s="3"/>
      <c r="AKW363" s="3"/>
      <c r="AKX363" s="3"/>
      <c r="AKY363" s="3"/>
      <c r="AKZ363" s="3"/>
      <c r="ALA363" s="3"/>
      <c r="ALB363" s="3"/>
      <c r="ALC363" s="3"/>
      <c r="ALD363" s="3"/>
      <c r="ALE363" s="3"/>
      <c r="ALF363" s="3"/>
      <c r="ALG363" s="3"/>
      <c r="ALH363" s="3"/>
      <c r="ALI363" s="3"/>
      <c r="ALJ363" s="3"/>
      <c r="ALK363" s="3"/>
      <c r="ALL363" s="3"/>
      <c r="ALM363" s="3"/>
      <c r="ALN363" s="3"/>
      <c r="ALO363" s="3"/>
      <c r="ALP363" s="3"/>
      <c r="ALQ363" s="3"/>
      <c r="ALR363" s="3"/>
      <c r="ALS363" s="3"/>
      <c r="ALT363" s="3"/>
      <c r="ALU363" s="3"/>
      <c r="ALV363" s="3"/>
      <c r="ALW363" s="3"/>
      <c r="ALX363" s="3"/>
      <c r="ALY363" s="3"/>
      <c r="ALZ363" s="3"/>
      <c r="AMA363" s="3"/>
      <c r="AMB363" s="3"/>
      <c r="AMC363" s="3"/>
      <c r="AMD363" s="3"/>
      <c r="AME363" s="3"/>
      <c r="AMF363" s="3"/>
      <c r="AMG363" s="3"/>
      <c r="AMH363" s="3"/>
      <c r="AMI363" s="3"/>
      <c r="AMJ363" s="3"/>
      <c r="AMK363" s="3"/>
      <c r="AML363" s="3"/>
      <c r="AMM363" s="3"/>
      <c r="AMN363" s="3"/>
      <c r="AMO363" s="3"/>
      <c r="AMP363" s="1"/>
    </row>
    <row r="364" spans="1:1030" s="6" customFormat="1" x14ac:dyDescent="0.2">
      <c r="A364" s="3" t="str">
        <f t="shared" si="1926"/>
        <v>smo_human_5L7D</v>
      </c>
      <c r="B364" s="3" t="s">
        <v>33</v>
      </c>
      <c r="C364" s="3" t="s">
        <v>1353</v>
      </c>
      <c r="D364" s="3" t="str">
        <f>IFERROR(MID(VLOOKUP($B364,Seqs!$A:$B,2,0),E364,1),"")</f>
        <v>T</v>
      </c>
      <c r="E364" s="105">
        <v>223</v>
      </c>
      <c r="F364" s="3" t="str">
        <f>IFERROR(MID(VLOOKUP($B364,Seqs!$A:$B,2,0),G364,1),"")</f>
        <v>D</v>
      </c>
      <c r="G364" s="3">
        <v>255</v>
      </c>
      <c r="H364" s="3" t="str">
        <f>IFERROR(MID(VLOOKUP($B364,Seqs!$A:$B,2,0),I364,1),"")</f>
        <v>W</v>
      </c>
      <c r="I364" s="23">
        <v>256</v>
      </c>
      <c r="J364" s="3" t="str">
        <f>IFERROR(MID(VLOOKUP($B364,Seqs!$A:$B,2,0),K364,1),"")</f>
        <v>N</v>
      </c>
      <c r="K364" s="23">
        <v>260</v>
      </c>
      <c r="L364" s="3" t="str">
        <f>IFERROR(MID(VLOOKUP($B364,Seqs!$A:$B,2,0),M364,1),"")</f>
        <v>R</v>
      </c>
      <c r="M364" s="3">
        <v>261</v>
      </c>
      <c r="N364" s="3" t="str">
        <f>IFERROR(MID(VLOOKUP($B364,Seqs!$A:$B,2,0),O364,1),"")</f>
        <v>F</v>
      </c>
      <c r="O364" s="3">
        <v>285</v>
      </c>
      <c r="P364" s="3" t="str">
        <f>IFERROR(MID(VLOOKUP($B364,Seqs!$A:$B,2,0),Q364,1),"")</f>
        <v/>
      </c>
      <c r="Q364" s="3" t="s">
        <v>23</v>
      </c>
      <c r="R364" s="3" t="str">
        <f>IFERROR(MID(VLOOKUP($B364,Seqs!$A:$B,2,0),S364,1),"")</f>
        <v/>
      </c>
      <c r="S364" s="3" t="s">
        <v>23</v>
      </c>
      <c r="T364" s="3" t="str">
        <f>IFERROR(MID(VLOOKUP($B364,Seqs!$A:$B,2,0),U364,1),"")</f>
        <v>L</v>
      </c>
      <c r="U364" s="3">
        <v>312</v>
      </c>
      <c r="V364" s="3" t="str">
        <f>IFERROR(MID(VLOOKUP($B364,Seqs!$A:$B,2,0),W364,1),"")</f>
        <v>L</v>
      </c>
      <c r="W364" s="3">
        <v>346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K</v>
      </c>
      <c r="AC364" s="9">
        <v>356</v>
      </c>
      <c r="AD364" s="3" t="str">
        <f>IFERROR(MID(VLOOKUP($B364,Seqs!$A:$B,2,0),AE364,1),"")</f>
        <v>V</v>
      </c>
      <c r="AE364" s="3">
        <v>378</v>
      </c>
      <c r="AF364" s="3" t="str">
        <f>IFERROR(MID(VLOOKUP($B364,Seqs!$A:$B,2,0),AG364,1),"")</f>
        <v>C</v>
      </c>
      <c r="AG364" s="3">
        <v>390</v>
      </c>
      <c r="AH364" s="3" t="str">
        <f>IFERROR(MID(VLOOKUP($B364,Seqs!$A:$B,2,0),AI364,1),"")</f>
        <v>V</v>
      </c>
      <c r="AI364" s="3">
        <v>392</v>
      </c>
      <c r="AJ364" s="3" t="str">
        <f>IFERROR(MID(VLOOKUP($B364,Seqs!$A:$B,2,0),AK364,1),"")</f>
        <v>N</v>
      </c>
      <c r="AK364" s="105">
        <v>396</v>
      </c>
      <c r="AL364" s="3" t="str">
        <f>IFERROR(MID(VLOOKUP($B364,Seqs!$A:$B,2,0),AM364,1),"")</f>
        <v>S</v>
      </c>
      <c r="AM364" s="3">
        <v>428</v>
      </c>
      <c r="AN364" s="3" t="str">
        <f>IFERROR(MID(VLOOKUP($B364,Seqs!$A:$B,2,0),AO364,1),"")</f>
        <v>E</v>
      </c>
      <c r="AO364" s="3">
        <v>447</v>
      </c>
      <c r="AP364" s="3" t="str">
        <f>IFERROR(MID(VLOOKUP($B364,Seqs!$A:$B,2,0),AQ364,1),"")</f>
        <v>I</v>
      </c>
      <c r="AQ364" s="3">
        <v>496</v>
      </c>
      <c r="AR364" s="3" t="str">
        <f>IFERROR(MID(VLOOKUP($B364,Seqs!$A:$B,2,0),AS364,1),"")</f>
        <v>S</v>
      </c>
      <c r="AS364" s="105">
        <v>514</v>
      </c>
      <c r="AT364" s="3" t="str">
        <f>IFERROR(MID(VLOOKUP($B364,Seqs!$A:$B,2,0),AU364,1),"")</f>
        <v>W</v>
      </c>
      <c r="AU364" s="3">
        <v>537</v>
      </c>
      <c r="AV364" s="3" t="str">
        <f>IFERROR(MID(VLOOKUP($B364,Seqs!$A:$B,2,0),AW364,1),"")</f>
        <v>T</v>
      </c>
      <c r="AW364" s="3">
        <v>538</v>
      </c>
      <c r="AX364" s="3" t="str">
        <f>IFERROR(MID(VLOOKUP($B364,Seqs!$A:$B,2,0),AY364,1),"")</f>
        <v>T</v>
      </c>
      <c r="AY364" s="3">
        <v>553</v>
      </c>
      <c r="AZ364" s="78" t="str">
        <f>VLOOKUP(B364,Classification!A:D,2,0)</f>
        <v>F</v>
      </c>
      <c r="BA364" s="94" t="str">
        <f>VLOOKUP(B364,Classification!A:D,4,0)</f>
        <v>Frizzled</v>
      </c>
      <c r="BB364" s="92" t="b">
        <f t="shared" si="1927"/>
        <v>1</v>
      </c>
      <c r="BC364" s="23">
        <f t="shared" si="1900"/>
        <v>249</v>
      </c>
      <c r="BD364" s="74" t="s">
        <v>1377</v>
      </c>
      <c r="BE364" s="3" t="s">
        <v>1375</v>
      </c>
      <c r="BF364" s="119">
        <v>3.2</v>
      </c>
      <c r="BG364" s="49" t="s">
        <v>1282</v>
      </c>
      <c r="BH364" s="49" t="s">
        <v>1378</v>
      </c>
      <c r="BI364" s="3"/>
      <c r="BJ364" s="75" t="s">
        <v>1288</v>
      </c>
      <c r="BK364" s="57" t="s">
        <v>1288</v>
      </c>
      <c r="BL364" s="57" t="s">
        <v>1288</v>
      </c>
      <c r="BM364" s="57" t="s">
        <v>1288</v>
      </c>
      <c r="BN364" s="57" t="s">
        <v>1288</v>
      </c>
      <c r="BO364" s="57" t="s">
        <v>1288</v>
      </c>
      <c r="BP364" s="57" t="s">
        <v>1288</v>
      </c>
      <c r="BQ364" s="57" t="s">
        <v>1288</v>
      </c>
      <c r="BR364" s="57" t="s">
        <v>1288</v>
      </c>
      <c r="BS364" s="57" t="s">
        <v>1288</v>
      </c>
      <c r="BT364" s="57" t="s">
        <v>1288</v>
      </c>
      <c r="BU364" s="57" t="s">
        <v>1288</v>
      </c>
      <c r="BV364" s="75">
        <f t="shared" si="1901"/>
        <v>223</v>
      </c>
      <c r="BW364" s="71">
        <f t="shared" si="1902"/>
        <v>256</v>
      </c>
      <c r="BX364" s="72">
        <f t="shared" si="1903"/>
        <v>261</v>
      </c>
      <c r="BY364" s="71" t="str">
        <f t="shared" si="1904"/>
        <v>-</v>
      </c>
      <c r="BZ364" s="72">
        <f t="shared" si="1905"/>
        <v>312</v>
      </c>
      <c r="CA364" s="71" t="str">
        <f t="shared" si="1906"/>
        <v>-</v>
      </c>
      <c r="CB364" s="72">
        <f t="shared" si="1907"/>
        <v>356</v>
      </c>
      <c r="CC364" s="71">
        <f t="shared" si="1908"/>
        <v>390</v>
      </c>
      <c r="CD364" s="72">
        <f t="shared" si="1909"/>
        <v>396</v>
      </c>
      <c r="CE364" s="71">
        <f t="shared" si="1910"/>
        <v>447</v>
      </c>
      <c r="CF364" s="72">
        <f t="shared" si="1911"/>
        <v>514</v>
      </c>
      <c r="CG364" s="71">
        <f t="shared" si="1912"/>
        <v>538</v>
      </c>
      <c r="CH364" s="75">
        <f t="shared" si="1913"/>
        <v>255</v>
      </c>
      <c r="CI364" s="71">
        <f t="shared" si="1914"/>
        <v>260</v>
      </c>
      <c r="CJ364" s="72">
        <f t="shared" si="1915"/>
        <v>285</v>
      </c>
      <c r="CK364" s="72" t="str">
        <f t="shared" si="1916"/>
        <v>-</v>
      </c>
      <c r="CL364" s="72">
        <f t="shared" si="1917"/>
        <v>346</v>
      </c>
      <c r="CM364" s="72" t="str">
        <f t="shared" si="1918"/>
        <v>-</v>
      </c>
      <c r="CN364" s="72">
        <f t="shared" si="1919"/>
        <v>378</v>
      </c>
      <c r="CO364" s="72">
        <f t="shared" si="1920"/>
        <v>392</v>
      </c>
      <c r="CP364" s="72">
        <f t="shared" si="1921"/>
        <v>428</v>
      </c>
      <c r="CQ364" s="72">
        <f t="shared" si="1922"/>
        <v>496</v>
      </c>
      <c r="CR364" s="72">
        <f t="shared" si="1923"/>
        <v>537</v>
      </c>
      <c r="CS364" s="72">
        <f t="shared" si="1924"/>
        <v>553</v>
      </c>
      <c r="CT364" s="23">
        <f t="shared" si="1925"/>
        <v>1</v>
      </c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/>
      <c r="PS364" s="3"/>
      <c r="PT364" s="3"/>
      <c r="PU364" s="3"/>
      <c r="PV364" s="3"/>
      <c r="PW364" s="3"/>
      <c r="PX364" s="3"/>
      <c r="PY364" s="3"/>
      <c r="PZ364" s="3"/>
      <c r="QA364" s="3"/>
      <c r="QB364" s="3"/>
      <c r="QC364" s="3"/>
      <c r="QD364" s="3"/>
      <c r="QE364" s="3"/>
      <c r="QF364" s="3"/>
      <c r="QG364" s="3"/>
      <c r="QH364" s="3"/>
      <c r="QI364" s="3"/>
      <c r="QJ364" s="3"/>
      <c r="QK364" s="3"/>
      <c r="QL364" s="3"/>
      <c r="QM364" s="3"/>
      <c r="QN364" s="3"/>
      <c r="QO364" s="3"/>
      <c r="QP364" s="3"/>
      <c r="QQ364" s="3"/>
      <c r="QR364" s="3"/>
      <c r="QS364" s="3"/>
      <c r="QT364" s="3"/>
      <c r="QU364" s="3"/>
      <c r="QV364" s="3"/>
      <c r="QW364" s="3"/>
      <c r="QX364" s="3"/>
      <c r="QY364" s="3"/>
      <c r="QZ364" s="3"/>
      <c r="RA364" s="3"/>
      <c r="RB364" s="3"/>
      <c r="RC364" s="3"/>
      <c r="RD364" s="3"/>
      <c r="RE364" s="3"/>
      <c r="RF364" s="3"/>
      <c r="RG364" s="3"/>
      <c r="RH364" s="3"/>
      <c r="RI364" s="3"/>
      <c r="RJ364" s="3"/>
      <c r="RK364" s="3"/>
      <c r="RL364" s="3"/>
      <c r="RM364" s="3"/>
      <c r="RN364" s="3"/>
      <c r="RO364" s="3"/>
      <c r="RP364" s="3"/>
      <c r="RQ364" s="3"/>
      <c r="RR364" s="3"/>
      <c r="RS364" s="3"/>
      <c r="RT364" s="3"/>
      <c r="RU364" s="3"/>
      <c r="RV364" s="3"/>
      <c r="RW364" s="3"/>
      <c r="RX364" s="3"/>
      <c r="RY364" s="3"/>
      <c r="RZ364" s="3"/>
      <c r="SA364" s="3"/>
      <c r="SB364" s="3"/>
      <c r="SC364" s="3"/>
      <c r="SD364" s="3"/>
      <c r="SE364" s="3"/>
      <c r="SF364" s="3"/>
      <c r="SG364" s="3"/>
      <c r="SH364" s="3"/>
      <c r="SI364" s="3"/>
      <c r="SJ364" s="3"/>
      <c r="SK364" s="3"/>
      <c r="SL364" s="3"/>
      <c r="SM364" s="3"/>
      <c r="SN364" s="3"/>
      <c r="SO364" s="3"/>
      <c r="SP364" s="3"/>
      <c r="SQ364" s="3"/>
      <c r="SR364" s="3"/>
      <c r="SS364" s="3"/>
      <c r="ST364" s="3"/>
      <c r="SU364" s="3"/>
      <c r="SV364" s="3"/>
      <c r="SW364" s="3"/>
      <c r="SX364" s="3"/>
      <c r="SY364" s="3"/>
      <c r="SZ364" s="3"/>
      <c r="TA364" s="3"/>
      <c r="TB364" s="3"/>
      <c r="TC364" s="3"/>
      <c r="TD364" s="3"/>
      <c r="TE364" s="3"/>
      <c r="TF364" s="3"/>
      <c r="TG364" s="3"/>
      <c r="TH364" s="3"/>
      <c r="TI364" s="3"/>
      <c r="TJ364" s="3"/>
      <c r="TK364" s="3"/>
      <c r="TL364" s="3"/>
      <c r="TM364" s="3"/>
      <c r="TN364" s="3"/>
      <c r="TO364" s="3"/>
      <c r="TP364" s="3"/>
      <c r="TQ364" s="3"/>
      <c r="TR364" s="3"/>
      <c r="TS364" s="3"/>
      <c r="TT364" s="3"/>
      <c r="TU364" s="3"/>
      <c r="TV364" s="3"/>
      <c r="TW364" s="3"/>
      <c r="TX364" s="3"/>
      <c r="TY364" s="3"/>
      <c r="TZ364" s="3"/>
      <c r="UA364" s="3"/>
      <c r="UB364" s="3"/>
      <c r="UC364" s="3"/>
      <c r="UD364" s="3"/>
      <c r="UE364" s="3"/>
      <c r="UF364" s="3"/>
      <c r="UG364" s="3"/>
      <c r="UH364" s="3"/>
      <c r="UI364" s="3"/>
      <c r="UJ364" s="3"/>
      <c r="UK364" s="3"/>
      <c r="UL364" s="3"/>
      <c r="UM364" s="3"/>
      <c r="UN364" s="3"/>
      <c r="UO364" s="3"/>
      <c r="UP364" s="3"/>
      <c r="UQ364" s="3"/>
      <c r="UR364" s="3"/>
      <c r="US364" s="3"/>
      <c r="UT364" s="3"/>
      <c r="UU364" s="3"/>
      <c r="UV364" s="3"/>
      <c r="UW364" s="3"/>
      <c r="UX364" s="3"/>
      <c r="UY364" s="3"/>
      <c r="UZ364" s="3"/>
      <c r="VA364" s="3"/>
      <c r="VB364" s="3"/>
      <c r="VC364" s="3"/>
      <c r="VD364" s="3"/>
      <c r="VE364" s="3"/>
      <c r="VF364" s="3"/>
      <c r="VG364" s="3"/>
      <c r="VH364" s="3"/>
      <c r="VI364" s="3"/>
      <c r="VJ364" s="3"/>
      <c r="VK364" s="3"/>
      <c r="VL364" s="3"/>
      <c r="VM364" s="3"/>
      <c r="VN364" s="3"/>
      <c r="VO364" s="3"/>
      <c r="VP364" s="3"/>
      <c r="VQ364" s="3"/>
      <c r="VR364" s="3"/>
      <c r="VS364" s="3"/>
      <c r="VT364" s="3"/>
      <c r="VU364" s="3"/>
      <c r="VV364" s="3"/>
      <c r="VW364" s="3"/>
      <c r="VX364" s="3"/>
      <c r="VY364" s="3"/>
      <c r="VZ364" s="3"/>
      <c r="WA364" s="3"/>
      <c r="WB364" s="3"/>
      <c r="WC364" s="3"/>
      <c r="WD364" s="3"/>
      <c r="WE364" s="3"/>
      <c r="WF364" s="3"/>
      <c r="WG364" s="3"/>
      <c r="WH364" s="3"/>
      <c r="WI364" s="3"/>
      <c r="WJ364" s="3"/>
      <c r="WK364" s="3"/>
      <c r="WL364" s="3"/>
      <c r="WM364" s="3"/>
      <c r="WN364" s="3"/>
      <c r="WO364" s="3"/>
      <c r="WP364" s="3"/>
      <c r="WQ364" s="3"/>
      <c r="WR364" s="3"/>
      <c r="WS364" s="3"/>
      <c r="WT364" s="3"/>
      <c r="WU364" s="3"/>
      <c r="WV364" s="3"/>
      <c r="WW364" s="3"/>
      <c r="WX364" s="3"/>
      <c r="WY364" s="3"/>
      <c r="WZ364" s="3"/>
      <c r="XA364" s="3"/>
      <c r="XB364" s="3"/>
      <c r="XC364" s="3"/>
      <c r="XD364" s="3"/>
      <c r="XE364" s="3"/>
      <c r="XF364" s="3"/>
      <c r="XG364" s="3"/>
      <c r="XH364" s="3"/>
      <c r="XI364" s="3"/>
      <c r="XJ364" s="3"/>
      <c r="XK364" s="3"/>
      <c r="XL364" s="3"/>
      <c r="XM364" s="3"/>
      <c r="XN364" s="3"/>
      <c r="XO364" s="3"/>
      <c r="XP364" s="3"/>
      <c r="XQ364" s="3"/>
      <c r="XR364" s="3"/>
      <c r="XS364" s="3"/>
      <c r="XT364" s="3"/>
      <c r="XU364" s="3"/>
      <c r="XV364" s="3"/>
      <c r="XW364" s="3"/>
      <c r="XX364" s="3"/>
      <c r="XY364" s="3"/>
      <c r="XZ364" s="3"/>
      <c r="YA364" s="3"/>
      <c r="YB364" s="3"/>
      <c r="YC364" s="3"/>
      <c r="YD364" s="3"/>
      <c r="YE364" s="3"/>
      <c r="YF364" s="3"/>
      <c r="YG364" s="3"/>
      <c r="YH364" s="3"/>
      <c r="YI364" s="3"/>
      <c r="YJ364" s="3"/>
      <c r="YK364" s="3"/>
      <c r="YL364" s="3"/>
      <c r="YM364" s="3"/>
      <c r="YN364" s="3"/>
      <c r="YO364" s="3"/>
      <c r="YP364" s="3"/>
      <c r="YQ364" s="3"/>
      <c r="YR364" s="3"/>
      <c r="YS364" s="3"/>
      <c r="YT364" s="3"/>
      <c r="YU364" s="3"/>
      <c r="YV364" s="3"/>
      <c r="YW364" s="3"/>
      <c r="YX364" s="3"/>
      <c r="YY364" s="3"/>
      <c r="YZ364" s="3"/>
      <c r="ZA364" s="3"/>
      <c r="ZB364" s="3"/>
      <c r="ZC364" s="3"/>
      <c r="ZD364" s="3"/>
      <c r="ZE364" s="3"/>
      <c r="ZF364" s="3"/>
      <c r="ZG364" s="3"/>
      <c r="ZH364" s="3"/>
      <c r="ZI364" s="3"/>
      <c r="ZJ364" s="3"/>
      <c r="ZK364" s="3"/>
      <c r="ZL364" s="3"/>
      <c r="ZM364" s="3"/>
      <c r="ZN364" s="3"/>
      <c r="ZO364" s="3"/>
      <c r="ZP364" s="3"/>
      <c r="ZQ364" s="3"/>
      <c r="ZR364" s="3"/>
      <c r="ZS364" s="3"/>
      <c r="ZT364" s="3"/>
      <c r="ZU364" s="3"/>
      <c r="ZV364" s="3"/>
      <c r="ZW364" s="3"/>
      <c r="ZX364" s="3"/>
      <c r="ZY364" s="3"/>
      <c r="ZZ364" s="3"/>
      <c r="AAA364" s="3"/>
      <c r="AAB364" s="3"/>
      <c r="AAC364" s="3"/>
      <c r="AAD364" s="3"/>
      <c r="AAE364" s="3"/>
      <c r="AAF364" s="3"/>
      <c r="AAG364" s="3"/>
      <c r="AAH364" s="3"/>
      <c r="AAI364" s="3"/>
      <c r="AAJ364" s="3"/>
      <c r="AAK364" s="3"/>
      <c r="AAL364" s="3"/>
      <c r="AAM364" s="3"/>
      <c r="AAN364" s="3"/>
      <c r="AAO364" s="3"/>
      <c r="AAP364" s="3"/>
      <c r="AAQ364" s="3"/>
      <c r="AAR364" s="3"/>
      <c r="AAS364" s="3"/>
      <c r="AAT364" s="3"/>
      <c r="AAU364" s="3"/>
      <c r="AAV364" s="3"/>
      <c r="AAW364" s="3"/>
      <c r="AAX364" s="3"/>
      <c r="AAY364" s="3"/>
      <c r="AAZ364" s="3"/>
      <c r="ABA364" s="3"/>
      <c r="ABB364" s="3"/>
      <c r="ABC364" s="3"/>
      <c r="ABD364" s="3"/>
      <c r="ABE364" s="3"/>
      <c r="ABF364" s="3"/>
      <c r="ABG364" s="3"/>
      <c r="ABH364" s="3"/>
      <c r="ABI364" s="3"/>
      <c r="ABJ364" s="3"/>
      <c r="ABK364" s="3"/>
      <c r="ABL364" s="3"/>
      <c r="ABM364" s="3"/>
      <c r="ABN364" s="3"/>
      <c r="ABO364" s="3"/>
      <c r="ABP364" s="3"/>
      <c r="ABQ364" s="3"/>
      <c r="ABR364" s="3"/>
      <c r="ABS364" s="3"/>
      <c r="ABT364" s="3"/>
      <c r="ABU364" s="3"/>
      <c r="ABV364" s="3"/>
      <c r="ABW364" s="3"/>
      <c r="ABX364" s="3"/>
      <c r="ABY364" s="3"/>
      <c r="ABZ364" s="3"/>
      <c r="ACA364" s="3"/>
      <c r="ACB364" s="3"/>
      <c r="ACC364" s="3"/>
      <c r="ACD364" s="3"/>
      <c r="ACE364" s="3"/>
      <c r="ACF364" s="3"/>
      <c r="ACG364" s="3"/>
      <c r="ACH364" s="3"/>
      <c r="ACI364" s="3"/>
      <c r="ACJ364" s="3"/>
      <c r="ACK364" s="3"/>
      <c r="ACL364" s="3"/>
      <c r="ACM364" s="3"/>
      <c r="ACN364" s="3"/>
      <c r="ACO364" s="3"/>
      <c r="ACP364" s="3"/>
      <c r="ACQ364" s="3"/>
      <c r="ACR364" s="3"/>
      <c r="ACS364" s="3"/>
      <c r="ACT364" s="3"/>
      <c r="ACU364" s="3"/>
      <c r="ACV364" s="3"/>
      <c r="ACW364" s="3"/>
      <c r="ACX364" s="3"/>
      <c r="ACY364" s="3"/>
      <c r="ACZ364" s="3"/>
      <c r="ADA364" s="3"/>
      <c r="ADB364" s="3"/>
      <c r="ADC364" s="3"/>
      <c r="ADD364" s="3"/>
      <c r="ADE364" s="3"/>
      <c r="ADF364" s="3"/>
      <c r="ADG364" s="3"/>
      <c r="ADH364" s="3"/>
      <c r="ADI364" s="3"/>
      <c r="ADJ364" s="3"/>
      <c r="ADK364" s="3"/>
      <c r="ADL364" s="3"/>
      <c r="ADM364" s="3"/>
      <c r="ADN364" s="3"/>
      <c r="ADO364" s="3"/>
      <c r="ADP364" s="3"/>
      <c r="ADQ364" s="3"/>
      <c r="ADR364" s="3"/>
      <c r="ADS364" s="3"/>
      <c r="ADT364" s="3"/>
      <c r="ADU364" s="3"/>
      <c r="ADV364" s="3"/>
      <c r="ADW364" s="3"/>
      <c r="ADX364" s="3"/>
      <c r="ADY364" s="3"/>
      <c r="ADZ364" s="3"/>
      <c r="AEA364" s="3"/>
      <c r="AEB364" s="3"/>
      <c r="AEC364" s="3"/>
      <c r="AED364" s="3"/>
      <c r="AEE364" s="3"/>
      <c r="AEF364" s="3"/>
      <c r="AEG364" s="3"/>
      <c r="AEH364" s="3"/>
      <c r="AEI364" s="3"/>
      <c r="AEJ364" s="3"/>
      <c r="AEK364" s="3"/>
      <c r="AEL364" s="3"/>
      <c r="AEM364" s="3"/>
      <c r="AEN364" s="3"/>
      <c r="AEO364" s="3"/>
      <c r="AEP364" s="3"/>
      <c r="AEQ364" s="3"/>
      <c r="AER364" s="3"/>
      <c r="AES364" s="3"/>
      <c r="AET364" s="3"/>
      <c r="AEU364" s="3"/>
      <c r="AEV364" s="3"/>
      <c r="AEW364" s="3"/>
      <c r="AEX364" s="3"/>
      <c r="AEY364" s="3"/>
      <c r="AEZ364" s="3"/>
      <c r="AFA364" s="3"/>
      <c r="AFB364" s="3"/>
      <c r="AFC364" s="3"/>
      <c r="AFD364" s="3"/>
      <c r="AFE364" s="3"/>
      <c r="AFF364" s="3"/>
      <c r="AFG364" s="3"/>
      <c r="AFH364" s="3"/>
      <c r="AFI364" s="3"/>
      <c r="AFJ364" s="3"/>
      <c r="AFK364" s="3"/>
      <c r="AFL364" s="3"/>
      <c r="AFM364" s="3"/>
      <c r="AFN364" s="3"/>
      <c r="AFO364" s="3"/>
      <c r="AFP364" s="3"/>
      <c r="AFQ364" s="3"/>
      <c r="AFR364" s="3"/>
      <c r="AFS364" s="3"/>
      <c r="AFT364" s="3"/>
      <c r="AFU364" s="3"/>
      <c r="AFV364" s="3"/>
      <c r="AFW364" s="3"/>
      <c r="AFX364" s="3"/>
      <c r="AFY364" s="3"/>
      <c r="AFZ364" s="3"/>
      <c r="AGA364" s="3"/>
      <c r="AGB364" s="3"/>
      <c r="AGC364" s="3"/>
      <c r="AGD364" s="3"/>
      <c r="AGE364" s="3"/>
      <c r="AGF364" s="3"/>
      <c r="AGG364" s="3"/>
      <c r="AGH364" s="3"/>
      <c r="AGI364" s="3"/>
      <c r="AGJ364" s="3"/>
      <c r="AGK364" s="3"/>
      <c r="AGL364" s="3"/>
      <c r="AGM364" s="3"/>
      <c r="AGN364" s="3"/>
      <c r="AGO364" s="3"/>
      <c r="AGP364" s="3"/>
      <c r="AGQ364" s="3"/>
      <c r="AGR364" s="3"/>
      <c r="AGS364" s="3"/>
      <c r="AGT364" s="3"/>
      <c r="AGU364" s="3"/>
      <c r="AGV364" s="3"/>
      <c r="AGW364" s="3"/>
      <c r="AGX364" s="3"/>
      <c r="AGY364" s="3"/>
      <c r="AGZ364" s="3"/>
      <c r="AHA364" s="3"/>
      <c r="AHB364" s="3"/>
      <c r="AHC364" s="3"/>
      <c r="AHD364" s="3"/>
      <c r="AHE364" s="3"/>
      <c r="AHF364" s="3"/>
      <c r="AHG364" s="3"/>
      <c r="AHH364" s="3"/>
      <c r="AHI364" s="3"/>
      <c r="AHJ364" s="3"/>
      <c r="AHK364" s="3"/>
      <c r="AHL364" s="3"/>
      <c r="AHM364" s="3"/>
      <c r="AHN364" s="3"/>
      <c r="AHO364" s="3"/>
      <c r="AHP364" s="3"/>
      <c r="AHQ364" s="3"/>
      <c r="AHR364" s="3"/>
      <c r="AHS364" s="3"/>
      <c r="AHT364" s="3"/>
      <c r="AHU364" s="3"/>
      <c r="AHV364" s="3"/>
      <c r="AHW364" s="3"/>
      <c r="AHX364" s="3"/>
      <c r="AHY364" s="3"/>
      <c r="AHZ364" s="3"/>
      <c r="AIA364" s="3"/>
      <c r="AIB364" s="3"/>
      <c r="AIC364" s="3"/>
      <c r="AID364" s="3"/>
      <c r="AIE364" s="3"/>
      <c r="AIF364" s="3"/>
      <c r="AIG364" s="3"/>
      <c r="AIH364" s="3"/>
      <c r="AII364" s="3"/>
      <c r="AIJ364" s="3"/>
      <c r="AIK364" s="3"/>
      <c r="AIL364" s="3"/>
      <c r="AIM364" s="3"/>
      <c r="AIN364" s="3"/>
      <c r="AIO364" s="3"/>
      <c r="AIP364" s="3"/>
      <c r="AIQ364" s="3"/>
      <c r="AIR364" s="3"/>
      <c r="AIS364" s="3"/>
      <c r="AIT364" s="3"/>
      <c r="AIU364" s="3"/>
      <c r="AIV364" s="3"/>
      <c r="AIW364" s="3"/>
      <c r="AIX364" s="3"/>
      <c r="AIY364" s="3"/>
      <c r="AIZ364" s="3"/>
      <c r="AJA364" s="3"/>
      <c r="AJB364" s="3"/>
      <c r="AJC364" s="3"/>
      <c r="AJD364" s="3"/>
      <c r="AJE364" s="3"/>
      <c r="AJF364" s="3"/>
      <c r="AJG364" s="3"/>
      <c r="AJH364" s="3"/>
      <c r="AJI364" s="3"/>
      <c r="AJJ364" s="3"/>
      <c r="AJK364" s="3"/>
      <c r="AJL364" s="3"/>
      <c r="AJM364" s="3"/>
      <c r="AJN364" s="3"/>
      <c r="AJO364" s="3"/>
      <c r="AJP364" s="3"/>
      <c r="AJQ364" s="3"/>
      <c r="AJR364" s="3"/>
      <c r="AJS364" s="3"/>
      <c r="AJT364" s="3"/>
      <c r="AJU364" s="3"/>
      <c r="AJV364" s="3"/>
      <c r="AJW364" s="3"/>
      <c r="AJX364" s="3"/>
      <c r="AJY364" s="3"/>
      <c r="AJZ364" s="3"/>
      <c r="AKA364" s="3"/>
      <c r="AKB364" s="3"/>
      <c r="AKC364" s="3"/>
      <c r="AKD364" s="3"/>
      <c r="AKE364" s="3"/>
      <c r="AKF364" s="3"/>
      <c r="AKG364" s="3"/>
      <c r="AKH364" s="3"/>
      <c r="AKI364" s="3"/>
      <c r="AKJ364" s="3"/>
      <c r="AKK364" s="3"/>
      <c r="AKL364" s="3"/>
      <c r="AKM364" s="3"/>
      <c r="AKN364" s="3"/>
      <c r="AKO364" s="3"/>
      <c r="AKP364" s="3"/>
      <c r="AKQ364" s="3"/>
      <c r="AKR364" s="3"/>
      <c r="AKS364" s="3"/>
      <c r="AKT364" s="3"/>
      <c r="AKU364" s="3"/>
      <c r="AKV364" s="3"/>
      <c r="AKW364" s="3"/>
      <c r="AKX364" s="3"/>
      <c r="AKY364" s="3"/>
      <c r="AKZ364" s="3"/>
      <c r="ALA364" s="3"/>
      <c r="ALB364" s="3"/>
      <c r="ALC364" s="3"/>
      <c r="ALD364" s="3"/>
      <c r="ALE364" s="3"/>
      <c r="ALF364" s="3"/>
      <c r="ALG364" s="3"/>
      <c r="ALH364" s="3"/>
      <c r="ALI364" s="3"/>
      <c r="ALJ364" s="3"/>
      <c r="ALK364" s="3"/>
      <c r="ALL364" s="3"/>
      <c r="ALM364" s="3"/>
      <c r="ALN364" s="3"/>
      <c r="ALO364" s="3"/>
      <c r="ALP364" s="3"/>
      <c r="ALQ364" s="3"/>
      <c r="ALR364" s="3"/>
      <c r="ALS364" s="3"/>
      <c r="ALT364" s="3"/>
      <c r="ALU364" s="3"/>
      <c r="ALV364" s="3"/>
      <c r="ALW364" s="3"/>
      <c r="ALX364" s="3"/>
      <c r="ALY364" s="3"/>
      <c r="ALZ364" s="3"/>
      <c r="AMA364" s="3"/>
      <c r="AMB364" s="3"/>
      <c r="AMC364" s="3"/>
      <c r="AMD364" s="3"/>
      <c r="AME364" s="3"/>
      <c r="AMF364" s="3"/>
      <c r="AMG364" s="3"/>
      <c r="AMH364" s="3"/>
      <c r="AMI364" s="3"/>
      <c r="AMJ364" s="3"/>
      <c r="AMK364" s="3"/>
      <c r="AML364" s="3"/>
      <c r="AMM364" s="3"/>
      <c r="AMN364" s="3"/>
      <c r="AMO364" s="3"/>
      <c r="AMP364" s="1"/>
    </row>
    <row r="365" spans="1:1030" s="6" customFormat="1" x14ac:dyDescent="0.2">
      <c r="A365" s="3" t="str">
        <f t="shared" si="1926"/>
        <v>smo_human_5L7I</v>
      </c>
      <c r="B365" s="3" t="s">
        <v>33</v>
      </c>
      <c r="C365" s="3" t="s">
        <v>1354</v>
      </c>
      <c r="D365" s="3" t="str">
        <f>IFERROR(MID(VLOOKUP($B365,Seqs!$A:$B,2,0),E365,1),"")</f>
        <v>T</v>
      </c>
      <c r="E365" s="105">
        <v>223</v>
      </c>
      <c r="F365" s="3" t="str">
        <f>IFERROR(MID(VLOOKUP($B365,Seqs!$A:$B,2,0),G365,1),"")</f>
        <v>D</v>
      </c>
      <c r="G365" s="3">
        <v>255</v>
      </c>
      <c r="H365" s="3" t="str">
        <f>IFERROR(MID(VLOOKUP($B365,Seqs!$A:$B,2,0),I365,1),"")</f>
        <v>W</v>
      </c>
      <c r="I365" s="23">
        <v>256</v>
      </c>
      <c r="J365" s="3" t="str">
        <f>IFERROR(MID(VLOOKUP($B365,Seqs!$A:$B,2,0),K365,1),"")</f>
        <v>N</v>
      </c>
      <c r="K365" s="23">
        <v>260</v>
      </c>
      <c r="L365" s="3" t="str">
        <f>IFERROR(MID(VLOOKUP($B365,Seqs!$A:$B,2,0),M365,1),"")</f>
        <v>R</v>
      </c>
      <c r="M365" s="3">
        <v>261</v>
      </c>
      <c r="N365" s="3" t="str">
        <f>IFERROR(MID(VLOOKUP($B365,Seqs!$A:$B,2,0),O365,1),"")</f>
        <v>F</v>
      </c>
      <c r="O365" s="3">
        <v>285</v>
      </c>
      <c r="P365" s="3" t="str">
        <f>IFERROR(MID(VLOOKUP($B365,Seqs!$A:$B,2,0),Q365,1),"")</f>
        <v/>
      </c>
      <c r="Q365" s="3" t="s">
        <v>23</v>
      </c>
      <c r="R365" s="3" t="str">
        <f>IFERROR(MID(VLOOKUP($B365,Seqs!$A:$B,2,0),S365,1),"")</f>
        <v/>
      </c>
      <c r="S365" s="3" t="s">
        <v>23</v>
      </c>
      <c r="T365" s="3" t="str">
        <f>IFERROR(MID(VLOOKUP($B365,Seqs!$A:$B,2,0),U365,1),"")</f>
        <v>L</v>
      </c>
      <c r="U365" s="3">
        <v>312</v>
      </c>
      <c r="V365" s="3" t="str">
        <f>IFERROR(MID(VLOOKUP($B365,Seqs!$A:$B,2,0),W365,1),"")</f>
        <v>L</v>
      </c>
      <c r="W365" s="3">
        <v>346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K</v>
      </c>
      <c r="AC365" s="9">
        <v>356</v>
      </c>
      <c r="AD365" s="3" t="str">
        <f>IFERROR(MID(VLOOKUP($B365,Seqs!$A:$B,2,0),AE365,1),"")</f>
        <v>V</v>
      </c>
      <c r="AE365" s="3">
        <v>378</v>
      </c>
      <c r="AF365" s="3" t="str">
        <f>IFERROR(MID(VLOOKUP($B365,Seqs!$A:$B,2,0),AG365,1),"")</f>
        <v>C</v>
      </c>
      <c r="AG365" s="3">
        <v>390</v>
      </c>
      <c r="AH365" s="3" t="str">
        <f>IFERROR(MID(VLOOKUP($B365,Seqs!$A:$B,2,0),AI365,1),"")</f>
        <v>V</v>
      </c>
      <c r="AI365" s="3">
        <v>392</v>
      </c>
      <c r="AJ365" s="3" t="str">
        <f>IFERROR(MID(VLOOKUP($B365,Seqs!$A:$B,2,0),AK365,1),"")</f>
        <v>N</v>
      </c>
      <c r="AK365" s="105">
        <v>396</v>
      </c>
      <c r="AL365" s="3" t="str">
        <f>IFERROR(MID(VLOOKUP($B365,Seqs!$A:$B,2,0),AM365,1),"")</f>
        <v>S</v>
      </c>
      <c r="AM365" s="3">
        <v>428</v>
      </c>
      <c r="AN365" s="3" t="str">
        <f>IFERROR(MID(VLOOKUP($B365,Seqs!$A:$B,2,0),AO365,1),"")</f>
        <v>E</v>
      </c>
      <c r="AO365" s="3">
        <v>447</v>
      </c>
      <c r="AP365" s="3" t="str">
        <f>IFERROR(MID(VLOOKUP($B365,Seqs!$A:$B,2,0),AQ365,1),"")</f>
        <v>N</v>
      </c>
      <c r="AQ365" s="3">
        <v>493</v>
      </c>
      <c r="AR365" s="3" t="str">
        <f>IFERROR(MID(VLOOKUP($B365,Seqs!$A:$B,2,0),AS365,1),"")</f>
        <v>S</v>
      </c>
      <c r="AS365" s="105">
        <v>514</v>
      </c>
      <c r="AT365" s="3" t="str">
        <f>IFERROR(MID(VLOOKUP($B365,Seqs!$A:$B,2,0),AU365,1),"")</f>
        <v>W</v>
      </c>
      <c r="AU365" s="3">
        <v>537</v>
      </c>
      <c r="AV365" s="3" t="str">
        <f>IFERROR(MID(VLOOKUP($B365,Seqs!$A:$B,2,0),AW365,1),"")</f>
        <v>T</v>
      </c>
      <c r="AW365" s="3">
        <v>538</v>
      </c>
      <c r="AX365" s="3" t="str">
        <f>IFERROR(MID(VLOOKUP($B365,Seqs!$A:$B,2,0),AY365,1),"")</f>
        <v>R</v>
      </c>
      <c r="AY365" s="3">
        <v>551</v>
      </c>
      <c r="AZ365" s="78" t="str">
        <f>VLOOKUP(B365,Classification!A:D,2,0)</f>
        <v>F</v>
      </c>
      <c r="BA365" s="94" t="str">
        <f>VLOOKUP(B365,Classification!A:D,4,0)</f>
        <v>Frizzled</v>
      </c>
      <c r="BB365" s="92" t="b">
        <f t="shared" si="1927"/>
        <v>1</v>
      </c>
      <c r="BC365" s="23">
        <f t="shared" si="1900"/>
        <v>244</v>
      </c>
      <c r="BD365" s="74" t="s">
        <v>23</v>
      </c>
      <c r="BE365" s="3" t="s">
        <v>1375</v>
      </c>
      <c r="BF365" s="119">
        <v>3.3</v>
      </c>
      <c r="BG365" s="49" t="s">
        <v>1282</v>
      </c>
      <c r="BH365" s="49" t="s">
        <v>1378</v>
      </c>
      <c r="BI365" s="3" t="s">
        <v>1362</v>
      </c>
      <c r="BJ365" s="75" t="s">
        <v>1288</v>
      </c>
      <c r="BK365" s="57" t="s">
        <v>1288</v>
      </c>
      <c r="BL365" s="57" t="s">
        <v>1288</v>
      </c>
      <c r="BM365" s="57" t="s">
        <v>1288</v>
      </c>
      <c r="BN365" s="57" t="s">
        <v>1288</v>
      </c>
      <c r="BO365" s="57" t="s">
        <v>1288</v>
      </c>
      <c r="BP365" s="57" t="s">
        <v>1288</v>
      </c>
      <c r="BQ365" s="57" t="s">
        <v>1288</v>
      </c>
      <c r="BR365" s="57" t="s">
        <v>1288</v>
      </c>
      <c r="BS365" s="57" t="s">
        <v>1288</v>
      </c>
      <c r="BT365" s="57" t="s">
        <v>1288</v>
      </c>
      <c r="BU365" s="57" t="s">
        <v>1288</v>
      </c>
      <c r="BV365" s="75">
        <f t="shared" si="1901"/>
        <v>223</v>
      </c>
      <c r="BW365" s="71">
        <f t="shared" si="1902"/>
        <v>256</v>
      </c>
      <c r="BX365" s="72">
        <f t="shared" si="1903"/>
        <v>261</v>
      </c>
      <c r="BY365" s="71" t="str">
        <f t="shared" si="1904"/>
        <v>-</v>
      </c>
      <c r="BZ365" s="72">
        <f t="shared" si="1905"/>
        <v>312</v>
      </c>
      <c r="CA365" s="71" t="str">
        <f t="shared" si="1906"/>
        <v>-</v>
      </c>
      <c r="CB365" s="72">
        <f t="shared" si="1907"/>
        <v>356</v>
      </c>
      <c r="CC365" s="71">
        <f t="shared" si="1908"/>
        <v>390</v>
      </c>
      <c r="CD365" s="72">
        <f t="shared" si="1909"/>
        <v>396</v>
      </c>
      <c r="CE365" s="71">
        <f t="shared" si="1910"/>
        <v>447</v>
      </c>
      <c r="CF365" s="72">
        <f t="shared" si="1911"/>
        <v>514</v>
      </c>
      <c r="CG365" s="71">
        <f t="shared" si="1912"/>
        <v>538</v>
      </c>
      <c r="CH365" s="75">
        <f t="shared" si="1913"/>
        <v>255</v>
      </c>
      <c r="CI365" s="71">
        <f t="shared" si="1914"/>
        <v>260</v>
      </c>
      <c r="CJ365" s="72">
        <f t="shared" si="1915"/>
        <v>285</v>
      </c>
      <c r="CK365" s="72" t="str">
        <f t="shared" si="1916"/>
        <v>-</v>
      </c>
      <c r="CL365" s="72">
        <f t="shared" si="1917"/>
        <v>346</v>
      </c>
      <c r="CM365" s="72" t="str">
        <f t="shared" si="1918"/>
        <v>-</v>
      </c>
      <c r="CN365" s="72">
        <f t="shared" si="1919"/>
        <v>378</v>
      </c>
      <c r="CO365" s="72">
        <f t="shared" si="1920"/>
        <v>392</v>
      </c>
      <c r="CP365" s="72">
        <f t="shared" si="1921"/>
        <v>428</v>
      </c>
      <c r="CQ365" s="72">
        <f t="shared" si="1922"/>
        <v>493</v>
      </c>
      <c r="CR365" s="72">
        <f t="shared" si="1923"/>
        <v>537</v>
      </c>
      <c r="CS365" s="72">
        <f t="shared" si="1924"/>
        <v>551</v>
      </c>
      <c r="CT365" s="23">
        <f t="shared" si="1925"/>
        <v>1</v>
      </c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/>
      <c r="NP365" s="3"/>
      <c r="NQ365" s="3"/>
      <c r="NR365" s="3"/>
      <c r="NS365" s="3"/>
      <c r="NT365" s="3"/>
      <c r="NU365" s="3"/>
      <c r="NV365" s="3"/>
      <c r="NW365" s="3"/>
      <c r="NX365" s="3"/>
      <c r="NY365" s="3"/>
      <c r="NZ365" s="3"/>
      <c r="OA365" s="3"/>
      <c r="OB365" s="3"/>
      <c r="OC365" s="3"/>
      <c r="OD365" s="3"/>
      <c r="OE365" s="3"/>
      <c r="OF365" s="3"/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/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/>
      <c r="PP365" s="3"/>
      <c r="PQ365" s="3"/>
      <c r="PR365" s="3"/>
      <c r="PS365" s="3"/>
      <c r="PT365" s="3"/>
      <c r="PU365" s="3"/>
      <c r="PV365" s="3"/>
      <c r="PW365" s="3"/>
      <c r="PX365" s="3"/>
      <c r="PY365" s="3"/>
      <c r="PZ365" s="3"/>
      <c r="QA365" s="3"/>
      <c r="QB365" s="3"/>
      <c r="QC365" s="3"/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r="QU365" s="3"/>
      <c r="QV365" s="3"/>
      <c r="QW365" s="3"/>
      <c r="QX365" s="3"/>
      <c r="QY365" s="3"/>
      <c r="QZ365" s="3"/>
      <c r="RA365" s="3"/>
      <c r="RB365" s="3"/>
      <c r="RC365" s="3"/>
      <c r="RD365" s="3"/>
      <c r="RE365" s="3"/>
      <c r="RF365" s="3"/>
      <c r="RG365" s="3"/>
      <c r="RH365" s="3"/>
      <c r="RI365" s="3"/>
      <c r="RJ365" s="3"/>
      <c r="RK365" s="3"/>
      <c r="RL365" s="3"/>
      <c r="RM365" s="3"/>
      <c r="RN365" s="3"/>
      <c r="RO365" s="3"/>
      <c r="RP365" s="3"/>
      <c r="RQ365" s="3"/>
      <c r="RR365" s="3"/>
      <c r="RS365" s="3"/>
      <c r="RT365" s="3"/>
      <c r="RU365" s="3"/>
      <c r="RV365" s="3"/>
      <c r="RW365" s="3"/>
      <c r="RX365" s="3"/>
      <c r="RY365" s="3"/>
      <c r="RZ365" s="3"/>
      <c r="SA365" s="3"/>
      <c r="SB365" s="3"/>
      <c r="SC365" s="3"/>
      <c r="SD365" s="3"/>
      <c r="SE365" s="3"/>
      <c r="SF365" s="3"/>
      <c r="SG365" s="3"/>
      <c r="SH365" s="3"/>
      <c r="SI365" s="3"/>
      <c r="SJ365" s="3"/>
      <c r="SK365" s="3"/>
      <c r="SL365" s="3"/>
      <c r="SM365" s="3"/>
      <c r="SN365" s="3"/>
      <c r="SO365" s="3"/>
      <c r="SP365" s="3"/>
      <c r="SQ365" s="3"/>
      <c r="SR365" s="3"/>
      <c r="SS365" s="3"/>
      <c r="ST365" s="3"/>
      <c r="SU365" s="3"/>
      <c r="SV365" s="3"/>
      <c r="SW365" s="3"/>
      <c r="SX365" s="3"/>
      <c r="SY365" s="3"/>
      <c r="SZ365" s="3"/>
      <c r="TA365" s="3"/>
      <c r="TB365" s="3"/>
      <c r="TC365" s="3"/>
      <c r="TD365" s="3"/>
      <c r="TE365" s="3"/>
      <c r="TF365" s="3"/>
      <c r="TG365" s="3"/>
      <c r="TH365" s="3"/>
      <c r="TI365" s="3"/>
      <c r="TJ365" s="3"/>
      <c r="TK365" s="3"/>
      <c r="TL365" s="3"/>
      <c r="TM365" s="3"/>
      <c r="TN365" s="3"/>
      <c r="TO365" s="3"/>
      <c r="TP365" s="3"/>
      <c r="TQ365" s="3"/>
      <c r="TR365" s="3"/>
      <c r="TS365" s="3"/>
      <c r="TT365" s="3"/>
      <c r="TU365" s="3"/>
      <c r="TV365" s="3"/>
      <c r="TW365" s="3"/>
      <c r="TX365" s="3"/>
      <c r="TY365" s="3"/>
      <c r="TZ365" s="3"/>
      <c r="UA365" s="3"/>
      <c r="UB365" s="3"/>
      <c r="UC365" s="3"/>
      <c r="UD365" s="3"/>
      <c r="UE365" s="3"/>
      <c r="UF365" s="3"/>
      <c r="UG365" s="3"/>
      <c r="UH365" s="3"/>
      <c r="UI365" s="3"/>
      <c r="UJ365" s="3"/>
      <c r="UK365" s="3"/>
      <c r="UL365" s="3"/>
      <c r="UM365" s="3"/>
      <c r="UN365" s="3"/>
      <c r="UO365" s="3"/>
      <c r="UP365" s="3"/>
      <c r="UQ365" s="3"/>
      <c r="UR365" s="3"/>
      <c r="US365" s="3"/>
      <c r="UT365" s="3"/>
      <c r="UU365" s="3"/>
      <c r="UV365" s="3"/>
      <c r="UW365" s="3"/>
      <c r="UX365" s="3"/>
      <c r="UY365" s="3"/>
      <c r="UZ365" s="3"/>
      <c r="VA365" s="3"/>
      <c r="VB365" s="3"/>
      <c r="VC365" s="3"/>
      <c r="VD365" s="3"/>
      <c r="VE365" s="3"/>
      <c r="VF365" s="3"/>
      <c r="VG365" s="3"/>
      <c r="VH365" s="3"/>
      <c r="VI365" s="3"/>
      <c r="VJ365" s="3"/>
      <c r="VK365" s="3"/>
      <c r="VL365" s="3"/>
      <c r="VM365" s="3"/>
      <c r="VN365" s="3"/>
      <c r="VO365" s="3"/>
      <c r="VP365" s="3"/>
      <c r="VQ365" s="3"/>
      <c r="VR365" s="3"/>
      <c r="VS365" s="3"/>
      <c r="VT365" s="3"/>
      <c r="VU365" s="3"/>
      <c r="VV365" s="3"/>
      <c r="VW365" s="3"/>
      <c r="VX365" s="3"/>
      <c r="VY365" s="3"/>
      <c r="VZ365" s="3"/>
      <c r="WA365" s="3"/>
      <c r="WB365" s="3"/>
      <c r="WC365" s="3"/>
      <c r="WD365" s="3"/>
      <c r="WE365" s="3"/>
      <c r="WF365" s="3"/>
      <c r="WG365" s="3"/>
      <c r="WH365" s="3"/>
      <c r="WI365" s="3"/>
      <c r="WJ365" s="3"/>
      <c r="WK365" s="3"/>
      <c r="WL365" s="3"/>
      <c r="WM365" s="3"/>
      <c r="WN365" s="3"/>
      <c r="WO365" s="3"/>
      <c r="WP365" s="3"/>
      <c r="WQ365" s="3"/>
      <c r="WR365" s="3"/>
      <c r="WS365" s="3"/>
      <c r="WT365" s="3"/>
      <c r="WU365" s="3"/>
      <c r="WV365" s="3"/>
      <c r="WW365" s="3"/>
      <c r="WX365" s="3"/>
      <c r="WY365" s="3"/>
      <c r="WZ365" s="3"/>
      <c r="XA365" s="3"/>
      <c r="XB365" s="3"/>
      <c r="XC365" s="3"/>
      <c r="XD365" s="3"/>
      <c r="XE365" s="3"/>
      <c r="XF365" s="3"/>
      <c r="XG365" s="3"/>
      <c r="XH365" s="3"/>
      <c r="XI365" s="3"/>
      <c r="XJ365" s="3"/>
      <c r="XK365" s="3"/>
      <c r="XL365" s="3"/>
      <c r="XM365" s="3"/>
      <c r="XN365" s="3"/>
      <c r="XO365" s="3"/>
      <c r="XP365" s="3"/>
      <c r="XQ365" s="3"/>
      <c r="XR365" s="3"/>
      <c r="XS365" s="3"/>
      <c r="XT365" s="3"/>
      <c r="XU365" s="3"/>
      <c r="XV365" s="3"/>
      <c r="XW365" s="3"/>
      <c r="XX365" s="3"/>
      <c r="XY365" s="3"/>
      <c r="XZ365" s="3"/>
      <c r="YA365" s="3"/>
      <c r="YB365" s="3"/>
      <c r="YC365" s="3"/>
      <c r="YD365" s="3"/>
      <c r="YE365" s="3"/>
      <c r="YF365" s="3"/>
      <c r="YG365" s="3"/>
      <c r="YH365" s="3"/>
      <c r="YI365" s="3"/>
      <c r="YJ365" s="3"/>
      <c r="YK365" s="3"/>
      <c r="YL365" s="3"/>
      <c r="YM365" s="3"/>
      <c r="YN365" s="3"/>
      <c r="YO365" s="3"/>
      <c r="YP365" s="3"/>
      <c r="YQ365" s="3"/>
      <c r="YR365" s="3"/>
      <c r="YS365" s="3"/>
      <c r="YT365" s="3"/>
      <c r="YU365" s="3"/>
      <c r="YV365" s="3"/>
      <c r="YW365" s="3"/>
      <c r="YX365" s="3"/>
      <c r="YY365" s="3"/>
      <c r="YZ365" s="3"/>
      <c r="ZA365" s="3"/>
      <c r="ZB365" s="3"/>
      <c r="ZC365" s="3"/>
      <c r="ZD365" s="3"/>
      <c r="ZE365" s="3"/>
      <c r="ZF365" s="3"/>
      <c r="ZG365" s="3"/>
      <c r="ZH365" s="3"/>
      <c r="ZI365" s="3"/>
      <c r="ZJ365" s="3"/>
      <c r="ZK365" s="3"/>
      <c r="ZL365" s="3"/>
      <c r="ZM365" s="3"/>
      <c r="ZN365" s="3"/>
      <c r="ZO365" s="3"/>
      <c r="ZP365" s="3"/>
      <c r="ZQ365" s="3"/>
      <c r="ZR365" s="3"/>
      <c r="ZS365" s="3"/>
      <c r="ZT365" s="3"/>
      <c r="ZU365" s="3"/>
      <c r="ZV365" s="3"/>
      <c r="ZW365" s="3"/>
      <c r="ZX365" s="3"/>
      <c r="ZY365" s="3"/>
      <c r="ZZ365" s="3"/>
      <c r="AAA365" s="3"/>
      <c r="AAB365" s="3"/>
      <c r="AAC365" s="3"/>
      <c r="AAD365" s="3"/>
      <c r="AAE365" s="3"/>
      <c r="AAF365" s="3"/>
      <c r="AAG365" s="3"/>
      <c r="AAH365" s="3"/>
      <c r="AAI365" s="3"/>
      <c r="AAJ365" s="3"/>
      <c r="AAK365" s="3"/>
      <c r="AAL365" s="3"/>
      <c r="AAM365" s="3"/>
      <c r="AAN365" s="3"/>
      <c r="AAO365" s="3"/>
      <c r="AAP365" s="3"/>
      <c r="AAQ365" s="3"/>
      <c r="AAR365" s="3"/>
      <c r="AAS365" s="3"/>
      <c r="AAT365" s="3"/>
      <c r="AAU365" s="3"/>
      <c r="AAV365" s="3"/>
      <c r="AAW365" s="3"/>
      <c r="AAX365" s="3"/>
      <c r="AAY365" s="3"/>
      <c r="AAZ365" s="3"/>
      <c r="ABA365" s="3"/>
      <c r="ABB365" s="3"/>
      <c r="ABC365" s="3"/>
      <c r="ABD365" s="3"/>
      <c r="ABE365" s="3"/>
      <c r="ABF365" s="3"/>
      <c r="ABG365" s="3"/>
      <c r="ABH365" s="3"/>
      <c r="ABI365" s="3"/>
      <c r="ABJ365" s="3"/>
      <c r="ABK365" s="3"/>
      <c r="ABL365" s="3"/>
      <c r="ABM365" s="3"/>
      <c r="ABN365" s="3"/>
      <c r="ABO365" s="3"/>
      <c r="ABP365" s="3"/>
      <c r="ABQ365" s="3"/>
      <c r="ABR365" s="3"/>
      <c r="ABS365" s="3"/>
      <c r="ABT365" s="3"/>
      <c r="ABU365" s="3"/>
      <c r="ABV365" s="3"/>
      <c r="ABW365" s="3"/>
      <c r="ABX365" s="3"/>
      <c r="ABY365" s="3"/>
      <c r="ABZ365" s="3"/>
      <c r="ACA365" s="3"/>
      <c r="ACB365" s="3"/>
      <c r="ACC365" s="3"/>
      <c r="ACD365" s="3"/>
      <c r="ACE365" s="3"/>
      <c r="ACF365" s="3"/>
      <c r="ACG365" s="3"/>
      <c r="ACH365" s="3"/>
      <c r="ACI365" s="3"/>
      <c r="ACJ365" s="3"/>
      <c r="ACK365" s="3"/>
      <c r="ACL365" s="3"/>
      <c r="ACM365" s="3"/>
      <c r="ACN365" s="3"/>
      <c r="ACO365" s="3"/>
      <c r="ACP365" s="3"/>
      <c r="ACQ365" s="3"/>
      <c r="ACR365" s="3"/>
      <c r="ACS365" s="3"/>
      <c r="ACT365" s="3"/>
      <c r="ACU365" s="3"/>
      <c r="ACV365" s="3"/>
      <c r="ACW365" s="3"/>
      <c r="ACX365" s="3"/>
      <c r="ACY365" s="3"/>
      <c r="ACZ365" s="3"/>
      <c r="ADA365" s="3"/>
      <c r="ADB365" s="3"/>
      <c r="ADC365" s="3"/>
      <c r="ADD365" s="3"/>
      <c r="ADE365" s="3"/>
      <c r="ADF365" s="3"/>
      <c r="ADG365" s="3"/>
      <c r="ADH365" s="3"/>
      <c r="ADI365" s="3"/>
      <c r="ADJ365" s="3"/>
      <c r="ADK365" s="3"/>
      <c r="ADL365" s="3"/>
      <c r="ADM365" s="3"/>
      <c r="ADN365" s="3"/>
      <c r="ADO365" s="3"/>
      <c r="ADP365" s="3"/>
      <c r="ADQ365" s="3"/>
      <c r="ADR365" s="3"/>
      <c r="ADS365" s="3"/>
      <c r="ADT365" s="3"/>
      <c r="ADU365" s="3"/>
      <c r="ADV365" s="3"/>
      <c r="ADW365" s="3"/>
      <c r="ADX365" s="3"/>
      <c r="ADY365" s="3"/>
      <c r="ADZ365" s="3"/>
      <c r="AEA365" s="3"/>
      <c r="AEB365" s="3"/>
      <c r="AEC365" s="3"/>
      <c r="AED365" s="3"/>
      <c r="AEE365" s="3"/>
      <c r="AEF365" s="3"/>
      <c r="AEG365" s="3"/>
      <c r="AEH365" s="3"/>
      <c r="AEI365" s="3"/>
      <c r="AEJ365" s="3"/>
      <c r="AEK365" s="3"/>
      <c r="AEL365" s="3"/>
      <c r="AEM365" s="3"/>
      <c r="AEN365" s="3"/>
      <c r="AEO365" s="3"/>
      <c r="AEP365" s="3"/>
      <c r="AEQ365" s="3"/>
      <c r="AER365" s="3"/>
      <c r="AES365" s="3"/>
      <c r="AET365" s="3"/>
      <c r="AEU365" s="3"/>
      <c r="AEV365" s="3"/>
      <c r="AEW365" s="3"/>
      <c r="AEX365" s="3"/>
      <c r="AEY365" s="3"/>
      <c r="AEZ365" s="3"/>
      <c r="AFA365" s="3"/>
      <c r="AFB365" s="3"/>
      <c r="AFC365" s="3"/>
      <c r="AFD365" s="3"/>
      <c r="AFE365" s="3"/>
      <c r="AFF365" s="3"/>
      <c r="AFG365" s="3"/>
      <c r="AFH365" s="3"/>
      <c r="AFI365" s="3"/>
      <c r="AFJ365" s="3"/>
      <c r="AFK365" s="3"/>
      <c r="AFL365" s="3"/>
      <c r="AFM365" s="3"/>
      <c r="AFN365" s="3"/>
      <c r="AFO365" s="3"/>
      <c r="AFP365" s="3"/>
      <c r="AFQ365" s="3"/>
      <c r="AFR365" s="3"/>
      <c r="AFS365" s="3"/>
      <c r="AFT365" s="3"/>
      <c r="AFU365" s="3"/>
      <c r="AFV365" s="3"/>
      <c r="AFW365" s="3"/>
      <c r="AFX365" s="3"/>
      <c r="AFY365" s="3"/>
      <c r="AFZ365" s="3"/>
      <c r="AGA365" s="3"/>
      <c r="AGB365" s="3"/>
      <c r="AGC365" s="3"/>
      <c r="AGD365" s="3"/>
      <c r="AGE365" s="3"/>
      <c r="AGF365" s="3"/>
      <c r="AGG365" s="3"/>
      <c r="AGH365" s="3"/>
      <c r="AGI365" s="3"/>
      <c r="AGJ365" s="3"/>
      <c r="AGK365" s="3"/>
      <c r="AGL365" s="3"/>
      <c r="AGM365" s="3"/>
      <c r="AGN365" s="3"/>
      <c r="AGO365" s="3"/>
      <c r="AGP365" s="3"/>
      <c r="AGQ365" s="3"/>
      <c r="AGR365" s="3"/>
      <c r="AGS365" s="3"/>
      <c r="AGT365" s="3"/>
      <c r="AGU365" s="3"/>
      <c r="AGV365" s="3"/>
      <c r="AGW365" s="3"/>
      <c r="AGX365" s="3"/>
      <c r="AGY365" s="3"/>
      <c r="AGZ365" s="3"/>
      <c r="AHA365" s="3"/>
      <c r="AHB365" s="3"/>
      <c r="AHC365" s="3"/>
      <c r="AHD365" s="3"/>
      <c r="AHE365" s="3"/>
      <c r="AHF365" s="3"/>
      <c r="AHG365" s="3"/>
      <c r="AHH365" s="3"/>
      <c r="AHI365" s="3"/>
      <c r="AHJ365" s="3"/>
      <c r="AHK365" s="3"/>
      <c r="AHL365" s="3"/>
      <c r="AHM365" s="3"/>
      <c r="AHN365" s="3"/>
      <c r="AHO365" s="3"/>
      <c r="AHP365" s="3"/>
      <c r="AHQ365" s="3"/>
      <c r="AHR365" s="3"/>
      <c r="AHS365" s="3"/>
      <c r="AHT365" s="3"/>
      <c r="AHU365" s="3"/>
      <c r="AHV365" s="3"/>
      <c r="AHW365" s="3"/>
      <c r="AHX365" s="3"/>
      <c r="AHY365" s="3"/>
      <c r="AHZ365" s="3"/>
      <c r="AIA365" s="3"/>
      <c r="AIB365" s="3"/>
      <c r="AIC365" s="3"/>
      <c r="AID365" s="3"/>
      <c r="AIE365" s="3"/>
      <c r="AIF365" s="3"/>
      <c r="AIG365" s="3"/>
      <c r="AIH365" s="3"/>
      <c r="AII365" s="3"/>
      <c r="AIJ365" s="3"/>
      <c r="AIK365" s="3"/>
      <c r="AIL365" s="3"/>
      <c r="AIM365" s="3"/>
      <c r="AIN365" s="3"/>
      <c r="AIO365" s="3"/>
      <c r="AIP365" s="3"/>
      <c r="AIQ365" s="3"/>
      <c r="AIR365" s="3"/>
      <c r="AIS365" s="3"/>
      <c r="AIT365" s="3"/>
      <c r="AIU365" s="3"/>
      <c r="AIV365" s="3"/>
      <c r="AIW365" s="3"/>
      <c r="AIX365" s="3"/>
      <c r="AIY365" s="3"/>
      <c r="AIZ365" s="3"/>
      <c r="AJA365" s="3"/>
      <c r="AJB365" s="3"/>
      <c r="AJC365" s="3"/>
      <c r="AJD365" s="3"/>
      <c r="AJE365" s="3"/>
      <c r="AJF365" s="3"/>
      <c r="AJG365" s="3"/>
      <c r="AJH365" s="3"/>
      <c r="AJI365" s="3"/>
      <c r="AJJ365" s="3"/>
      <c r="AJK365" s="3"/>
      <c r="AJL365" s="3"/>
      <c r="AJM365" s="3"/>
      <c r="AJN365" s="3"/>
      <c r="AJO365" s="3"/>
      <c r="AJP365" s="3"/>
      <c r="AJQ365" s="3"/>
      <c r="AJR365" s="3"/>
      <c r="AJS365" s="3"/>
      <c r="AJT365" s="3"/>
      <c r="AJU365" s="3"/>
      <c r="AJV365" s="3"/>
      <c r="AJW365" s="3"/>
      <c r="AJX365" s="3"/>
      <c r="AJY365" s="3"/>
      <c r="AJZ365" s="3"/>
      <c r="AKA365" s="3"/>
      <c r="AKB365" s="3"/>
      <c r="AKC365" s="3"/>
      <c r="AKD365" s="3"/>
      <c r="AKE365" s="3"/>
      <c r="AKF365" s="3"/>
      <c r="AKG365" s="3"/>
      <c r="AKH365" s="3"/>
      <c r="AKI365" s="3"/>
      <c r="AKJ365" s="3"/>
      <c r="AKK365" s="3"/>
      <c r="AKL365" s="3"/>
      <c r="AKM365" s="3"/>
      <c r="AKN365" s="3"/>
      <c r="AKO365" s="3"/>
      <c r="AKP365" s="3"/>
      <c r="AKQ365" s="3"/>
      <c r="AKR365" s="3"/>
      <c r="AKS365" s="3"/>
      <c r="AKT365" s="3"/>
      <c r="AKU365" s="3"/>
      <c r="AKV365" s="3"/>
      <c r="AKW365" s="3"/>
      <c r="AKX365" s="3"/>
      <c r="AKY365" s="3"/>
      <c r="AKZ365" s="3"/>
      <c r="ALA365" s="3"/>
      <c r="ALB365" s="3"/>
      <c r="ALC365" s="3"/>
      <c r="ALD365" s="3"/>
      <c r="ALE365" s="3"/>
      <c r="ALF365" s="3"/>
      <c r="ALG365" s="3"/>
      <c r="ALH365" s="3"/>
      <c r="ALI365" s="3"/>
      <c r="ALJ365" s="3"/>
      <c r="ALK365" s="3"/>
      <c r="ALL365" s="3"/>
      <c r="ALM365" s="3"/>
      <c r="ALN365" s="3"/>
      <c r="ALO365" s="3"/>
      <c r="ALP365" s="3"/>
      <c r="ALQ365" s="3"/>
      <c r="ALR365" s="3"/>
      <c r="ALS365" s="3"/>
      <c r="ALT365" s="3"/>
      <c r="ALU365" s="3"/>
      <c r="ALV365" s="3"/>
      <c r="ALW365" s="3"/>
      <c r="ALX365" s="3"/>
      <c r="ALY365" s="3"/>
      <c r="ALZ365" s="3"/>
      <c r="AMA365" s="3"/>
      <c r="AMB365" s="3"/>
      <c r="AMC365" s="3"/>
      <c r="AMD365" s="3"/>
      <c r="AME365" s="3"/>
      <c r="AMF365" s="3"/>
      <c r="AMG365" s="3"/>
      <c r="AMH365" s="3"/>
      <c r="AMI365" s="3"/>
      <c r="AMJ365" s="3"/>
      <c r="AMK365" s="3"/>
      <c r="AML365" s="3"/>
      <c r="AMM365" s="3"/>
      <c r="AMN365" s="3"/>
      <c r="AMO365" s="3"/>
      <c r="AMP365" s="1"/>
    </row>
    <row r="366" spans="1:1030" x14ac:dyDescent="0.2">
      <c r="A366" s="3" t="str">
        <f>CONCATENATE(B366,"_",C366)</f>
        <v>smo_human_5V56</v>
      </c>
      <c r="B366" s="3" t="s">
        <v>33</v>
      </c>
      <c r="C366" s="3" t="s">
        <v>1478</v>
      </c>
      <c r="D366" s="3" t="str">
        <f>IFERROR(MID(VLOOKUP($B366,Seqs!$A:$B,2,0),E366,1),"")</f>
        <v>T</v>
      </c>
      <c r="E366" s="3">
        <v>223</v>
      </c>
      <c r="F366" s="3" t="str">
        <f>IFERROR(MID(VLOOKUP($B366,Seqs!$A:$B,2,0),G366,1),"")</f>
        <v>D</v>
      </c>
      <c r="G366" s="3">
        <v>255</v>
      </c>
      <c r="H366" s="3" t="str">
        <f>IFERROR(MID(VLOOKUP($B366,Seqs!$A:$B,2,0),I366,1),"")</f>
        <v>W</v>
      </c>
      <c r="I366" s="23">
        <v>256</v>
      </c>
      <c r="J366" s="3" t="str">
        <f>IFERROR(MID(VLOOKUP($B366,Seqs!$A:$B,2,0),K366,1),"")</f>
        <v>N</v>
      </c>
      <c r="K366" s="23">
        <v>260</v>
      </c>
      <c r="L366" s="3" t="str">
        <f>IFERROR(MID(VLOOKUP($B366,Seqs!$A:$B,2,0),M366,1),"")</f>
        <v>R</v>
      </c>
      <c r="M366" s="3">
        <v>261</v>
      </c>
      <c r="N366" s="3" t="str">
        <f>IFERROR(MID(VLOOKUP($B366,Seqs!$A:$B,2,0),O366,1),"")</f>
        <v>F</v>
      </c>
      <c r="O366" s="3">
        <v>285</v>
      </c>
      <c r="P366" s="3" t="str">
        <f>IFERROR(MID(VLOOKUP($B366,Seqs!$A:$B,2,0),Q366,1),"")</f>
        <v/>
      </c>
      <c r="Q366" s="3" t="s">
        <v>23</v>
      </c>
      <c r="R366" s="3" t="str">
        <f>IFERROR(MID(VLOOKUP($B366,Seqs!$A:$B,2,0),S366,1),"")</f>
        <v/>
      </c>
      <c r="S366" s="3" t="s">
        <v>23</v>
      </c>
      <c r="T366" s="3" t="str">
        <f>IFERROR(MID(VLOOKUP($B366,Seqs!$A:$B,2,0),U366,1),"")</f>
        <v>L</v>
      </c>
      <c r="U366" s="3">
        <v>312</v>
      </c>
      <c r="V366" s="3" t="str">
        <f>IFERROR(MID(VLOOKUP($B366,Seqs!$A:$B,2,0),W366,1),"")</f>
        <v>S</v>
      </c>
      <c r="W366" s="3">
        <v>342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K</v>
      </c>
      <c r="AC366" s="3">
        <v>356</v>
      </c>
      <c r="AD366" s="3" t="str">
        <f>IFERROR(MID(VLOOKUP($B366,Seqs!$A:$B,2,0),AE366,1),"")</f>
        <v>V</v>
      </c>
      <c r="AE366" s="3">
        <v>378</v>
      </c>
      <c r="AF366" s="3" t="str">
        <f>IFERROR(MID(VLOOKUP($B366,Seqs!$A:$B,2,0),AG366,1),"")</f>
        <v>C</v>
      </c>
      <c r="AG366" s="3">
        <v>390</v>
      </c>
      <c r="AH366" s="3" t="str">
        <f>IFERROR(MID(VLOOKUP($B366,Seqs!$A:$B,2,0),AI366,1),"")</f>
        <v>V</v>
      </c>
      <c r="AI366" s="3">
        <v>392</v>
      </c>
      <c r="AJ366" s="3" t="str">
        <f>IFERROR(MID(VLOOKUP($B366,Seqs!$A:$B,2,0),AK366,1),"")</f>
        <v>N</v>
      </c>
      <c r="AK366" s="3">
        <v>396</v>
      </c>
      <c r="AL366" s="3" t="str">
        <f>IFERROR(MID(VLOOKUP($B366,Seqs!$A:$B,2,0),AM366,1),"")</f>
        <v>I</v>
      </c>
      <c r="AM366" s="3">
        <v>429</v>
      </c>
      <c r="AN366" s="3" t="str">
        <f>IFERROR(MID(VLOOKUP($B366,Seqs!$A:$B,2,0),AO366,1),"")</f>
        <v>N</v>
      </c>
      <c r="AO366" s="3">
        <v>446</v>
      </c>
      <c r="AP366" s="3" t="str">
        <f>IFERROR(MID(VLOOKUP($B366,Seqs!$A:$B,2,0),AQ366,1),"")</f>
        <v>N</v>
      </c>
      <c r="AQ366" s="3">
        <v>493</v>
      </c>
      <c r="AR366" s="3" t="str">
        <f>IFERROR(MID(VLOOKUP($B366,Seqs!$A:$B,2,0),AS366,1),"")</f>
        <v>S</v>
      </c>
      <c r="AS366" s="3">
        <v>514</v>
      </c>
      <c r="AT366" s="3" t="str">
        <f>IFERROR(MID(VLOOKUP($B366,Seqs!$A:$B,2,0),AU366,1),"")</f>
        <v>W</v>
      </c>
      <c r="AU366" s="3">
        <v>537</v>
      </c>
      <c r="AV366" s="3" t="str">
        <f>IFERROR(MID(VLOOKUP($B366,Seqs!$A:$B,2,0),AW366,1),"")</f>
        <v>T</v>
      </c>
      <c r="AW366" s="3">
        <v>538</v>
      </c>
      <c r="AX366" s="3" t="str">
        <f>IFERROR(MID(VLOOKUP($B366,Seqs!$A:$B,2,0),AY366,1),"")</f>
        <v>T</v>
      </c>
      <c r="AY366" s="3">
        <v>553</v>
      </c>
      <c r="AZ366" s="78" t="str">
        <f>VLOOKUP(B366,Classification!A:D,2,0)</f>
        <v>F</v>
      </c>
      <c r="BA366" s="94" t="str">
        <f>VLOOKUP(B366,Classification!A:D,4,0)</f>
        <v>Frizzled</v>
      </c>
      <c r="BB366" s="92" t="b">
        <f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>_xlfn.AGGREGATE(9,6,CH366:CS366)-_xlfn.AGGREGATE(9,6,BV366:CG366)+12</f>
        <v>244</v>
      </c>
      <c r="BD366" s="74" t="s">
        <v>23</v>
      </c>
      <c r="BE366" s="3" t="s">
        <v>1375</v>
      </c>
      <c r="BF366" s="119">
        <v>2.9</v>
      </c>
      <c r="BG366" s="49" t="s">
        <v>1282</v>
      </c>
      <c r="BH366" s="49" t="s">
        <v>1282</v>
      </c>
      <c r="BJ366" s="75" t="s">
        <v>1288</v>
      </c>
      <c r="BK366" s="57" t="s">
        <v>1288</v>
      </c>
      <c r="BL366" s="57" t="s">
        <v>1288</v>
      </c>
      <c r="BM366" s="57" t="s">
        <v>1288</v>
      </c>
      <c r="BN366" s="57" t="s">
        <v>1288</v>
      </c>
      <c r="BO366" s="57" t="s">
        <v>1288</v>
      </c>
      <c r="BP366" s="57" t="s">
        <v>1288</v>
      </c>
      <c r="BQ366" s="57" t="s">
        <v>1288</v>
      </c>
      <c r="BR366" s="57" t="s">
        <v>1288</v>
      </c>
      <c r="BS366" s="57" t="s">
        <v>1288</v>
      </c>
      <c r="BT366" s="57" t="s">
        <v>1288</v>
      </c>
      <c r="BU366" s="57" t="s">
        <v>1288</v>
      </c>
      <c r="BV366" s="75">
        <f>E366</f>
        <v>223</v>
      </c>
      <c r="BW366" s="71">
        <f>I366</f>
        <v>256</v>
      </c>
      <c r="BX366" s="72">
        <f>M366</f>
        <v>261</v>
      </c>
      <c r="BY366" s="71" t="str">
        <f>Q366</f>
        <v>-</v>
      </c>
      <c r="BZ366" s="72">
        <f>U366</f>
        <v>312</v>
      </c>
      <c r="CA366" s="71" t="str">
        <f>Y366</f>
        <v>-</v>
      </c>
      <c r="CB366" s="72">
        <f>AC366</f>
        <v>356</v>
      </c>
      <c r="CC366" s="71">
        <f>AG366</f>
        <v>390</v>
      </c>
      <c r="CD366" s="72">
        <f>AK366</f>
        <v>396</v>
      </c>
      <c r="CE366" s="71">
        <f>AO366</f>
        <v>446</v>
      </c>
      <c r="CF366" s="72">
        <f>AS366</f>
        <v>514</v>
      </c>
      <c r="CG366" s="71">
        <f>AW366</f>
        <v>538</v>
      </c>
      <c r="CH366" s="75">
        <f>G366</f>
        <v>255</v>
      </c>
      <c r="CI366" s="71">
        <f>K366</f>
        <v>260</v>
      </c>
      <c r="CJ366" s="72">
        <f>O366</f>
        <v>285</v>
      </c>
      <c r="CK366" s="72" t="str">
        <f>S366</f>
        <v>-</v>
      </c>
      <c r="CL366" s="72">
        <f>W366</f>
        <v>342</v>
      </c>
      <c r="CM366" s="72" t="str">
        <f>AA366</f>
        <v>-</v>
      </c>
      <c r="CN366" s="72">
        <f>AE366</f>
        <v>378</v>
      </c>
      <c r="CO366" s="72">
        <f>AI366</f>
        <v>392</v>
      </c>
      <c r="CP366" s="72">
        <f>AM366</f>
        <v>429</v>
      </c>
      <c r="CQ366" s="72">
        <f>AQ366</f>
        <v>493</v>
      </c>
      <c r="CR366" s="72">
        <f>AU366</f>
        <v>537</v>
      </c>
      <c r="CS366" s="72">
        <f>AY366</f>
        <v>553</v>
      </c>
      <c r="CT366" s="23">
        <f>M366-K366</f>
        <v>1</v>
      </c>
    </row>
    <row r="367" spans="1:1030" x14ac:dyDescent="0.2">
      <c r="A367" s="3" t="str">
        <f>CONCATENATE(B367,"_",C367)</f>
        <v>smo_human_5V57</v>
      </c>
      <c r="B367" s="3" t="s">
        <v>33</v>
      </c>
      <c r="C367" s="3" t="s">
        <v>1479</v>
      </c>
      <c r="D367" s="3" t="str">
        <f>IFERROR(MID(VLOOKUP($B367,Seqs!$A:$B,2,0),E367,1),"")</f>
        <v>T</v>
      </c>
      <c r="E367" s="3">
        <v>223</v>
      </c>
      <c r="F367" s="3" t="str">
        <f>IFERROR(MID(VLOOKUP($B367,Seqs!$A:$B,2,0),G367,1),"")</f>
        <v>D</v>
      </c>
      <c r="G367" s="3">
        <v>255</v>
      </c>
      <c r="H367" s="3" t="str">
        <f>IFERROR(MID(VLOOKUP($B367,Seqs!$A:$B,2,0),I367,1),"")</f>
        <v>W</v>
      </c>
      <c r="I367" s="23">
        <v>256</v>
      </c>
      <c r="J367" s="3" t="str">
        <f>IFERROR(MID(VLOOKUP($B367,Seqs!$A:$B,2,0),K367,1),"")</f>
        <v>N</v>
      </c>
      <c r="K367" s="23">
        <v>260</v>
      </c>
      <c r="L367" s="3" t="str">
        <f>IFERROR(MID(VLOOKUP($B367,Seqs!$A:$B,2,0),M367,1),"")</f>
        <v>R</v>
      </c>
      <c r="M367" s="3">
        <v>261</v>
      </c>
      <c r="N367" s="3" t="str">
        <f>IFERROR(MID(VLOOKUP($B367,Seqs!$A:$B,2,0),O367,1),"")</f>
        <v>F</v>
      </c>
      <c r="O367" s="3">
        <v>285</v>
      </c>
      <c r="P367" s="3" t="str">
        <f>IFERROR(MID(VLOOKUP($B367,Seqs!$A:$B,2,0),Q367,1),"")</f>
        <v/>
      </c>
      <c r="Q367" s="3" t="s">
        <v>23</v>
      </c>
      <c r="R367" s="3" t="str">
        <f>IFERROR(MID(VLOOKUP($B367,Seqs!$A:$B,2,0),S367,1),"")</f>
        <v/>
      </c>
      <c r="S367" s="3" t="s">
        <v>23</v>
      </c>
      <c r="T367" s="3" t="str">
        <f>IFERROR(MID(VLOOKUP($B367,Seqs!$A:$B,2,0),U367,1),"")</f>
        <v>L</v>
      </c>
      <c r="U367" s="3">
        <v>312</v>
      </c>
      <c r="V367" s="3" t="str">
        <f>IFERROR(MID(VLOOKUP($B367,Seqs!$A:$B,2,0),W367,1),"")</f>
        <v>S</v>
      </c>
      <c r="W367" s="3">
        <v>342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T</v>
      </c>
      <c r="AC367" s="3">
        <v>357</v>
      </c>
      <c r="AD367" s="3" t="str">
        <f>IFERROR(MID(VLOOKUP($B367,Seqs!$A:$B,2,0),AE367,1),"")</f>
        <v>V</v>
      </c>
      <c r="AE367" s="3">
        <v>378</v>
      </c>
      <c r="AF367" s="3" t="str">
        <f>IFERROR(MID(VLOOKUP($B367,Seqs!$A:$B,2,0),AG367,1),"")</f>
        <v>C</v>
      </c>
      <c r="AG367" s="3">
        <v>390</v>
      </c>
      <c r="AH367" s="3" t="str">
        <f>IFERROR(MID(VLOOKUP($B367,Seqs!$A:$B,2,0),AI367,1),"")</f>
        <v>V</v>
      </c>
      <c r="AI367" s="3">
        <v>392</v>
      </c>
      <c r="AJ367" s="3" t="str">
        <f>IFERROR(MID(VLOOKUP($B367,Seqs!$A:$B,2,0),AK367,1),"")</f>
        <v>N</v>
      </c>
      <c r="AK367" s="3">
        <v>396</v>
      </c>
      <c r="AL367" s="3" t="str">
        <f>IFERROR(MID(VLOOKUP($B367,Seqs!$A:$B,2,0),AM367,1),"")</f>
        <v>N</v>
      </c>
      <c r="AM367" s="3">
        <v>432</v>
      </c>
      <c r="AN367" s="3" t="str">
        <f>IFERROR(MID(VLOOKUP($B367,Seqs!$A:$B,2,0),AO367,1),"")</f>
        <v>E</v>
      </c>
      <c r="AO367" s="3">
        <v>447</v>
      </c>
      <c r="AP367" s="3" t="str">
        <f>IFERROR(MID(VLOOKUP($B367,Seqs!$A:$B,2,0),AQ367,1),"")</f>
        <v>N</v>
      </c>
      <c r="AQ367" s="3">
        <v>493</v>
      </c>
      <c r="AR367" s="3" t="str">
        <f>IFERROR(MID(VLOOKUP($B367,Seqs!$A:$B,2,0),AS367,1),"")</f>
        <v>S</v>
      </c>
      <c r="AS367" s="3">
        <v>514</v>
      </c>
      <c r="AT367" s="3" t="str">
        <f>IFERROR(MID(VLOOKUP($B367,Seqs!$A:$B,2,0),AU367,1),"")</f>
        <v>W</v>
      </c>
      <c r="AU367" s="3">
        <v>537</v>
      </c>
      <c r="AV367" s="3" t="str">
        <f>IFERROR(MID(VLOOKUP($B367,Seqs!$A:$B,2,0),AW367,1),"")</f>
        <v>T</v>
      </c>
      <c r="AW367" s="3">
        <v>538</v>
      </c>
      <c r="AX367" s="3" t="str">
        <f>IFERROR(MID(VLOOKUP($B367,Seqs!$A:$B,2,0),AY367,1),"")</f>
        <v>G</v>
      </c>
      <c r="AY367" s="3">
        <v>554</v>
      </c>
      <c r="AZ367" s="78" t="str">
        <f>VLOOKUP(B367,Classification!A:D,2,0)</f>
        <v>F</v>
      </c>
      <c r="BA367" s="94" t="str">
        <f>VLOOKUP(B367,Classification!A:D,4,0)</f>
        <v>Frizzled</v>
      </c>
      <c r="BB367" s="92" t="b">
        <f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>_xlfn.AGGREGATE(9,6,CH367:CS367)-_xlfn.AGGREGATE(9,6,BV367:CG367)+12</f>
        <v>246</v>
      </c>
      <c r="BD367" s="74" t="s">
        <v>23</v>
      </c>
      <c r="BE367" s="3" t="s">
        <v>1375</v>
      </c>
      <c r="BF367" s="119">
        <v>3</v>
      </c>
      <c r="BG367" s="49" t="s">
        <v>1</v>
      </c>
      <c r="BH367" s="49" t="s">
        <v>1</v>
      </c>
      <c r="BJ367" s="75" t="s">
        <v>1288</v>
      </c>
      <c r="BK367" s="57" t="s">
        <v>1288</v>
      </c>
      <c r="BL367" s="57" t="s">
        <v>1288</v>
      </c>
      <c r="BM367" s="57" t="s">
        <v>1288</v>
      </c>
      <c r="BN367" s="57" t="s">
        <v>1288</v>
      </c>
      <c r="BO367" s="57" t="s">
        <v>1288</v>
      </c>
      <c r="BP367" s="57" t="s">
        <v>1288</v>
      </c>
      <c r="BQ367" s="57" t="s">
        <v>1288</v>
      </c>
      <c r="BR367" s="57" t="s">
        <v>1288</v>
      </c>
      <c r="BS367" s="57" t="s">
        <v>1288</v>
      </c>
      <c r="BT367" s="57" t="s">
        <v>1288</v>
      </c>
      <c r="BU367" s="57" t="s">
        <v>1288</v>
      </c>
      <c r="BV367" s="75">
        <f>E367</f>
        <v>223</v>
      </c>
      <c r="BW367" s="71">
        <f>I367</f>
        <v>256</v>
      </c>
      <c r="BX367" s="72">
        <f>M367</f>
        <v>261</v>
      </c>
      <c r="BY367" s="71" t="str">
        <f>Q367</f>
        <v>-</v>
      </c>
      <c r="BZ367" s="72">
        <f>U367</f>
        <v>312</v>
      </c>
      <c r="CA367" s="71" t="str">
        <f>Y367</f>
        <v>-</v>
      </c>
      <c r="CB367" s="72">
        <f>AC367</f>
        <v>357</v>
      </c>
      <c r="CC367" s="71">
        <f>AG367</f>
        <v>390</v>
      </c>
      <c r="CD367" s="72">
        <f>AK367</f>
        <v>396</v>
      </c>
      <c r="CE367" s="71">
        <f>AO367</f>
        <v>447</v>
      </c>
      <c r="CF367" s="72">
        <f>AS367</f>
        <v>514</v>
      </c>
      <c r="CG367" s="71">
        <f>AW367</f>
        <v>538</v>
      </c>
      <c r="CH367" s="75">
        <f>G367</f>
        <v>255</v>
      </c>
      <c r="CI367" s="71">
        <f>K367</f>
        <v>260</v>
      </c>
      <c r="CJ367" s="72">
        <f>O367</f>
        <v>285</v>
      </c>
      <c r="CK367" s="72" t="str">
        <f>S367</f>
        <v>-</v>
      </c>
      <c r="CL367" s="72">
        <f>W367</f>
        <v>342</v>
      </c>
      <c r="CM367" s="72" t="str">
        <f>AA367</f>
        <v>-</v>
      </c>
      <c r="CN367" s="72">
        <f>AE367</f>
        <v>378</v>
      </c>
      <c r="CO367" s="72">
        <f>AI367</f>
        <v>392</v>
      </c>
      <c r="CP367" s="72">
        <f>AM367</f>
        <v>432</v>
      </c>
      <c r="CQ367" s="72">
        <f>AQ367</f>
        <v>493</v>
      </c>
      <c r="CR367" s="72">
        <f>AU367</f>
        <v>537</v>
      </c>
      <c r="CS367" s="72">
        <f>AY367</f>
        <v>554</v>
      </c>
      <c r="CT367" s="23">
        <f>M367-K367</f>
        <v>1</v>
      </c>
    </row>
    <row r="368" spans="1:1030" s="12" customFormat="1" x14ac:dyDescent="0.2">
      <c r="A368" s="9" t="str">
        <f>CONCATENATE(B368,"_",C368)</f>
        <v>smo_human_6OT0</v>
      </c>
      <c r="B368" s="9" t="s">
        <v>33</v>
      </c>
      <c r="C368" s="9" t="s">
        <v>1581</v>
      </c>
      <c r="D368" s="9" t="str">
        <f>IFERROR(MID(VLOOKUP($B368,Seqs!$A:$B,2,0),E368,1),"")</f>
        <v>T</v>
      </c>
      <c r="E368" s="9">
        <v>223</v>
      </c>
      <c r="F368" s="9" t="str">
        <f>IFERROR(MID(VLOOKUP($B368,Seqs!$A:$B,2,0),G368,1),"")</f>
        <v>D</v>
      </c>
      <c r="G368" s="9">
        <v>255</v>
      </c>
      <c r="H368" s="9" t="str">
        <f>IFERROR(MID(VLOOKUP($B368,Seqs!$A:$B,2,0),I368,1),"")</f>
        <v>W</v>
      </c>
      <c r="I368" s="109">
        <v>256</v>
      </c>
      <c r="J368" s="9" t="str">
        <f>IFERROR(MID(VLOOKUP($B368,Seqs!$A:$B,2,0),K368,1),"")</f>
        <v>N</v>
      </c>
      <c r="K368" s="109">
        <v>260</v>
      </c>
      <c r="L368" s="9" t="str">
        <f>IFERROR(MID(VLOOKUP($B368,Seqs!$A:$B,2,0),M368,1),"")</f>
        <v>P</v>
      </c>
      <c r="M368" s="9">
        <v>263</v>
      </c>
      <c r="N368" s="9" t="str">
        <f>IFERROR(MID(VLOOKUP($B368,Seqs!$A:$B,2,0),O368,1),"")</f>
        <v>A</v>
      </c>
      <c r="O368" s="9">
        <v>283</v>
      </c>
      <c r="P368" s="9" t="str">
        <f>IFERROR(MID(VLOOKUP($B368,Seqs!$A:$B,2,0),Q368,1),"")</f>
        <v/>
      </c>
      <c r="Q368" s="9" t="s">
        <v>23</v>
      </c>
      <c r="R368" s="9" t="str">
        <f>IFERROR(MID(VLOOKUP($B368,Seqs!$A:$B,2,0),S368,1),"")</f>
        <v/>
      </c>
      <c r="S368" s="9" t="s">
        <v>23</v>
      </c>
      <c r="T368" s="9" t="str">
        <f>IFERROR(MID(VLOOKUP($B368,Seqs!$A:$B,2,0),U368,1),"")</f>
        <v>C</v>
      </c>
      <c r="U368" s="9">
        <v>314</v>
      </c>
      <c r="V368" s="9" t="str">
        <f>IFERROR(MID(VLOOKUP($B368,Seqs!$A:$B,2,0),W368,1),"")</f>
        <v>A</v>
      </c>
      <c r="W368" s="9">
        <v>345</v>
      </c>
      <c r="X368" s="9" t="str">
        <f>IFERROR(MID(VLOOKUP($B368,Seqs!$A:$B,2,0),Y368,1),"")</f>
        <v/>
      </c>
      <c r="Y368" s="9" t="s">
        <v>23</v>
      </c>
      <c r="Z368" s="9" t="str">
        <f>IFERROR(MID(VLOOKUP($B368,Seqs!$A:$B,2,0),AA368,1),"")</f>
        <v/>
      </c>
      <c r="AA368" s="9" t="s">
        <v>23</v>
      </c>
      <c r="AB368" s="9" t="str">
        <f>IFERROR(MID(VLOOKUP($B368,Seqs!$A:$B,2,0),AC368,1),"")</f>
        <v>K</v>
      </c>
      <c r="AC368" s="9">
        <v>356</v>
      </c>
      <c r="AD368" s="9" t="str">
        <f>IFERROR(MID(VLOOKUP($B368,Seqs!$A:$B,2,0),AE368,1),"")</f>
        <v>L</v>
      </c>
      <c r="AE368" s="9">
        <v>376</v>
      </c>
      <c r="AF368" s="9" t="str">
        <f>IFERROR(MID(VLOOKUP($B368,Seqs!$A:$B,2,0),AG368,1),"")</f>
        <v>C</v>
      </c>
      <c r="AG368" s="9">
        <v>390</v>
      </c>
      <c r="AH368" s="9" t="str">
        <f>IFERROR(MID(VLOOKUP($B368,Seqs!$A:$B,2,0),AI368,1),"")</f>
        <v>V</v>
      </c>
      <c r="AI368" s="9">
        <v>392</v>
      </c>
      <c r="AJ368" s="9" t="str">
        <f>IFERROR(MID(VLOOKUP($B368,Seqs!$A:$B,2,0),AK368,1),"")</f>
        <v>A</v>
      </c>
      <c r="AK368" s="9">
        <v>406</v>
      </c>
      <c r="AL368" s="9" t="str">
        <f>IFERROR(MID(VLOOKUP($B368,Seqs!$A:$B,2,0),AM368,1),"")</f>
        <v>S</v>
      </c>
      <c r="AM368" s="9">
        <v>428</v>
      </c>
      <c r="AN368" s="9" t="str">
        <f>IFERROR(MID(VLOOKUP($B368,Seqs!$A:$B,2,0),AO368,1),"")</f>
        <v>S</v>
      </c>
      <c r="AO368" s="9">
        <v>438</v>
      </c>
      <c r="AP368" s="9" t="str">
        <f>IFERROR(MID(VLOOKUP($B368,Seqs!$A:$B,2,0),AQ368,1),"")</f>
        <v>V</v>
      </c>
      <c r="AQ368" s="9">
        <v>494</v>
      </c>
      <c r="AR368" s="9" t="str">
        <f>IFERROR(MID(VLOOKUP($B368,Seqs!$A:$B,2,0),AS368,1),"")</f>
        <v>L</v>
      </c>
      <c r="AS368" s="9">
        <v>516</v>
      </c>
      <c r="AT368" s="9" t="str">
        <f>IFERROR(MID(VLOOKUP($B368,Seqs!$A:$B,2,0),AU368,1),"")</f>
        <v>W</v>
      </c>
      <c r="AU368" s="9">
        <v>537</v>
      </c>
      <c r="AV368" s="9" t="str">
        <f>IFERROR(MID(VLOOKUP($B368,Seqs!$A:$B,2,0),AW368,1),"")</f>
        <v>A</v>
      </c>
      <c r="AW368" s="9">
        <v>540</v>
      </c>
      <c r="AX368" s="9" t="str">
        <f>IFERROR(MID(VLOOKUP($B368,Seqs!$A:$B,2,0),AY368,1),"")</f>
        <v>L</v>
      </c>
      <c r="AY368" s="9">
        <v>552</v>
      </c>
      <c r="AZ368" s="135" t="str">
        <f>VLOOKUP(B368,Classification!A:D,2,0)</f>
        <v>F</v>
      </c>
      <c r="BA368" s="98" t="str">
        <f>VLOOKUP(B368,Classification!A:D,4,0)</f>
        <v>Frizzled</v>
      </c>
      <c r="BB368" s="136" t="b">
        <f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109">
        <f>_xlfn.AGGREGATE(9,6,CH368:CS368)-_xlfn.AGGREGATE(9,6,BV368:CG368)+12</f>
        <v>232</v>
      </c>
      <c r="BD368" s="124" t="s">
        <v>1376</v>
      </c>
      <c r="BE368" s="9" t="s">
        <v>1292</v>
      </c>
      <c r="BF368" s="120">
        <v>3.84</v>
      </c>
      <c r="BG368" s="51" t="s">
        <v>1423</v>
      </c>
      <c r="BH368" s="51" t="s">
        <v>1423</v>
      </c>
      <c r="BI368" s="9"/>
      <c r="BJ368" s="137" t="s">
        <v>1288</v>
      </c>
      <c r="BK368" s="112" t="s">
        <v>1288</v>
      </c>
      <c r="BL368" s="112" t="s">
        <v>1288</v>
      </c>
      <c r="BM368" s="112" t="s">
        <v>1288</v>
      </c>
      <c r="BN368" s="112" t="s">
        <v>1288</v>
      </c>
      <c r="BO368" s="112" t="s">
        <v>1288</v>
      </c>
      <c r="BP368" s="112" t="s">
        <v>1288</v>
      </c>
      <c r="BQ368" s="112" t="s">
        <v>1288</v>
      </c>
      <c r="BR368" s="112" t="s">
        <v>1288</v>
      </c>
      <c r="BS368" s="112" t="s">
        <v>1288</v>
      </c>
      <c r="BT368" s="112" t="s">
        <v>1288</v>
      </c>
      <c r="BU368" s="112" t="s">
        <v>1288</v>
      </c>
      <c r="BV368" s="137">
        <f>E368</f>
        <v>223</v>
      </c>
      <c r="BW368" s="113">
        <f>I368</f>
        <v>256</v>
      </c>
      <c r="BX368" s="114">
        <f>M368</f>
        <v>263</v>
      </c>
      <c r="BY368" s="113" t="str">
        <f>Q368</f>
        <v>-</v>
      </c>
      <c r="BZ368" s="114">
        <f>U368</f>
        <v>314</v>
      </c>
      <c r="CA368" s="113" t="str">
        <f>Y368</f>
        <v>-</v>
      </c>
      <c r="CB368" s="114">
        <f>AC368</f>
        <v>356</v>
      </c>
      <c r="CC368" s="113">
        <f>AG368</f>
        <v>390</v>
      </c>
      <c r="CD368" s="114">
        <f>AK368</f>
        <v>406</v>
      </c>
      <c r="CE368" s="113">
        <f>AO368</f>
        <v>438</v>
      </c>
      <c r="CF368" s="114">
        <f>AS368</f>
        <v>516</v>
      </c>
      <c r="CG368" s="113">
        <f>AW368</f>
        <v>540</v>
      </c>
      <c r="CH368" s="137">
        <f>G368</f>
        <v>255</v>
      </c>
      <c r="CI368" s="113">
        <f>K368</f>
        <v>260</v>
      </c>
      <c r="CJ368" s="114">
        <f>O368</f>
        <v>283</v>
      </c>
      <c r="CK368" s="114" t="str">
        <f>S368</f>
        <v>-</v>
      </c>
      <c r="CL368" s="114">
        <f>W368</f>
        <v>345</v>
      </c>
      <c r="CM368" s="114" t="str">
        <f>AA368</f>
        <v>-</v>
      </c>
      <c r="CN368" s="114">
        <f>AE368</f>
        <v>376</v>
      </c>
      <c r="CO368" s="114">
        <f>AI368</f>
        <v>392</v>
      </c>
      <c r="CP368" s="114">
        <f>AM368</f>
        <v>428</v>
      </c>
      <c r="CQ368" s="114">
        <f>AQ368</f>
        <v>494</v>
      </c>
      <c r="CR368" s="114">
        <f>AU368</f>
        <v>537</v>
      </c>
      <c r="CS368" s="114">
        <f>AY368</f>
        <v>552</v>
      </c>
      <c r="CT368" s="109">
        <f>M368-K368</f>
        <v>3</v>
      </c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  <c r="ZW368" s="9"/>
      <c r="ZX368" s="9"/>
      <c r="ZY368" s="9"/>
      <c r="ZZ368" s="9"/>
      <c r="AAA368" s="9"/>
      <c r="AAB368" s="9"/>
      <c r="AAC368" s="9"/>
      <c r="AAD368" s="9"/>
      <c r="AAE368" s="9"/>
      <c r="AAF368" s="9"/>
      <c r="AAG368" s="9"/>
      <c r="AAH368" s="9"/>
      <c r="AAI368" s="9"/>
      <c r="AAJ368" s="9"/>
      <c r="AAK368" s="9"/>
      <c r="AAL368" s="9"/>
      <c r="AAM368" s="9"/>
      <c r="AAN368" s="9"/>
      <c r="AAO368" s="9"/>
      <c r="AAP368" s="9"/>
      <c r="AAQ368" s="9"/>
      <c r="AAR368" s="9"/>
      <c r="AAS368" s="9"/>
      <c r="AAT368" s="9"/>
      <c r="AAU368" s="9"/>
      <c r="AAV368" s="9"/>
      <c r="AAW368" s="9"/>
      <c r="AAX368" s="9"/>
      <c r="AAY368" s="9"/>
      <c r="AAZ368" s="9"/>
      <c r="ABA368" s="9"/>
      <c r="ABB368" s="9"/>
      <c r="ABC368" s="9"/>
      <c r="ABD368" s="9"/>
      <c r="ABE368" s="9"/>
      <c r="ABF368" s="9"/>
      <c r="ABG368" s="9"/>
      <c r="ABH368" s="9"/>
      <c r="ABI368" s="9"/>
      <c r="ABJ368" s="9"/>
      <c r="ABK368" s="9"/>
      <c r="ABL368" s="9"/>
      <c r="ABM368" s="9"/>
      <c r="ABN368" s="9"/>
      <c r="ABO368" s="9"/>
      <c r="ABP368" s="9"/>
      <c r="ABQ368" s="9"/>
      <c r="ABR368" s="9"/>
      <c r="ABS368" s="9"/>
      <c r="ABT368" s="9"/>
      <c r="ABU368" s="9"/>
      <c r="ABV368" s="9"/>
      <c r="ABW368" s="9"/>
      <c r="ABX368" s="9"/>
      <c r="ABY368" s="9"/>
      <c r="ABZ368" s="9"/>
      <c r="ACA368" s="9"/>
      <c r="ACB368" s="9"/>
      <c r="ACC368" s="9"/>
      <c r="ACD368" s="9"/>
      <c r="ACE368" s="9"/>
      <c r="ACF368" s="9"/>
      <c r="ACG368" s="9"/>
      <c r="ACH368" s="9"/>
      <c r="ACI368" s="9"/>
      <c r="ACJ368" s="9"/>
      <c r="ACK368" s="9"/>
      <c r="ACL368" s="9"/>
      <c r="ACM368" s="9"/>
      <c r="ACN368" s="9"/>
      <c r="ACO368" s="9"/>
      <c r="ACP368" s="9"/>
      <c r="ACQ368" s="9"/>
      <c r="ACR368" s="9"/>
      <c r="ACS368" s="9"/>
      <c r="ACT368" s="9"/>
      <c r="ACU368" s="9"/>
      <c r="ACV368" s="9"/>
      <c r="ACW368" s="9"/>
      <c r="ACX368" s="9"/>
      <c r="ACY368" s="9"/>
      <c r="ACZ368" s="9"/>
      <c r="ADA368" s="9"/>
      <c r="ADB368" s="9"/>
      <c r="ADC368" s="9"/>
      <c r="ADD368" s="9"/>
      <c r="ADE368" s="9"/>
      <c r="ADF368" s="9"/>
      <c r="ADG368" s="9"/>
      <c r="ADH368" s="9"/>
      <c r="ADI368" s="9"/>
      <c r="ADJ368" s="9"/>
      <c r="ADK368" s="9"/>
      <c r="ADL368" s="9"/>
      <c r="ADM368" s="9"/>
      <c r="ADN368" s="9"/>
      <c r="ADO368" s="9"/>
      <c r="ADP368" s="9"/>
      <c r="ADQ368" s="9"/>
      <c r="ADR368" s="9"/>
      <c r="ADS368" s="9"/>
      <c r="ADT368" s="9"/>
      <c r="ADU368" s="9"/>
      <c r="ADV368" s="9"/>
      <c r="ADW368" s="9"/>
      <c r="ADX368" s="9"/>
      <c r="ADY368" s="9"/>
      <c r="ADZ368" s="9"/>
      <c r="AEA368" s="9"/>
      <c r="AEB368" s="9"/>
      <c r="AEC368" s="9"/>
      <c r="AED368" s="9"/>
      <c r="AEE368" s="9"/>
      <c r="AEF368" s="9"/>
      <c r="AEG368" s="9"/>
      <c r="AEH368" s="9"/>
      <c r="AEI368" s="9"/>
      <c r="AEJ368" s="9"/>
      <c r="AEK368" s="9"/>
      <c r="AEL368" s="9"/>
      <c r="AEM368" s="9"/>
      <c r="AEN368" s="9"/>
      <c r="AEO368" s="9"/>
      <c r="AEP368" s="9"/>
      <c r="AEQ368" s="9"/>
      <c r="AER368" s="9"/>
      <c r="AES368" s="9"/>
      <c r="AET368" s="9"/>
      <c r="AEU368" s="9"/>
      <c r="AEV368" s="9"/>
      <c r="AEW368" s="9"/>
      <c r="AEX368" s="9"/>
      <c r="AEY368" s="9"/>
      <c r="AEZ368" s="9"/>
      <c r="AFA368" s="9"/>
      <c r="AFB368" s="9"/>
      <c r="AFC368" s="9"/>
      <c r="AFD368" s="9"/>
      <c r="AFE368" s="9"/>
      <c r="AFF368" s="9"/>
      <c r="AFG368" s="9"/>
      <c r="AFH368" s="9"/>
      <c r="AFI368" s="9"/>
      <c r="AFJ368" s="9"/>
      <c r="AFK368" s="9"/>
      <c r="AFL368" s="9"/>
      <c r="AFM368" s="9"/>
      <c r="AFN368" s="9"/>
      <c r="AFO368" s="9"/>
      <c r="AFP368" s="9"/>
      <c r="AFQ368" s="9"/>
      <c r="AFR368" s="9"/>
      <c r="AFS368" s="9"/>
      <c r="AFT368" s="9"/>
      <c r="AFU368" s="9"/>
      <c r="AFV368" s="9"/>
      <c r="AFW368" s="9"/>
      <c r="AFX368" s="9"/>
      <c r="AFY368" s="9"/>
      <c r="AFZ368" s="9"/>
      <c r="AGA368" s="9"/>
      <c r="AGB368" s="9"/>
      <c r="AGC368" s="9"/>
      <c r="AGD368" s="9"/>
      <c r="AGE368" s="9"/>
      <c r="AGF368" s="9"/>
      <c r="AGG368" s="9"/>
      <c r="AGH368" s="9"/>
      <c r="AGI368" s="9"/>
      <c r="AGJ368" s="9"/>
      <c r="AGK368" s="9"/>
      <c r="AGL368" s="9"/>
      <c r="AGM368" s="9"/>
      <c r="AGN368" s="9"/>
      <c r="AGO368" s="9"/>
      <c r="AGP368" s="9"/>
      <c r="AGQ368" s="9"/>
      <c r="AGR368" s="9"/>
      <c r="AGS368" s="9"/>
      <c r="AGT368" s="9"/>
      <c r="AGU368" s="9"/>
      <c r="AGV368" s="9"/>
      <c r="AGW368" s="9"/>
      <c r="AGX368" s="9"/>
      <c r="AGY368" s="9"/>
      <c r="AGZ368" s="9"/>
      <c r="AHA368" s="9"/>
      <c r="AHB368" s="9"/>
      <c r="AHC368" s="9"/>
      <c r="AHD368" s="9"/>
      <c r="AHE368" s="9"/>
      <c r="AHF368" s="9"/>
      <c r="AHG368" s="9"/>
      <c r="AHH368" s="9"/>
      <c r="AHI368" s="9"/>
      <c r="AHJ368" s="9"/>
      <c r="AHK368" s="9"/>
      <c r="AHL368" s="9"/>
      <c r="AHM368" s="9"/>
      <c r="AHN368" s="9"/>
      <c r="AHO368" s="9"/>
      <c r="AHP368" s="9"/>
      <c r="AHQ368" s="9"/>
      <c r="AHR368" s="9"/>
      <c r="AHS368" s="9"/>
      <c r="AHT368" s="9"/>
      <c r="AHU368" s="9"/>
      <c r="AHV368" s="9"/>
      <c r="AHW368" s="9"/>
      <c r="AHX368" s="9"/>
      <c r="AHY368" s="9"/>
      <c r="AHZ368" s="9"/>
      <c r="AIA368" s="9"/>
      <c r="AIB368" s="9"/>
      <c r="AIC368" s="9"/>
      <c r="AID368" s="9"/>
      <c r="AIE368" s="9"/>
      <c r="AIF368" s="9"/>
      <c r="AIG368" s="9"/>
      <c r="AIH368" s="9"/>
      <c r="AII368" s="9"/>
      <c r="AIJ368" s="9"/>
      <c r="AIK368" s="9"/>
      <c r="AIL368" s="9"/>
      <c r="AIM368" s="9"/>
      <c r="AIN368" s="9"/>
      <c r="AIO368" s="9"/>
      <c r="AIP368" s="9"/>
      <c r="AIQ368" s="9"/>
      <c r="AIR368" s="9"/>
      <c r="AIS368" s="9"/>
      <c r="AIT368" s="9"/>
      <c r="AIU368" s="9"/>
      <c r="AIV368" s="9"/>
      <c r="AIW368" s="9"/>
      <c r="AIX368" s="9"/>
      <c r="AIY368" s="9"/>
      <c r="AIZ368" s="9"/>
      <c r="AJA368" s="9"/>
      <c r="AJB368" s="9"/>
      <c r="AJC368" s="9"/>
      <c r="AJD368" s="9"/>
      <c r="AJE368" s="9"/>
      <c r="AJF368" s="9"/>
      <c r="AJG368" s="9"/>
      <c r="AJH368" s="9"/>
      <c r="AJI368" s="9"/>
      <c r="AJJ368" s="9"/>
      <c r="AJK368" s="9"/>
      <c r="AJL368" s="9"/>
      <c r="AJM368" s="9"/>
      <c r="AJN368" s="9"/>
      <c r="AJO368" s="9"/>
      <c r="AJP368" s="9"/>
      <c r="AJQ368" s="9"/>
      <c r="AJR368" s="9"/>
      <c r="AJS368" s="9"/>
      <c r="AJT368" s="9"/>
      <c r="AJU368" s="9"/>
      <c r="AJV368" s="9"/>
      <c r="AJW368" s="9"/>
      <c r="AJX368" s="9"/>
      <c r="AJY368" s="9"/>
      <c r="AJZ368" s="9"/>
      <c r="AKA368" s="9"/>
      <c r="AKB368" s="9"/>
      <c r="AKC368" s="9"/>
      <c r="AKD368" s="9"/>
      <c r="AKE368" s="9"/>
      <c r="AKF368" s="9"/>
      <c r="AKG368" s="9"/>
      <c r="AKH368" s="9"/>
      <c r="AKI368" s="9"/>
      <c r="AKJ368" s="9"/>
      <c r="AKK368" s="9"/>
      <c r="AKL368" s="9"/>
      <c r="AKM368" s="9"/>
      <c r="AKN368" s="9"/>
      <c r="AKO368" s="9"/>
      <c r="AKP368" s="9"/>
      <c r="AKQ368" s="9"/>
      <c r="AKR368" s="9"/>
      <c r="AKS368" s="9"/>
      <c r="AKT368" s="9"/>
      <c r="AKU368" s="9"/>
      <c r="AKV368" s="9"/>
      <c r="AKW368" s="9"/>
      <c r="AKX368" s="9"/>
      <c r="AKY368" s="9"/>
      <c r="AKZ368" s="9"/>
      <c r="ALA368" s="9"/>
      <c r="ALB368" s="9"/>
      <c r="ALC368" s="9"/>
      <c r="ALD368" s="9"/>
      <c r="ALE368" s="9"/>
      <c r="ALF368" s="9"/>
      <c r="ALG368" s="9"/>
      <c r="ALH368" s="9"/>
      <c r="ALI368" s="9"/>
      <c r="ALJ368" s="9"/>
      <c r="ALK368" s="9"/>
      <c r="ALL368" s="9"/>
      <c r="ALM368" s="9"/>
      <c r="ALN368" s="9"/>
      <c r="ALO368" s="9"/>
      <c r="ALP368" s="9"/>
      <c r="ALQ368" s="9"/>
      <c r="ALR368" s="9"/>
      <c r="ALS368" s="9"/>
      <c r="ALT368" s="9"/>
      <c r="ALU368" s="9"/>
      <c r="ALV368" s="9"/>
      <c r="ALW368" s="9"/>
      <c r="ALX368" s="9"/>
      <c r="ALY368" s="9"/>
      <c r="ALZ368" s="9"/>
      <c r="AMA368" s="9"/>
      <c r="AMB368" s="9"/>
      <c r="AMC368" s="9"/>
      <c r="AMD368" s="9"/>
      <c r="AME368" s="9"/>
      <c r="AMF368" s="9"/>
      <c r="AMG368" s="9"/>
      <c r="AMH368" s="9"/>
      <c r="AMI368" s="9"/>
      <c r="AMJ368" s="9"/>
      <c r="AMK368" s="9"/>
      <c r="AML368" s="9"/>
      <c r="AMM368" s="9"/>
      <c r="AMN368" s="9"/>
      <c r="AMO368" s="9"/>
    </row>
    <row r="369" spans="1:98" x14ac:dyDescent="0.2">
      <c r="A369" s="3" t="str">
        <f>CONCATENATE(B369,"_",C369)</f>
        <v>q98sw5_xenla__wt</v>
      </c>
      <c r="B369" s="3" t="s">
        <v>1496</v>
      </c>
      <c r="C369" s="3" t="s">
        <v>100</v>
      </c>
      <c r="D369" s="3" t="str">
        <f>IFERROR(MID(VLOOKUP($B369,Seqs!$A:$B,2,0),E369,1),"")</f>
        <v>T</v>
      </c>
      <c r="E369" s="3">
        <v>196</v>
      </c>
      <c r="F369" s="3" t="str">
        <f>IFERROR(MID(VLOOKUP($B369,Seqs!$A:$B,2,0),G369,1),"")</f>
        <v>D</v>
      </c>
      <c r="G369" s="3">
        <v>228</v>
      </c>
      <c r="H369" s="3" t="str">
        <f>IFERROR(MID(VLOOKUP($B369,Seqs!$A:$B,2,0),I369,1),"")</f>
        <v>W</v>
      </c>
      <c r="I369" s="23">
        <v>229</v>
      </c>
      <c r="J369" s="3" t="str">
        <f>IFERROR(MID(VLOOKUP($B369,Seqs!$A:$B,2,0),K369,1),"")</f>
        <v>N</v>
      </c>
      <c r="K369" s="23">
        <v>233</v>
      </c>
      <c r="L369" s="3" t="str">
        <f>IFERROR(MID(VLOOKUP($B369,Seqs!$A:$B,2,0),M369,1),"")</f>
        <v>R</v>
      </c>
      <c r="M369" s="3">
        <v>234</v>
      </c>
      <c r="N369" s="3" t="str">
        <f>IFERROR(MID(VLOOKUP($B369,Seqs!$A:$B,2,0),O369,1),"")</f>
        <v>A</v>
      </c>
      <c r="O369" s="3">
        <v>256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L</v>
      </c>
      <c r="U369" s="3">
        <v>285</v>
      </c>
      <c r="V369" s="3" t="str">
        <f>IFERROR(MID(VLOOKUP($B369,Seqs!$A:$B,2,0),W369,1),"")</f>
        <v>T</v>
      </c>
      <c r="W369" s="3">
        <v>321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L</v>
      </c>
      <c r="AC369" s="3">
        <v>326</v>
      </c>
      <c r="AD369" s="3" t="str">
        <f>IFERROR(MID(VLOOKUP($B369,Seqs!$A:$B,2,0),AE369,1),"")</f>
        <v>V</v>
      </c>
      <c r="AE369" s="3">
        <v>351</v>
      </c>
      <c r="AF369" s="3" t="str">
        <f>IFERROR(MID(VLOOKUP($B369,Seqs!$A:$B,2,0),AG369,1),"")</f>
        <v>C</v>
      </c>
      <c r="AG369" s="3">
        <v>363</v>
      </c>
      <c r="AH369" s="3" t="str">
        <f>IFERROR(MID(VLOOKUP($B369,Seqs!$A:$B,2,0),AI369,1),"")</f>
        <v>V</v>
      </c>
      <c r="AI369" s="3">
        <v>365</v>
      </c>
      <c r="AJ369" s="3" t="str">
        <f>IFERROR(MID(VLOOKUP($B369,Seqs!$A:$B,2,0),AK369,1),"")</f>
        <v>N</v>
      </c>
      <c r="AK369" s="3">
        <v>369</v>
      </c>
      <c r="AL369" s="3" t="str">
        <f>IFERROR(MID(VLOOKUP($B369,Seqs!$A:$B,2,0),AM369,1),"")</f>
        <v>H</v>
      </c>
      <c r="AM369" s="3">
        <v>406</v>
      </c>
      <c r="AN369" s="3" t="str">
        <f>IFERROR(MID(VLOOKUP($B369,Seqs!$A:$B,2,0),AO369,1),"")</f>
        <v>A</v>
      </c>
      <c r="AO369" s="3">
        <v>415</v>
      </c>
      <c r="AP369" s="3" t="str">
        <f>IFERROR(MID(VLOOKUP($B369,Seqs!$A:$B,2,0),AQ369,1),"")</f>
        <v>Q</v>
      </c>
      <c r="AQ369" s="3">
        <v>472</v>
      </c>
      <c r="AR369" s="3" t="str">
        <f>IFERROR(MID(VLOOKUP($B369,Seqs!$A:$B,2,0),AS369,1),"")</f>
        <v>S</v>
      </c>
      <c r="AS369" s="3">
        <v>487</v>
      </c>
      <c r="AT369" s="3" t="str">
        <f>IFERROR(MID(VLOOKUP($B369,Seqs!$A:$B,2,0),AU369,1),"")</f>
        <v>W</v>
      </c>
      <c r="AU369" s="3">
        <v>510</v>
      </c>
      <c r="AV369" s="3" t="str">
        <f>IFERROR(MID(VLOOKUP($B369,Seqs!$A:$B,2,0),AW369,1),"")</f>
        <v>T</v>
      </c>
      <c r="AW369" s="3">
        <v>511</v>
      </c>
      <c r="AX369" s="3" t="str">
        <f>IFERROR(MID(VLOOKUP($B369,Seqs!$A:$B,2,0),AY369,1),"")</f>
        <v>L</v>
      </c>
      <c r="AY369" s="3">
        <v>526</v>
      </c>
      <c r="AZ369" s="78" t="str">
        <f>VLOOKUP(B369,Classification!A:D,2,0)</f>
        <v>F</v>
      </c>
      <c r="BA369" s="94" t="str">
        <f>VLOOKUP(B369,Classification!A:D,4,0)</f>
        <v>Frizzled</v>
      </c>
      <c r="BB369" s="92" t="b">
        <f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>_xlfn.AGGREGATE(9,6,CH369:CS369)-_xlfn.AGGREGATE(9,6,BV369:CG369)+12</f>
        <v>265</v>
      </c>
      <c r="BD369" s="74" t="s">
        <v>23</v>
      </c>
      <c r="BE369" s="3" t="s">
        <v>1375</v>
      </c>
      <c r="BF369" s="119" t="s">
        <v>23</v>
      </c>
      <c r="BG369" s="49" t="s">
        <v>1</v>
      </c>
      <c r="BH369" s="49" t="s">
        <v>1</v>
      </c>
      <c r="BJ369" s="75" t="s">
        <v>1288</v>
      </c>
      <c r="BK369" s="57" t="s">
        <v>1288</v>
      </c>
      <c r="BL369" s="57" t="s">
        <v>1288</v>
      </c>
      <c r="BM369" s="57" t="s">
        <v>1288</v>
      </c>
      <c r="BN369" s="57" t="s">
        <v>1288</v>
      </c>
      <c r="BO369" s="57" t="s">
        <v>1288</v>
      </c>
      <c r="BP369" s="57" t="s">
        <v>1288</v>
      </c>
      <c r="BQ369" s="57" t="s">
        <v>1288</v>
      </c>
      <c r="BR369" s="57" t="s">
        <v>1288</v>
      </c>
      <c r="BS369" s="57" t="s">
        <v>1288</v>
      </c>
      <c r="BT369" s="57" t="s">
        <v>1288</v>
      </c>
      <c r="BU369" s="57" t="s">
        <v>1288</v>
      </c>
      <c r="BV369" s="75">
        <f>E369</f>
        <v>196</v>
      </c>
      <c r="BW369" s="71">
        <f>I369</f>
        <v>229</v>
      </c>
      <c r="BX369" s="72">
        <f>M369</f>
        <v>234</v>
      </c>
      <c r="BY369" s="71" t="str">
        <f>Q369</f>
        <v>-</v>
      </c>
      <c r="BZ369" s="72">
        <f>U369</f>
        <v>285</v>
      </c>
      <c r="CA369" s="71" t="str">
        <f>Y369</f>
        <v>-</v>
      </c>
      <c r="CB369" s="72">
        <f>AC369</f>
        <v>326</v>
      </c>
      <c r="CC369" s="71">
        <f>AG369</f>
        <v>363</v>
      </c>
      <c r="CD369" s="72">
        <f>AK369</f>
        <v>369</v>
      </c>
      <c r="CE369" s="71">
        <f>AO369</f>
        <v>415</v>
      </c>
      <c r="CF369" s="72">
        <f>AS369</f>
        <v>487</v>
      </c>
      <c r="CG369" s="71">
        <f>AW369</f>
        <v>511</v>
      </c>
      <c r="CH369" s="75">
        <f>G369</f>
        <v>228</v>
      </c>
      <c r="CI369" s="71">
        <f>K369</f>
        <v>233</v>
      </c>
      <c r="CJ369" s="72">
        <f>O369</f>
        <v>256</v>
      </c>
      <c r="CK369" s="72" t="str">
        <f>S369</f>
        <v>-</v>
      </c>
      <c r="CL369" s="72">
        <f>W369</f>
        <v>321</v>
      </c>
      <c r="CM369" s="72" t="str">
        <f>AA369</f>
        <v>-</v>
      </c>
      <c r="CN369" s="72">
        <f>AE369</f>
        <v>351</v>
      </c>
      <c r="CO369" s="72">
        <f>AI369</f>
        <v>365</v>
      </c>
      <c r="CP369" s="72">
        <f>AM369</f>
        <v>406</v>
      </c>
      <c r="CQ369" s="72">
        <f>AQ369</f>
        <v>472</v>
      </c>
      <c r="CR369" s="72">
        <f>AU369</f>
        <v>510</v>
      </c>
      <c r="CS369" s="72">
        <f>AY369</f>
        <v>526</v>
      </c>
      <c r="CT369" s="23">
        <f>M369-K369</f>
        <v>1</v>
      </c>
    </row>
    <row r="370" spans="1:98" x14ac:dyDescent="0.2">
      <c r="A370" s="3" t="str">
        <f>CONCATENATE(B370,"_",C370)</f>
        <v>q98sw5_xenla_6D32</v>
      </c>
      <c r="B370" s="3" t="s">
        <v>1496</v>
      </c>
      <c r="C370" s="3" t="s">
        <v>1495</v>
      </c>
      <c r="D370" s="3" t="str">
        <f>IFERROR(MID(VLOOKUP($B370,Seqs!$A:$B,2,0),E370,1),"")</f>
        <v>T</v>
      </c>
      <c r="E370" s="3">
        <v>196</v>
      </c>
      <c r="F370" s="3" t="str">
        <f>IFERROR(MID(VLOOKUP($B370,Seqs!$A:$B,2,0),G370,1),"")</f>
        <v>D</v>
      </c>
      <c r="G370" s="3">
        <v>228</v>
      </c>
      <c r="H370" s="3" t="str">
        <f>IFERROR(MID(VLOOKUP($B370,Seqs!$A:$B,2,0),I370,1),"")</f>
        <v>W</v>
      </c>
      <c r="I370" s="23">
        <v>229</v>
      </c>
      <c r="J370" s="3" t="str">
        <f>IFERROR(MID(VLOOKUP($B370,Seqs!$A:$B,2,0),K370,1),"")</f>
        <v>N</v>
      </c>
      <c r="K370" s="23">
        <v>233</v>
      </c>
      <c r="L370" s="3" t="str">
        <f>IFERROR(MID(VLOOKUP($B370,Seqs!$A:$B,2,0),M370,1),"")</f>
        <v>R</v>
      </c>
      <c r="M370" s="3">
        <v>234</v>
      </c>
      <c r="N370" s="3" t="str">
        <f>IFERROR(MID(VLOOKUP($B370,Seqs!$A:$B,2,0),O370,1),"")</f>
        <v>A</v>
      </c>
      <c r="O370" s="3">
        <v>256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L</v>
      </c>
      <c r="U370" s="3">
        <v>285</v>
      </c>
      <c r="V370" s="3" t="str">
        <f>IFERROR(MID(VLOOKUP($B370,Seqs!$A:$B,2,0),W370,1),"")</f>
        <v>K</v>
      </c>
      <c r="W370" s="3">
        <v>317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K</v>
      </c>
      <c r="AC370" s="3">
        <v>329</v>
      </c>
      <c r="AD370" s="3" t="str">
        <f>IFERROR(MID(VLOOKUP($B370,Seqs!$A:$B,2,0),AE370,1),"")</f>
        <v>V</v>
      </c>
      <c r="AE370" s="3">
        <v>351</v>
      </c>
      <c r="AF370" s="3" t="str">
        <f>IFERROR(MID(VLOOKUP($B370,Seqs!$A:$B,2,0),AG370,1),"")</f>
        <v>C</v>
      </c>
      <c r="AG370" s="3">
        <v>363</v>
      </c>
      <c r="AH370" s="3" t="str">
        <f>IFERROR(MID(VLOOKUP($B370,Seqs!$A:$B,2,0),AI370,1),"")</f>
        <v>V</v>
      </c>
      <c r="AI370" s="3">
        <v>365</v>
      </c>
      <c r="AJ370" s="3" t="str">
        <f>IFERROR(MID(VLOOKUP($B370,Seqs!$A:$B,2,0),AK370,1),"")</f>
        <v>N</v>
      </c>
      <c r="AK370" s="3">
        <v>369</v>
      </c>
      <c r="AL370" s="3" t="str">
        <f>IFERROR(MID(VLOOKUP($B370,Seqs!$A:$B,2,0),AM370,1),"")</f>
        <v>S</v>
      </c>
      <c r="AM370" s="3">
        <v>401</v>
      </c>
      <c r="AN370" s="3" t="str">
        <f>IFERROR(MID(VLOOKUP($B370,Seqs!$A:$B,2,0),AO370,1),"")</f>
        <v>S</v>
      </c>
      <c r="AO370" s="3">
        <v>416</v>
      </c>
      <c r="AP370" s="3" t="str">
        <f>IFERROR(MID(VLOOKUP($B370,Seqs!$A:$B,2,0),AQ370,1),"")</f>
        <v>Q</v>
      </c>
      <c r="AQ370" s="3">
        <v>472</v>
      </c>
      <c r="AR370" s="3" t="str">
        <f>IFERROR(MID(VLOOKUP($B370,Seqs!$A:$B,2,0),AS370,1),"")</f>
        <v>S</v>
      </c>
      <c r="AS370" s="3">
        <v>487</v>
      </c>
      <c r="AT370" s="3" t="str">
        <f>IFERROR(MID(VLOOKUP($B370,Seqs!$A:$B,2,0),AU370,1),"")</f>
        <v>W</v>
      </c>
      <c r="AU370" s="3">
        <v>510</v>
      </c>
      <c r="AV370" s="3" t="str">
        <f>IFERROR(MID(VLOOKUP($B370,Seqs!$A:$B,2,0),AW370,1),"")</f>
        <v>T</v>
      </c>
      <c r="AW370" s="3">
        <v>511</v>
      </c>
      <c r="AX370" s="3" t="str">
        <f>IFERROR(MID(VLOOKUP($B370,Seqs!$A:$B,2,0),AY370,1),"")</f>
        <v>R</v>
      </c>
      <c r="AY370" s="3">
        <v>520</v>
      </c>
      <c r="AZ370" s="78" t="str">
        <f>VLOOKUP(B370,Classification!A:D,2,0)</f>
        <v>F</v>
      </c>
      <c r="BA370" s="94" t="str">
        <f>VLOOKUP(B370,Classification!A:D,4,0)</f>
        <v>Frizzled</v>
      </c>
      <c r="BB370" s="92" t="b">
        <f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>_xlfn.AGGREGATE(9,6,CH370:CS370)-_xlfn.AGGREGATE(9,6,BV370:CG370)+12</f>
        <v>246</v>
      </c>
      <c r="BD370" s="74" t="s">
        <v>1377</v>
      </c>
      <c r="BE370" s="3" t="s">
        <v>1375</v>
      </c>
      <c r="BF370" s="119">
        <v>3.7509999999999999</v>
      </c>
      <c r="BG370" s="49" t="s">
        <v>1</v>
      </c>
      <c r="BH370" s="49" t="s">
        <v>1</v>
      </c>
      <c r="BJ370" s="75" t="s">
        <v>1288</v>
      </c>
      <c r="BK370" s="57" t="s">
        <v>1288</v>
      </c>
      <c r="BL370" s="57" t="s">
        <v>1288</v>
      </c>
      <c r="BM370" s="57" t="s">
        <v>1288</v>
      </c>
      <c r="BN370" s="57" t="s">
        <v>1288</v>
      </c>
      <c r="BO370" s="57" t="s">
        <v>1288</v>
      </c>
      <c r="BP370" s="57" t="s">
        <v>1288</v>
      </c>
      <c r="BQ370" s="57" t="s">
        <v>1288</v>
      </c>
      <c r="BR370" s="57" t="s">
        <v>1288</v>
      </c>
      <c r="BS370" s="57" t="s">
        <v>1288</v>
      </c>
      <c r="BT370" s="57" t="s">
        <v>1288</v>
      </c>
      <c r="BU370" s="57" t="s">
        <v>1288</v>
      </c>
      <c r="BV370" s="75">
        <f>E370</f>
        <v>196</v>
      </c>
      <c r="BW370" s="71">
        <f>I370</f>
        <v>229</v>
      </c>
      <c r="BX370" s="72">
        <f>M370</f>
        <v>234</v>
      </c>
      <c r="BY370" s="71" t="str">
        <f>Q370</f>
        <v>-</v>
      </c>
      <c r="BZ370" s="72">
        <f>U370</f>
        <v>285</v>
      </c>
      <c r="CA370" s="71" t="str">
        <f>Y370</f>
        <v>-</v>
      </c>
      <c r="CB370" s="72">
        <f>AC370</f>
        <v>329</v>
      </c>
      <c r="CC370" s="71">
        <f>AG370</f>
        <v>363</v>
      </c>
      <c r="CD370" s="72">
        <f>AK370</f>
        <v>369</v>
      </c>
      <c r="CE370" s="71">
        <f>AO370</f>
        <v>416</v>
      </c>
      <c r="CF370" s="72">
        <f>AS370</f>
        <v>487</v>
      </c>
      <c r="CG370" s="71">
        <f>AW370</f>
        <v>511</v>
      </c>
      <c r="CH370" s="75">
        <f>G370</f>
        <v>228</v>
      </c>
      <c r="CI370" s="71">
        <f>K370</f>
        <v>233</v>
      </c>
      <c r="CJ370" s="72">
        <f>O370</f>
        <v>256</v>
      </c>
      <c r="CK370" s="72" t="str">
        <f>S370</f>
        <v>-</v>
      </c>
      <c r="CL370" s="72">
        <f>W370</f>
        <v>317</v>
      </c>
      <c r="CM370" s="72" t="str">
        <f>AA370</f>
        <v>-</v>
      </c>
      <c r="CN370" s="72">
        <f>AE370</f>
        <v>351</v>
      </c>
      <c r="CO370" s="72">
        <f>AI370</f>
        <v>365</v>
      </c>
      <c r="CP370" s="72">
        <f>AM370</f>
        <v>401</v>
      </c>
      <c r="CQ370" s="72">
        <f>AQ370</f>
        <v>472</v>
      </c>
      <c r="CR370" s="72">
        <f>AU370</f>
        <v>510</v>
      </c>
      <c r="CS370" s="72">
        <f>AY370</f>
        <v>520</v>
      </c>
      <c r="CT370" s="23">
        <f>M370-K370</f>
        <v>1</v>
      </c>
    </row>
    <row r="371" spans="1:98" x14ac:dyDescent="0.2">
      <c r="A371" s="3" t="str">
        <f>CONCATENATE(B371,"_",C371)</f>
        <v>q98sw5_xenla_6D35</v>
      </c>
      <c r="B371" s="3" t="s">
        <v>1496</v>
      </c>
      <c r="C371" s="3" t="s">
        <v>1498</v>
      </c>
      <c r="D371" s="3" t="str">
        <f>IFERROR(MID(VLOOKUP($B371,Seqs!$A:$B,2,0),E371,1),"")</f>
        <v>T</v>
      </c>
      <c r="E371" s="3">
        <v>196</v>
      </c>
      <c r="F371" s="3" t="str">
        <f>IFERROR(MID(VLOOKUP($B371,Seqs!$A:$B,2,0),G371,1),"")</f>
        <v>D</v>
      </c>
      <c r="G371" s="3">
        <v>228</v>
      </c>
      <c r="H371" s="3" t="str">
        <f>IFERROR(MID(VLOOKUP($B371,Seqs!$A:$B,2,0),I371,1),"")</f>
        <v>W</v>
      </c>
      <c r="I371" s="23">
        <v>229</v>
      </c>
      <c r="J371" s="3" t="str">
        <f>IFERROR(MID(VLOOKUP($B371,Seqs!$A:$B,2,0),K371,1),"")</f>
        <v>N</v>
      </c>
      <c r="K371" s="23">
        <v>233</v>
      </c>
      <c r="L371" s="3" t="str">
        <f>IFERROR(MID(VLOOKUP($B371,Seqs!$A:$B,2,0),M371,1),"")</f>
        <v>R</v>
      </c>
      <c r="M371" s="3">
        <v>234</v>
      </c>
      <c r="N371" s="3" t="str">
        <f>IFERROR(MID(VLOOKUP($B371,Seqs!$A:$B,2,0),O371,1),"")</f>
        <v>A</v>
      </c>
      <c r="O371" s="3">
        <v>256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L</v>
      </c>
      <c r="U371" s="3">
        <v>285</v>
      </c>
      <c r="V371" s="3" t="str">
        <f>IFERROR(MID(VLOOKUP($B371,Seqs!$A:$B,2,0),W371,1),"")</f>
        <v>K</v>
      </c>
      <c r="W371" s="3">
        <v>317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K</v>
      </c>
      <c r="AC371" s="3">
        <v>329</v>
      </c>
      <c r="AD371" s="3" t="str">
        <f>IFERROR(MID(VLOOKUP($B371,Seqs!$A:$B,2,0),AE371,1),"")</f>
        <v>V</v>
      </c>
      <c r="AE371" s="3">
        <v>351</v>
      </c>
      <c r="AF371" s="3" t="str">
        <f>IFERROR(MID(VLOOKUP($B371,Seqs!$A:$B,2,0),AG371,1),"")</f>
        <v>C</v>
      </c>
      <c r="AG371" s="3">
        <v>363</v>
      </c>
      <c r="AH371" s="3" t="str">
        <f>IFERROR(MID(VLOOKUP($B371,Seqs!$A:$B,2,0),AI371,1),"")</f>
        <v>V</v>
      </c>
      <c r="AI371" s="3">
        <v>365</v>
      </c>
      <c r="AJ371" s="3" t="str">
        <f>IFERROR(MID(VLOOKUP($B371,Seqs!$A:$B,2,0),AK371,1),"")</f>
        <v>N</v>
      </c>
      <c r="AK371" s="3">
        <v>369</v>
      </c>
      <c r="AL371" s="3" t="str">
        <f>IFERROR(MID(VLOOKUP($B371,Seqs!$A:$B,2,0),AM371,1),"")</f>
        <v>S</v>
      </c>
      <c r="AM371" s="3">
        <v>401</v>
      </c>
      <c r="AN371" s="3" t="str">
        <f>IFERROR(MID(VLOOKUP($B371,Seqs!$A:$B,2,0),AO371,1),"")</f>
        <v>S</v>
      </c>
      <c r="AO371" s="3">
        <v>416</v>
      </c>
      <c r="AP371" s="3" t="str">
        <f>IFERROR(MID(VLOOKUP($B371,Seqs!$A:$B,2,0),AQ371,1),"")</f>
        <v>Q</v>
      </c>
      <c r="AQ371" s="3">
        <v>472</v>
      </c>
      <c r="AR371" s="3" t="str">
        <f>IFERROR(MID(VLOOKUP($B371,Seqs!$A:$B,2,0),AS371,1),"")</f>
        <v>S</v>
      </c>
      <c r="AS371" s="3">
        <v>487</v>
      </c>
      <c r="AT371" s="3" t="str">
        <f>IFERROR(MID(VLOOKUP($B371,Seqs!$A:$B,2,0),AU371,1),"")</f>
        <v>W</v>
      </c>
      <c r="AU371" s="3">
        <v>510</v>
      </c>
      <c r="AV371" s="3" t="str">
        <f>IFERROR(MID(VLOOKUP($B371,Seqs!$A:$B,2,0),AW371,1),"")</f>
        <v>T</v>
      </c>
      <c r="AW371" s="3">
        <v>511</v>
      </c>
      <c r="AX371" s="3" t="str">
        <f>IFERROR(MID(VLOOKUP($B371,Seqs!$A:$B,2,0),AY371,1),"")</f>
        <v>R</v>
      </c>
      <c r="AY371" s="3">
        <v>520</v>
      </c>
      <c r="AZ371" s="78" t="str">
        <f>VLOOKUP(B371,Classification!A:D,2,0)</f>
        <v>F</v>
      </c>
      <c r="BA371" s="94" t="str">
        <f>VLOOKUP(B371,Classification!A:D,4,0)</f>
        <v>Frizzled</v>
      </c>
      <c r="BB371" s="92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>_xlfn.AGGREGATE(9,6,CH371:CS371)-_xlfn.AGGREGATE(9,6,BV371:CG371)+12</f>
        <v>246</v>
      </c>
      <c r="BD371" s="74" t="s">
        <v>23</v>
      </c>
      <c r="BE371" s="3" t="s">
        <v>1375</v>
      </c>
      <c r="BF371" s="119">
        <v>3.9</v>
      </c>
      <c r="BG371" s="49" t="s">
        <v>1</v>
      </c>
      <c r="BH371" s="49" t="s">
        <v>1</v>
      </c>
      <c r="BJ371" s="75" t="s">
        <v>1288</v>
      </c>
      <c r="BK371" s="57" t="s">
        <v>1288</v>
      </c>
      <c r="BL371" s="57" t="s">
        <v>1288</v>
      </c>
      <c r="BM371" s="57" t="s">
        <v>1288</v>
      </c>
      <c r="BN371" s="57" t="s">
        <v>1288</v>
      </c>
      <c r="BO371" s="57" t="s">
        <v>1288</v>
      </c>
      <c r="BP371" s="57" t="s">
        <v>1288</v>
      </c>
      <c r="BQ371" s="57" t="s">
        <v>1288</v>
      </c>
      <c r="BR371" s="57" t="s">
        <v>1288</v>
      </c>
      <c r="BS371" s="57" t="s">
        <v>1288</v>
      </c>
      <c r="BT371" s="57" t="s">
        <v>1288</v>
      </c>
      <c r="BU371" s="57" t="s">
        <v>1288</v>
      </c>
      <c r="BV371" s="75">
        <f>E371</f>
        <v>196</v>
      </c>
      <c r="BW371" s="71">
        <f>I371</f>
        <v>229</v>
      </c>
      <c r="BX371" s="72">
        <f>M371</f>
        <v>234</v>
      </c>
      <c r="BY371" s="71" t="str">
        <f>Q371</f>
        <v>-</v>
      </c>
      <c r="BZ371" s="72">
        <f>U371</f>
        <v>285</v>
      </c>
      <c r="CA371" s="71" t="str">
        <f>Y371</f>
        <v>-</v>
      </c>
      <c r="CB371" s="72">
        <f>AC371</f>
        <v>329</v>
      </c>
      <c r="CC371" s="71">
        <f>AG371</f>
        <v>363</v>
      </c>
      <c r="CD371" s="72">
        <f>AK371</f>
        <v>369</v>
      </c>
      <c r="CE371" s="71">
        <f>AO371</f>
        <v>416</v>
      </c>
      <c r="CF371" s="72">
        <f>AS371</f>
        <v>487</v>
      </c>
      <c r="CG371" s="71">
        <f>AW371</f>
        <v>511</v>
      </c>
      <c r="CH371" s="75">
        <f>G371</f>
        <v>228</v>
      </c>
      <c r="CI371" s="71">
        <f>K371</f>
        <v>233</v>
      </c>
      <c r="CJ371" s="72">
        <f>O371</f>
        <v>256</v>
      </c>
      <c r="CK371" s="72" t="str">
        <f>S371</f>
        <v>-</v>
      </c>
      <c r="CL371" s="72">
        <f>W371</f>
        <v>317</v>
      </c>
      <c r="CM371" s="72" t="str">
        <f>AA371</f>
        <v>-</v>
      </c>
      <c r="CN371" s="72">
        <f>AE371</f>
        <v>351</v>
      </c>
      <c r="CO371" s="72">
        <f>AI371</f>
        <v>365</v>
      </c>
      <c r="CP371" s="72">
        <f>AM371</f>
        <v>401</v>
      </c>
      <c r="CQ371" s="72">
        <f>AQ371</f>
        <v>472</v>
      </c>
      <c r="CR371" s="72">
        <f>AU371</f>
        <v>510</v>
      </c>
      <c r="CS371" s="72">
        <f>AY371</f>
        <v>520</v>
      </c>
      <c r="CT371" s="23">
        <f>M371-K371</f>
        <v>1</v>
      </c>
    </row>
    <row r="445" spans="52:86" x14ac:dyDescent="0.2">
      <c r="AZ445" s="77"/>
      <c r="BA445" s="28"/>
      <c r="BB445" s="16"/>
      <c r="BD445" s="2"/>
      <c r="BJ445" s="70"/>
      <c r="BV445" s="70"/>
      <c r="CH445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31 BB71 BB29:BB33 BB36:BB40">
    <cfRule type="cellIs" dxfId="76" priority="10" operator="equal">
      <formula>0</formula>
    </cfRule>
  </conditionalFormatting>
  <conditionalFormatting sqref="BB281:BB282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06">
    <cfRule type="cellIs" dxfId="73" priority="13" operator="equal">
      <formula>0</formula>
    </cfRule>
  </conditionalFormatting>
  <conditionalFormatting sqref="E306 AW306 AU306 AS306 AQ306 AO306 AM306 AK306 AI306 AG306 AE306 AC306 AA306 Y306 W306 U306 S306 Q306 O306 M306 K306 I306 G306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09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BE2:BE445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2"/>
  <sheetViews>
    <sheetView workbookViewId="0">
      <pane ySplit="1" topLeftCell="A36" activePane="bottomLeft" state="frozenSplit"/>
      <selection pane="bottomLeft" activeCell="N74" sqref="N74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1381</v>
      </c>
      <c r="AC1" s="30" t="s">
        <v>1290</v>
      </c>
      <c r="AD1" s="30" t="s">
        <v>1289</v>
      </c>
      <c r="AE1" s="30" t="s">
        <v>1283</v>
      </c>
      <c r="AF1" s="30" t="s">
        <v>1231</v>
      </c>
      <c r="AG1" s="30" t="s">
        <v>1284</v>
      </c>
      <c r="AH1" s="30" t="s">
        <v>1242</v>
      </c>
      <c r="AI1" s="30" t="s">
        <v>1286</v>
      </c>
      <c r="AJ1" s="30" t="s">
        <v>1276</v>
      </c>
      <c r="AK1" s="30" t="s">
        <v>1285</v>
      </c>
      <c r="AL1" s="30" t="s">
        <v>1291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1368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1380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1465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1256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1469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1391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1278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1394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1416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1363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1255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1275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1330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1257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1258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1259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1274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1260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1262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1263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1265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1264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1261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1266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1279</v>
      </c>
      <c r="AP36" s="2" t="s">
        <v>1281</v>
      </c>
    </row>
    <row r="37" spans="1:64" s="2" customFormat="1" x14ac:dyDescent="0.2">
      <c r="A37" s="2" t="s">
        <v>1268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1267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1270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1269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1271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1272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1273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1421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3" t="s">
        <v>1496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1508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>CONCATENATE(B71,"__wt",)</f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4"/>
      <c r="B72" s="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49"/>
      <c r="AB72" s="96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2"/>
      <c r="AN72" s="38"/>
      <c r="AO72" s="30" t="s">
        <v>1061</v>
      </c>
      <c r="AP72" s="30" t="s">
        <v>1062</v>
      </c>
      <c r="AQ72" s="30" t="s">
        <v>1078</v>
      </c>
      <c r="AR72" s="30" t="s">
        <v>1079</v>
      </c>
      <c r="AS72" s="30" t="s">
        <v>1063</v>
      </c>
      <c r="AT72" s="30" t="s">
        <v>1064</v>
      </c>
      <c r="AU72" s="30" t="s">
        <v>1080</v>
      </c>
      <c r="AV72" s="30" t="s">
        <v>1081</v>
      </c>
      <c r="AW72" s="30" t="s">
        <v>1065</v>
      </c>
      <c r="AX72" s="30" t="s">
        <v>1066</v>
      </c>
      <c r="AY72" s="30" t="s">
        <v>1093</v>
      </c>
      <c r="AZ72" s="30" t="s">
        <v>1094</v>
      </c>
      <c r="BA72" s="30" t="s">
        <v>1067</v>
      </c>
      <c r="BB72" s="30" t="s">
        <v>1068</v>
      </c>
      <c r="BC72" s="30" t="s">
        <v>1096</v>
      </c>
      <c r="BD72" s="30" t="s">
        <v>1097</v>
      </c>
      <c r="BE72" s="30" t="s">
        <v>1069</v>
      </c>
      <c r="BF72" s="30" t="s">
        <v>1070</v>
      </c>
      <c r="BG72" s="30" t="s">
        <v>1071</v>
      </c>
      <c r="BH72" s="30" t="s">
        <v>1072</v>
      </c>
      <c r="BI72" s="30" t="s">
        <v>1073</v>
      </c>
      <c r="BJ72" s="30" t="s">
        <v>1074</v>
      </c>
      <c r="BK72" s="30" t="s">
        <v>1075</v>
      </c>
      <c r="BL72" s="30" t="s">
        <v>1076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N73" s="38" t="s">
        <v>1</v>
      </c>
      <c r="AO73" s="4">
        <f t="shared" ref="AO73:BL73" si="1">MAX(C2:C42)</f>
        <v>34</v>
      </c>
      <c r="AP73" s="4">
        <f t="shared" si="1"/>
        <v>64</v>
      </c>
      <c r="AQ73" s="4">
        <f t="shared" si="1"/>
        <v>48</v>
      </c>
      <c r="AR73" s="4">
        <f t="shared" si="1"/>
        <v>52</v>
      </c>
      <c r="AS73" s="4">
        <f t="shared" si="1"/>
        <v>38</v>
      </c>
      <c r="AT73" s="4">
        <f t="shared" si="1"/>
        <v>69</v>
      </c>
      <c r="AU73" s="4">
        <f t="shared" si="1"/>
        <v>50</v>
      </c>
      <c r="AV73" s="4">
        <f t="shared" si="1"/>
        <v>53</v>
      </c>
      <c r="AW73" s="4">
        <f t="shared" si="1"/>
        <v>21</v>
      </c>
      <c r="AX73" s="4">
        <f t="shared" si="1"/>
        <v>56</v>
      </c>
      <c r="AY73" s="4">
        <f t="shared" si="1"/>
        <v>50</v>
      </c>
      <c r="AZ73" s="4">
        <f t="shared" si="1"/>
        <v>58</v>
      </c>
      <c r="BA73" s="4">
        <f t="shared" si="1"/>
        <v>38</v>
      </c>
      <c r="BB73" s="4">
        <f t="shared" si="1"/>
        <v>69</v>
      </c>
      <c r="BC73" s="4">
        <f t="shared" si="1"/>
        <v>50</v>
      </c>
      <c r="BD73" s="4">
        <f t="shared" si="1"/>
        <v>52</v>
      </c>
      <c r="BE73" s="4">
        <f t="shared" si="1"/>
        <v>36</v>
      </c>
      <c r="BF73" s="4">
        <f t="shared" si="1"/>
        <v>77</v>
      </c>
      <c r="BG73" s="4">
        <f t="shared" si="1"/>
        <v>30</v>
      </c>
      <c r="BH73" s="4">
        <f t="shared" si="1"/>
        <v>65</v>
      </c>
      <c r="BI73" s="4">
        <f t="shared" si="1"/>
        <v>32</v>
      </c>
      <c r="BJ73" s="4">
        <f t="shared" si="1"/>
        <v>56</v>
      </c>
      <c r="BK73" s="4">
        <f t="shared" si="1"/>
        <v>47</v>
      </c>
      <c r="BL73" s="4">
        <f t="shared" si="1"/>
        <v>69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O74" s="4">
        <f t="shared" ref="AO74:BL74" si="2">MIN(C2:C42)</f>
        <v>22</v>
      </c>
      <c r="AP74" s="4">
        <f t="shared" si="2"/>
        <v>60</v>
      </c>
      <c r="AQ74" s="4">
        <f t="shared" si="2"/>
        <v>48</v>
      </c>
      <c r="AR74" s="4">
        <f t="shared" si="2"/>
        <v>51</v>
      </c>
      <c r="AS74" s="4">
        <f t="shared" si="2"/>
        <v>34</v>
      </c>
      <c r="AT74" s="4">
        <f t="shared" si="2"/>
        <v>63</v>
      </c>
      <c r="AU74" s="4">
        <f t="shared" si="2"/>
        <v>47</v>
      </c>
      <c r="AV74" s="4">
        <f t="shared" si="2"/>
        <v>52</v>
      </c>
      <c r="AW74" s="4">
        <f t="shared" si="2"/>
        <v>18</v>
      </c>
      <c r="AX74" s="4">
        <f t="shared" si="2"/>
        <v>55</v>
      </c>
      <c r="AY74" s="4">
        <f t="shared" si="2"/>
        <v>50</v>
      </c>
      <c r="AZ74" s="4">
        <f t="shared" si="2"/>
        <v>53</v>
      </c>
      <c r="BA74" s="4">
        <f t="shared" si="2"/>
        <v>35</v>
      </c>
      <c r="BB74" s="4">
        <f t="shared" si="2"/>
        <v>62</v>
      </c>
      <c r="BC74" s="4">
        <f t="shared" si="2"/>
        <v>50</v>
      </c>
      <c r="BD74" s="4">
        <f t="shared" si="2"/>
        <v>52</v>
      </c>
      <c r="BE74" s="4">
        <f t="shared" si="2"/>
        <v>28</v>
      </c>
      <c r="BF74" s="4">
        <f t="shared" si="2"/>
        <v>67</v>
      </c>
      <c r="BG74" s="4">
        <f t="shared" si="2"/>
        <v>18</v>
      </c>
      <c r="BH74" s="4">
        <f t="shared" si="2"/>
        <v>60</v>
      </c>
      <c r="BI74" s="4">
        <f t="shared" si="2"/>
        <v>24</v>
      </c>
      <c r="BJ74" s="4">
        <f t="shared" si="2"/>
        <v>55</v>
      </c>
      <c r="BK74" s="4">
        <f t="shared" si="2"/>
        <v>47</v>
      </c>
      <c r="BL74" s="4">
        <f t="shared" si="2"/>
        <v>57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3">AO73-AO74</f>
        <v>12</v>
      </c>
      <c r="AP75" s="4">
        <f t="shared" si="3"/>
        <v>4</v>
      </c>
      <c r="AQ75" s="4">
        <f t="shared" si="3"/>
        <v>0</v>
      </c>
      <c r="AR75" s="4">
        <f t="shared" si="3"/>
        <v>1</v>
      </c>
      <c r="AS75" s="4">
        <f t="shared" si="3"/>
        <v>4</v>
      </c>
      <c r="AT75" s="4">
        <f t="shared" si="3"/>
        <v>6</v>
      </c>
      <c r="AU75" s="4">
        <f t="shared" si="3"/>
        <v>3</v>
      </c>
      <c r="AV75" s="4">
        <f t="shared" si="3"/>
        <v>1</v>
      </c>
      <c r="AW75" s="4">
        <f t="shared" si="3"/>
        <v>3</v>
      </c>
      <c r="AX75" s="4">
        <f t="shared" si="3"/>
        <v>1</v>
      </c>
      <c r="AY75" s="4">
        <f t="shared" si="3"/>
        <v>0</v>
      </c>
      <c r="AZ75" s="4">
        <f t="shared" si="3"/>
        <v>5</v>
      </c>
      <c r="BA75" s="4">
        <f t="shared" si="3"/>
        <v>3</v>
      </c>
      <c r="BB75" s="4">
        <f t="shared" si="3"/>
        <v>7</v>
      </c>
      <c r="BC75" s="4">
        <f t="shared" si="3"/>
        <v>0</v>
      </c>
      <c r="BD75" s="4">
        <f t="shared" si="3"/>
        <v>0</v>
      </c>
      <c r="BE75" s="4">
        <f t="shared" si="3"/>
        <v>8</v>
      </c>
      <c r="BF75" s="4">
        <f t="shared" si="3"/>
        <v>10</v>
      </c>
      <c r="BG75" s="4">
        <f t="shared" si="3"/>
        <v>12</v>
      </c>
      <c r="BH75" s="4">
        <f t="shared" si="3"/>
        <v>5</v>
      </c>
      <c r="BI75" s="4">
        <f t="shared" si="3"/>
        <v>8</v>
      </c>
      <c r="BJ75" s="4">
        <f t="shared" si="3"/>
        <v>1</v>
      </c>
      <c r="BK75" s="4">
        <f t="shared" si="3"/>
        <v>0</v>
      </c>
      <c r="BL75" s="4">
        <f t="shared" si="3"/>
        <v>12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N76" s="38" t="s">
        <v>1282</v>
      </c>
      <c r="AO76" s="4">
        <f t="shared" ref="AO76:BL76" si="4">MAX(C43:C46)</f>
        <v>29</v>
      </c>
      <c r="AP76" s="4">
        <f t="shared" si="4"/>
        <v>60</v>
      </c>
      <c r="AQ76" s="4">
        <f t="shared" si="4"/>
        <v>48</v>
      </c>
      <c r="AR76" s="4">
        <f t="shared" si="4"/>
        <v>51</v>
      </c>
      <c r="AS76" s="4">
        <f t="shared" si="4"/>
        <v>37</v>
      </c>
      <c r="AT76" s="4">
        <f t="shared" si="4"/>
        <v>66</v>
      </c>
      <c r="AU76" s="4">
        <f t="shared" si="4"/>
        <v>49</v>
      </c>
      <c r="AV76" s="4">
        <f t="shared" si="4"/>
        <v>52</v>
      </c>
      <c r="AW76" s="4">
        <f t="shared" si="4"/>
        <v>23</v>
      </c>
      <c r="AX76" s="4">
        <f t="shared" si="4"/>
        <v>56</v>
      </c>
      <c r="AY76" s="4">
        <f t="shared" si="4"/>
        <v>50</v>
      </c>
      <c r="AZ76" s="4">
        <f t="shared" si="4"/>
        <v>57</v>
      </c>
      <c r="BA76" s="4">
        <f t="shared" si="4"/>
        <v>41</v>
      </c>
      <c r="BB76" s="4">
        <f t="shared" si="4"/>
        <v>68</v>
      </c>
      <c r="BC76" s="4">
        <f t="shared" si="4"/>
        <v>50</v>
      </c>
      <c r="BD76" s="4">
        <f t="shared" si="4"/>
        <v>52</v>
      </c>
      <c r="BE76" s="4">
        <f t="shared" si="4"/>
        <v>40</v>
      </c>
      <c r="BF76" s="4">
        <f t="shared" si="4"/>
        <v>70</v>
      </c>
      <c r="BG76" s="4">
        <f t="shared" si="4"/>
        <v>30</v>
      </c>
      <c r="BH76" s="4">
        <f t="shared" si="4"/>
        <v>65</v>
      </c>
      <c r="BI76" s="4">
        <f t="shared" si="4"/>
        <v>31</v>
      </c>
      <c r="BJ76" s="4">
        <f t="shared" si="4"/>
        <v>56</v>
      </c>
      <c r="BK76" s="4">
        <f t="shared" si="4"/>
        <v>47</v>
      </c>
      <c r="BL76" s="4">
        <f t="shared" si="4"/>
        <v>72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O77" s="4">
        <f t="shared" ref="AO77:BL77" si="5">MIN(C43:C46)</f>
        <v>19</v>
      </c>
      <c r="AP77" s="4">
        <f t="shared" si="5"/>
        <v>60</v>
      </c>
      <c r="AQ77" s="4">
        <f t="shared" si="5"/>
        <v>48</v>
      </c>
      <c r="AR77" s="4">
        <f t="shared" si="5"/>
        <v>51</v>
      </c>
      <c r="AS77" s="4">
        <f t="shared" si="5"/>
        <v>37</v>
      </c>
      <c r="AT77" s="4">
        <f t="shared" si="5"/>
        <v>63</v>
      </c>
      <c r="AU77" s="4">
        <f t="shared" si="5"/>
        <v>47</v>
      </c>
      <c r="AV77" s="4">
        <f t="shared" si="5"/>
        <v>52</v>
      </c>
      <c r="AW77" s="4">
        <f t="shared" si="5"/>
        <v>21</v>
      </c>
      <c r="AX77" s="4">
        <f t="shared" si="5"/>
        <v>56</v>
      </c>
      <c r="AY77" s="4">
        <f t="shared" si="5"/>
        <v>50</v>
      </c>
      <c r="AZ77" s="4">
        <f t="shared" si="5"/>
        <v>56</v>
      </c>
      <c r="BA77" s="4">
        <f t="shared" si="5"/>
        <v>38</v>
      </c>
      <c r="BB77" s="4">
        <f t="shared" si="5"/>
        <v>62</v>
      </c>
      <c r="BC77" s="4">
        <f t="shared" si="5"/>
        <v>50</v>
      </c>
      <c r="BD77" s="4">
        <f t="shared" si="5"/>
        <v>52</v>
      </c>
      <c r="BE77" s="4">
        <f t="shared" si="5"/>
        <v>31</v>
      </c>
      <c r="BF77" s="4">
        <f t="shared" si="5"/>
        <v>67</v>
      </c>
      <c r="BG77" s="4">
        <f t="shared" si="5"/>
        <v>25</v>
      </c>
      <c r="BH77" s="4">
        <f t="shared" si="5"/>
        <v>53</v>
      </c>
      <c r="BI77" s="4">
        <f t="shared" si="5"/>
        <v>28</v>
      </c>
      <c r="BJ77" s="4">
        <f t="shared" si="5"/>
        <v>56</v>
      </c>
      <c r="BK77" s="4">
        <f t="shared" si="5"/>
        <v>47</v>
      </c>
      <c r="BL77" s="4">
        <f t="shared" si="5"/>
        <v>61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6">AO76-AO77</f>
        <v>10</v>
      </c>
      <c r="AP78" s="4">
        <f t="shared" si="6"/>
        <v>0</v>
      </c>
      <c r="AQ78" s="4">
        <f t="shared" si="6"/>
        <v>0</v>
      </c>
      <c r="AR78" s="4">
        <f t="shared" si="6"/>
        <v>0</v>
      </c>
      <c r="AS78" s="4">
        <f t="shared" si="6"/>
        <v>0</v>
      </c>
      <c r="AT78" s="4">
        <f t="shared" si="6"/>
        <v>3</v>
      </c>
      <c r="AU78" s="4">
        <f t="shared" si="6"/>
        <v>2</v>
      </c>
      <c r="AV78" s="4">
        <f t="shared" si="6"/>
        <v>0</v>
      </c>
      <c r="AW78" s="4">
        <f t="shared" si="6"/>
        <v>2</v>
      </c>
      <c r="AX78" s="4">
        <f t="shared" si="6"/>
        <v>0</v>
      </c>
      <c r="AY78" s="4">
        <f t="shared" si="6"/>
        <v>0</v>
      </c>
      <c r="AZ78" s="4">
        <f t="shared" si="6"/>
        <v>1</v>
      </c>
      <c r="BA78" s="4">
        <f t="shared" si="6"/>
        <v>3</v>
      </c>
      <c r="BB78" s="4">
        <f t="shared" si="6"/>
        <v>6</v>
      </c>
      <c r="BC78" s="4">
        <f t="shared" si="6"/>
        <v>0</v>
      </c>
      <c r="BD78" s="4">
        <f t="shared" si="6"/>
        <v>0</v>
      </c>
      <c r="BE78" s="4">
        <f t="shared" si="6"/>
        <v>9</v>
      </c>
      <c r="BF78" s="4">
        <f t="shared" si="6"/>
        <v>3</v>
      </c>
      <c r="BG78" s="4">
        <f t="shared" si="6"/>
        <v>5</v>
      </c>
      <c r="BH78" s="4">
        <f t="shared" si="6"/>
        <v>12</v>
      </c>
      <c r="BI78" s="4">
        <f t="shared" si="6"/>
        <v>3</v>
      </c>
      <c r="BJ78" s="4">
        <f t="shared" si="6"/>
        <v>0</v>
      </c>
      <c r="BK78" s="4">
        <f t="shared" si="6"/>
        <v>0</v>
      </c>
      <c r="BL78" s="4">
        <f t="shared" si="6"/>
        <v>11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N79" s="38" t="s">
        <v>27</v>
      </c>
      <c r="AO79" s="4">
        <f t="shared" ref="AO79:BL79" si="7">MAX(C47:C50)</f>
        <v>34</v>
      </c>
      <c r="AP79" s="4">
        <f t="shared" si="7"/>
        <v>60</v>
      </c>
      <c r="AQ79" s="4">
        <f t="shared" si="7"/>
        <v>48</v>
      </c>
      <c r="AR79" s="4">
        <f t="shared" si="7"/>
        <v>53</v>
      </c>
      <c r="AS79" s="4">
        <f t="shared" si="7"/>
        <v>39</v>
      </c>
      <c r="AT79" s="4">
        <f t="shared" si="7"/>
        <v>74</v>
      </c>
      <c r="AU79" s="4">
        <f t="shared" si="7"/>
        <v>0</v>
      </c>
      <c r="AV79" s="4">
        <f t="shared" si="7"/>
        <v>0</v>
      </c>
      <c r="AW79" s="4">
        <f t="shared" si="7"/>
        <v>23</v>
      </c>
      <c r="AX79" s="4">
        <f t="shared" si="7"/>
        <v>56</v>
      </c>
      <c r="AY79" s="4">
        <f t="shared" si="7"/>
        <v>0</v>
      </c>
      <c r="AZ79" s="4">
        <f t="shared" si="7"/>
        <v>0</v>
      </c>
      <c r="BA79" s="4">
        <f t="shared" si="7"/>
        <v>40</v>
      </c>
      <c r="BB79" s="4">
        <f t="shared" si="7"/>
        <v>68</v>
      </c>
      <c r="BC79" s="4">
        <f t="shared" si="7"/>
        <v>50</v>
      </c>
      <c r="BD79" s="4">
        <f t="shared" si="7"/>
        <v>52</v>
      </c>
      <c r="BE79" s="4">
        <f t="shared" si="7"/>
        <v>39</v>
      </c>
      <c r="BF79" s="4">
        <f t="shared" si="7"/>
        <v>71</v>
      </c>
      <c r="BG79" s="4">
        <f t="shared" si="7"/>
        <v>33</v>
      </c>
      <c r="BH79" s="4">
        <f t="shared" si="7"/>
        <v>57</v>
      </c>
      <c r="BI79" s="4">
        <f t="shared" si="7"/>
        <v>33</v>
      </c>
      <c r="BJ79" s="4">
        <f t="shared" si="7"/>
        <v>64</v>
      </c>
      <c r="BK79" s="4">
        <f t="shared" si="7"/>
        <v>47</v>
      </c>
      <c r="BL79" s="4">
        <f t="shared" si="7"/>
        <v>72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O80" s="4">
        <f t="shared" ref="AO80:BL80" si="8">MIN(C47:C50)</f>
        <v>25</v>
      </c>
      <c r="AP80" s="4">
        <f t="shared" si="8"/>
        <v>60</v>
      </c>
      <c r="AQ80" s="4">
        <f t="shared" si="8"/>
        <v>47</v>
      </c>
      <c r="AR80" s="4">
        <f t="shared" si="8"/>
        <v>51</v>
      </c>
      <c r="AS80" s="4">
        <f t="shared" si="8"/>
        <v>37</v>
      </c>
      <c r="AT80" s="4">
        <f t="shared" si="8"/>
        <v>61</v>
      </c>
      <c r="AU80" s="4">
        <f t="shared" si="8"/>
        <v>0</v>
      </c>
      <c r="AV80" s="4">
        <f t="shared" si="8"/>
        <v>0</v>
      </c>
      <c r="AW80" s="4">
        <f t="shared" si="8"/>
        <v>21</v>
      </c>
      <c r="AX80" s="4">
        <f t="shared" si="8"/>
        <v>54</v>
      </c>
      <c r="AY80" s="4">
        <f t="shared" si="8"/>
        <v>0</v>
      </c>
      <c r="AZ80" s="4">
        <f t="shared" si="8"/>
        <v>0</v>
      </c>
      <c r="BA80" s="4">
        <f t="shared" si="8"/>
        <v>37</v>
      </c>
      <c r="BB80" s="4">
        <f t="shared" si="8"/>
        <v>64</v>
      </c>
      <c r="BC80" s="4">
        <f t="shared" si="8"/>
        <v>50</v>
      </c>
      <c r="BD80" s="4">
        <f t="shared" si="8"/>
        <v>52</v>
      </c>
      <c r="BE80" s="4">
        <f t="shared" si="8"/>
        <v>36</v>
      </c>
      <c r="BF80" s="4">
        <f t="shared" si="8"/>
        <v>61</v>
      </c>
      <c r="BG80" s="4">
        <f t="shared" si="8"/>
        <v>28</v>
      </c>
      <c r="BH80" s="4">
        <f t="shared" si="8"/>
        <v>53</v>
      </c>
      <c r="BI80" s="4">
        <f t="shared" si="8"/>
        <v>27</v>
      </c>
      <c r="BJ80" s="4">
        <f t="shared" si="8"/>
        <v>56</v>
      </c>
      <c r="BK80" s="4">
        <f t="shared" si="8"/>
        <v>46</v>
      </c>
      <c r="BL80" s="4">
        <f t="shared" si="8"/>
        <v>57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9">AO79-AO80</f>
        <v>9</v>
      </c>
      <c r="AP81" s="4">
        <f t="shared" si="9"/>
        <v>0</v>
      </c>
      <c r="AQ81" s="4">
        <f t="shared" si="9"/>
        <v>1</v>
      </c>
      <c r="AR81" s="4">
        <f t="shared" si="9"/>
        <v>2</v>
      </c>
      <c r="AS81" s="4">
        <f t="shared" si="9"/>
        <v>2</v>
      </c>
      <c r="AT81" s="4">
        <f t="shared" si="9"/>
        <v>13</v>
      </c>
      <c r="AU81" s="4">
        <f t="shared" si="9"/>
        <v>0</v>
      </c>
      <c r="AV81" s="4">
        <f t="shared" si="9"/>
        <v>0</v>
      </c>
      <c r="AW81" s="4">
        <f t="shared" si="9"/>
        <v>2</v>
      </c>
      <c r="AX81" s="4">
        <f t="shared" si="9"/>
        <v>2</v>
      </c>
      <c r="AY81" s="4">
        <f t="shared" si="9"/>
        <v>0</v>
      </c>
      <c r="AZ81" s="4">
        <f t="shared" si="9"/>
        <v>0</v>
      </c>
      <c r="BA81" s="4">
        <f t="shared" si="9"/>
        <v>3</v>
      </c>
      <c r="BB81" s="4">
        <f t="shared" si="9"/>
        <v>4</v>
      </c>
      <c r="BC81" s="4">
        <f t="shared" si="9"/>
        <v>0</v>
      </c>
      <c r="BD81" s="4">
        <f t="shared" si="9"/>
        <v>0</v>
      </c>
      <c r="BE81" s="4">
        <f t="shared" si="9"/>
        <v>3</v>
      </c>
      <c r="BF81" s="4">
        <f t="shared" si="9"/>
        <v>10</v>
      </c>
      <c r="BG81" s="4">
        <f t="shared" si="9"/>
        <v>5</v>
      </c>
      <c r="BH81" s="4">
        <f t="shared" si="9"/>
        <v>4</v>
      </c>
      <c r="BI81" s="4">
        <f t="shared" si="9"/>
        <v>6</v>
      </c>
      <c r="BJ81" s="4">
        <f t="shared" si="9"/>
        <v>8</v>
      </c>
      <c r="BK81" s="4">
        <f t="shared" si="9"/>
        <v>1</v>
      </c>
      <c r="BL81" s="4">
        <f t="shared" si="9"/>
        <v>15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N82" s="38" t="s">
        <v>28</v>
      </c>
      <c r="AO82" s="4">
        <f t="shared" ref="AO82:BL82" si="10">MAX(C51)</f>
        <v>34</v>
      </c>
      <c r="AP82" s="4">
        <f t="shared" si="10"/>
        <v>60</v>
      </c>
      <c r="AQ82" s="4">
        <f t="shared" si="10"/>
        <v>47</v>
      </c>
      <c r="AR82" s="4">
        <f t="shared" si="10"/>
        <v>53</v>
      </c>
      <c r="AS82" s="4">
        <f t="shared" si="10"/>
        <v>39</v>
      </c>
      <c r="AT82" s="4">
        <f t="shared" si="10"/>
        <v>61</v>
      </c>
      <c r="AU82" s="4">
        <f t="shared" si="10"/>
        <v>0</v>
      </c>
      <c r="AV82" s="4">
        <f t="shared" si="10"/>
        <v>0</v>
      </c>
      <c r="AW82" s="4">
        <f t="shared" si="10"/>
        <v>22</v>
      </c>
      <c r="AX82" s="4">
        <f t="shared" si="10"/>
        <v>54</v>
      </c>
      <c r="AY82" s="4">
        <f t="shared" si="10"/>
        <v>0</v>
      </c>
      <c r="AZ82" s="4">
        <f t="shared" si="10"/>
        <v>0</v>
      </c>
      <c r="BA82" s="4">
        <f t="shared" si="10"/>
        <v>38</v>
      </c>
      <c r="BB82" s="4">
        <f t="shared" si="10"/>
        <v>64</v>
      </c>
      <c r="BC82" s="4">
        <f t="shared" si="10"/>
        <v>50</v>
      </c>
      <c r="BD82" s="4">
        <f t="shared" si="10"/>
        <v>52</v>
      </c>
      <c r="BE82" s="4">
        <f t="shared" si="10"/>
        <v>36</v>
      </c>
      <c r="BF82" s="4">
        <f t="shared" si="10"/>
        <v>61</v>
      </c>
      <c r="BG82" s="4">
        <f t="shared" si="10"/>
        <v>33</v>
      </c>
      <c r="BH82" s="4">
        <f t="shared" si="10"/>
        <v>57</v>
      </c>
      <c r="BI82" s="4">
        <f t="shared" si="10"/>
        <v>33</v>
      </c>
      <c r="BJ82" s="4">
        <f t="shared" si="10"/>
        <v>64</v>
      </c>
      <c r="BK82" s="4">
        <f t="shared" si="10"/>
        <v>46</v>
      </c>
      <c r="BL82" s="4">
        <f t="shared" si="10"/>
        <v>57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11">MIN(C51)</f>
        <v>34</v>
      </c>
      <c r="AP83" s="4">
        <f t="shared" si="11"/>
        <v>60</v>
      </c>
      <c r="AQ83" s="4">
        <f t="shared" si="11"/>
        <v>47</v>
      </c>
      <c r="AR83" s="4">
        <f t="shared" si="11"/>
        <v>53</v>
      </c>
      <c r="AS83" s="4">
        <f t="shared" si="11"/>
        <v>39</v>
      </c>
      <c r="AT83" s="4">
        <f t="shared" si="11"/>
        <v>61</v>
      </c>
      <c r="AU83" s="4">
        <f t="shared" si="11"/>
        <v>0</v>
      </c>
      <c r="AV83" s="4">
        <f t="shared" si="11"/>
        <v>0</v>
      </c>
      <c r="AW83" s="4">
        <f t="shared" si="11"/>
        <v>22</v>
      </c>
      <c r="AX83" s="4">
        <f t="shared" si="11"/>
        <v>54</v>
      </c>
      <c r="AY83" s="4">
        <f t="shared" si="11"/>
        <v>0</v>
      </c>
      <c r="AZ83" s="4">
        <f t="shared" si="11"/>
        <v>0</v>
      </c>
      <c r="BA83" s="4">
        <f t="shared" si="11"/>
        <v>38</v>
      </c>
      <c r="BB83" s="4">
        <f t="shared" si="11"/>
        <v>64</v>
      </c>
      <c r="BC83" s="4">
        <f t="shared" si="11"/>
        <v>50</v>
      </c>
      <c r="BD83" s="4">
        <f t="shared" si="11"/>
        <v>52</v>
      </c>
      <c r="BE83" s="4">
        <f t="shared" si="11"/>
        <v>36</v>
      </c>
      <c r="BF83" s="4">
        <f t="shared" si="11"/>
        <v>61</v>
      </c>
      <c r="BG83" s="4">
        <f t="shared" si="11"/>
        <v>33</v>
      </c>
      <c r="BH83" s="4">
        <f t="shared" si="11"/>
        <v>57</v>
      </c>
      <c r="BI83" s="4">
        <f t="shared" si="11"/>
        <v>33</v>
      </c>
      <c r="BJ83" s="4">
        <f t="shared" si="11"/>
        <v>64</v>
      </c>
      <c r="BK83" s="4">
        <f t="shared" si="11"/>
        <v>46</v>
      </c>
      <c r="BL83" s="4">
        <f t="shared" si="11"/>
        <v>57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12">AO82-AO83</f>
        <v>0</v>
      </c>
      <c r="AP84" s="4">
        <f t="shared" si="12"/>
        <v>0</v>
      </c>
      <c r="AQ84" s="4">
        <f t="shared" si="12"/>
        <v>0</v>
      </c>
      <c r="AR84" s="4">
        <f t="shared" si="12"/>
        <v>0</v>
      </c>
      <c r="AS84" s="4">
        <f t="shared" si="12"/>
        <v>0</v>
      </c>
      <c r="AT84" s="4">
        <f t="shared" si="12"/>
        <v>0</v>
      </c>
      <c r="AU84" s="4">
        <f t="shared" si="12"/>
        <v>0</v>
      </c>
      <c r="AV84" s="4">
        <f t="shared" si="12"/>
        <v>0</v>
      </c>
      <c r="AW84" s="4">
        <f t="shared" si="12"/>
        <v>0</v>
      </c>
      <c r="AX84" s="4">
        <f t="shared" si="12"/>
        <v>0</v>
      </c>
      <c r="AY84" s="4">
        <f t="shared" si="12"/>
        <v>0</v>
      </c>
      <c r="AZ84" s="4">
        <f t="shared" si="12"/>
        <v>0</v>
      </c>
      <c r="BA84" s="4">
        <f t="shared" si="12"/>
        <v>0</v>
      </c>
      <c r="BB84" s="4">
        <f t="shared" si="12"/>
        <v>0</v>
      </c>
      <c r="BC84" s="4">
        <f t="shared" si="12"/>
        <v>0</v>
      </c>
      <c r="BD84" s="4">
        <f t="shared" si="12"/>
        <v>0</v>
      </c>
      <c r="BE84" s="4">
        <f t="shared" si="12"/>
        <v>0</v>
      </c>
      <c r="BF84" s="4">
        <f t="shared" si="12"/>
        <v>0</v>
      </c>
      <c r="BG84" s="4">
        <f t="shared" si="12"/>
        <v>0</v>
      </c>
      <c r="BH84" s="4">
        <f t="shared" si="12"/>
        <v>0</v>
      </c>
      <c r="BI84" s="4">
        <f t="shared" si="12"/>
        <v>0</v>
      </c>
      <c r="BJ84" s="4">
        <f t="shared" si="12"/>
        <v>0</v>
      </c>
      <c r="BK84" s="4">
        <f t="shared" si="12"/>
        <v>0</v>
      </c>
      <c r="BL84" s="4">
        <f t="shared" si="12"/>
        <v>0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13">AO75+AO78+AO81+AO84</f>
        <v>31</v>
      </c>
      <c r="AP85" s="4">
        <f t="shared" si="13"/>
        <v>4</v>
      </c>
      <c r="AQ85" s="4">
        <f t="shared" si="13"/>
        <v>1</v>
      </c>
      <c r="AR85" s="4">
        <f t="shared" si="13"/>
        <v>3</v>
      </c>
      <c r="AS85" s="4">
        <f t="shared" si="13"/>
        <v>6</v>
      </c>
      <c r="AT85" s="4">
        <f t="shared" si="13"/>
        <v>22</v>
      </c>
      <c r="AU85" s="4">
        <f t="shared" si="13"/>
        <v>5</v>
      </c>
      <c r="AV85" s="4">
        <f t="shared" si="13"/>
        <v>1</v>
      </c>
      <c r="AW85" s="4">
        <f t="shared" si="13"/>
        <v>7</v>
      </c>
      <c r="AX85" s="4">
        <f t="shared" si="13"/>
        <v>3</v>
      </c>
      <c r="AY85" s="4">
        <f t="shared" si="13"/>
        <v>0</v>
      </c>
      <c r="AZ85" s="4">
        <f t="shared" si="13"/>
        <v>6</v>
      </c>
      <c r="BA85" s="4">
        <f t="shared" si="13"/>
        <v>9</v>
      </c>
      <c r="BB85" s="4">
        <f t="shared" si="13"/>
        <v>17</v>
      </c>
      <c r="BC85" s="4">
        <f t="shared" si="13"/>
        <v>0</v>
      </c>
      <c r="BD85" s="4">
        <f t="shared" si="13"/>
        <v>0</v>
      </c>
      <c r="BE85" s="4">
        <f t="shared" si="13"/>
        <v>20</v>
      </c>
      <c r="BF85" s="4">
        <f t="shared" si="13"/>
        <v>23</v>
      </c>
      <c r="BG85" s="4">
        <f t="shared" si="13"/>
        <v>22</v>
      </c>
      <c r="BH85" s="4">
        <f t="shared" si="13"/>
        <v>21</v>
      </c>
      <c r="BI85" s="4">
        <f t="shared" si="13"/>
        <v>17</v>
      </c>
      <c r="BJ85" s="4">
        <f t="shared" si="13"/>
        <v>9</v>
      </c>
      <c r="BK85" s="4">
        <f t="shared" si="13"/>
        <v>1</v>
      </c>
      <c r="BL85" s="4">
        <f t="shared" si="13"/>
        <v>38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8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1292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1303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1292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1292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1330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1299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1300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1292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1296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1292</v>
      </c>
      <c r="L29" s="1"/>
      <c r="N29" t="s">
        <v>1302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1292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1332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1295</v>
      </c>
      <c r="N39" s="1" t="s">
        <v>1301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1295</v>
      </c>
      <c r="N40" s="1" t="s">
        <v>1301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1292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5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1409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1421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4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150" activePane="bottomLeft" state="frozenSplit"/>
      <selection pane="bottomLeft" activeCell="Z166" sqref="Z16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1287</v>
      </c>
      <c r="AD1" s="30" t="s">
        <v>1283</v>
      </c>
      <c r="AE1" s="30" t="s">
        <v>1242</v>
      </c>
      <c r="AF1" s="30" t="s">
        <v>1276</v>
      </c>
      <c r="AG1" s="26" t="s">
        <v>1280</v>
      </c>
      <c r="AH1" s="30" t="s">
        <v>1392</v>
      </c>
      <c r="AI1" s="30" t="s">
        <v>1243</v>
      </c>
      <c r="AJ1" s="30" t="s">
        <v>1240</v>
      </c>
      <c r="AK1" s="30" t="s">
        <v>1481</v>
      </c>
      <c r="AL1" s="30" t="s">
        <v>1227</v>
      </c>
    </row>
    <row r="2" spans="1:38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29</v>
      </c>
      <c r="AC2" s="1">
        <f>VLOOKUP(A2,'SegEnds_NonXtal_Prot#'!A:AL,10,FALSE)-VLOOKUP(A2,'SegEnds_NonXtal_Prot#'!A:AL,7,FALSE)</f>
        <v>16</v>
      </c>
      <c r="AD2" s="1">
        <f>VLOOKUP(A2,'SegEnds_NonXtal_Prot#'!A:AL,13,FALSE)-VLOOKUP(A2,'SegEnds_NonXtal_Prot#'!A:AL,10,FALSE)</f>
        <v>18</v>
      </c>
      <c r="AE2" s="1">
        <f>VLOOKUP(A2,'SegEnds_NonXtal_Prot#'!A:AL,16,FALSE)-VLOOKUP(A2,'SegEnds_NonXtal_Prot#'!A:AL,10,FALSE)</f>
        <v>50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38</v>
      </c>
      <c r="AI2" s="1">
        <f>VLOOKUP(A2,'SegEnds_NonXtal_Prot#'!A:AL,31,FALSE)-VLOOKUP(A2,'SegEnds_NonXtal_Prot#'!A:AL,28,FALSE)</f>
        <v>68</v>
      </c>
      <c r="AJ2" s="1">
        <f>VLOOKUP(A2,'SegEnds_NonXtal_Prot#'!A:AL,34,FALSE)-VLOOKUP(A2,'SegEnds_NonXtal_Prot#'!A:AL,31,FALSE)</f>
        <v>30</v>
      </c>
      <c r="AK2" s="1">
        <f>VLOOKUP(A2,'SegEnds_NonXtal_Prot#'!A:AL,37,FALSE)-VLOOKUP(A2,'SegEnds_NonXtal_Prot#'!A:AL,34,FALSE)</f>
        <v>11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88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INDEX(ICL3_classA!$G$2:$G$37,MATCH(MIN(ABS(AI4-ICL3_classA!$F$2:$F$37)),ABS(AI4-ICL3_classA!$F$2:$F$37),0))</f>
        <v>73</v>
      </c>
      <c r="U4" s="4">
        <f t="array" ref="U4">INDEX(ICL3_classA!$H$2:$H$37,MATCH(MIN(ABS(AI4-ICL3_classA!$F$2:$F$37)),ABS(AI4-ICL3_classA!$F$2:$F$37),0))</f>
        <v>22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4" t="e">
        <f>VLOOKUP(A4,'SegEnds_NonXtal_Prot#'!A:AL,10,FALSE)-VLOOKUP(A4,'SegEnds_NonXtal_Prot#'!A:AL,7,FALSE)</f>
        <v>#VALUE!</v>
      </c>
      <c r="AD4" s="4">
        <f>VLOOKUP(A4,'SegEnds_NonXtal_Prot#'!A:AL,13,FALSE)-VLOOKUP(A4,'SegEnds_NonXtal_Prot#'!A:AL,10,FALSE)</f>
        <v>15</v>
      </c>
      <c r="AE4" s="4">
        <f>VLOOKUP(A4,'SegEnds_NonXtal_Prot#'!A:AL,16,FALSE)-VLOOKUP(A4,'SegEnds_NonXtal_Prot#'!A:AL,10,FALSE)</f>
        <v>48</v>
      </c>
      <c r="AF4" s="1">
        <f>VLOOKUP(A4,'SegEnds_NonXtal_Prot#'!A:AL,22,FALSE)-VLOOKUP(A4,'SegEnds_NonXtal_Prot#'!A:AL,19,FALSE)</f>
        <v>20</v>
      </c>
      <c r="AG4" s="4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44</v>
      </c>
      <c r="AI4" s="4">
        <f>VLOOKUP(A4,'SegEnds_NonXtal_Prot#'!A:AL,31,FALSE)-VLOOKUP(A4,'SegEnds_NonXtal_Prot#'!A:AL,28,FALSE)</f>
        <v>57</v>
      </c>
      <c r="AJ4" s="4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249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INDEX(ICL3_classA!$G$2:$G$37,MATCH(MIN(ABS(AI5-ICL3_classA!$F$2:$F$37)),ABS(AI5-ICL3_classA!$F$2:$F$37),0))</f>
        <v>73</v>
      </c>
      <c r="U5" s="1">
        <f t="array" ref="U5">INDEX(ICL3_classA!$H$2:$H$37,MATCH(MIN(ABS(AI5-ICL3_classA!$F$2:$F$37)),ABS(AI5-ICL3_classA!$F$2:$F$37),0))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15</v>
      </c>
      <c r="AE5" s="1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1">
        <f>VLOOKUP(A5,'SegEnds_NonXtal_Prot#'!A:AL,31,FALSE)-VLOOKUP(A5,'SegEnds_NonXtal_Prot#'!A:AL,28,FALSE)</f>
        <v>57</v>
      </c>
      <c r="AJ5" s="1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26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39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INDEX(ICL3_classA!$G$2:$G$37,MATCH(MIN(ABS(AI8-ICL3_classA!$F$2:$F$37)),ABS(AI8-ICL3_classA!$F$2:$F$37),0))</f>
        <v>67</v>
      </c>
      <c r="U8" s="1">
        <f t="array" ref="U8">INDEX(ICL3_classA!$H$2:$H$37,MATCH(MIN(ABS(AI8-ICL3_classA!$F$2:$F$37)),ABS(AI8-ICL3_classA!$F$2:$F$37),0))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30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27</v>
      </c>
      <c r="AH8" s="1">
        <f>VLOOKUP(A8,'SegEnds_NonXtal_Prot#'!A:AL,28,FALSE)-VLOOKUP(A8,'SegEnds_NonXtal_Prot#'!A:AL,22,FALSE)</f>
        <v>57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33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29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27</v>
      </c>
      <c r="AH9" s="1">
        <f>VLOOKUP(A9,'SegEnds_NonXtal_Prot#'!A:AL,28,FALSE)-VLOOKUP(A9,'SegEnds_NonXtal_Prot#'!A:AL,22,FALSE)</f>
        <v>56</v>
      </c>
      <c r="AI9" s="1">
        <f>VLOOKUP(A9,'SegEnds_NonXtal_Prot#'!A:AL,31,FALSE)-VLOOKUP(A9,'SegEnds_NonXtal_Prot#'!A:AL,28,FALSE)</f>
        <v>44</v>
      </c>
      <c r="AJ9" s="1">
        <f>VLOOKUP(A9,'SegEnds_NonXtal_Prot#'!A:AL,34,FALSE)-VLOOKUP(A9,'SegEnds_NonXtal_Prot#'!A:AL,31,FALSE)</f>
        <v>33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56</v>
      </c>
      <c r="AI10" s="1">
        <f>VLOOKUP(A10,'SegEnds_NonXtal_Prot#'!A:AL,31,FALSE)-VLOOKUP(A10,'SegEnds_NonXtal_Prot#'!A:AL,28,FALSE)</f>
        <v>44</v>
      </c>
      <c r="AJ10" s="1">
        <f>VLOOKUP(A10,'SegEnds_NonXtal_Prot#'!A:AL,34,FALSE)-VLOOKUP(A10,'SegEnds_NonXtal_Prot#'!A:AL,31,FALSE)</f>
        <v>33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INDEX(ICL3_classA!$G$2:$G$37,MATCH(MIN(ABS(AI11-ICL3_classA!$F$2:$F$37)),ABS(AI11-ICL3_classA!$F$2:$F$37),0))</f>
        <v>74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67</v>
      </c>
      <c r="AH11" s="1">
        <f>VLOOKUP(A11,'SegEnds_NonXtal_Prot#'!A:AL,28,FALSE)-VLOOKUP(A11,'SegEnds_NonXtal_Prot#'!A:AL,22,FALSE)</f>
        <v>90</v>
      </c>
      <c r="AI11" s="1">
        <f>VLOOKUP(A11,'SegEnds_NonXtal_Prot#'!A:AL,31,FALSE)-VLOOKUP(A11,'SegEnds_NonXtal_Prot#'!A:AL,28,FALSE)</f>
        <v>99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362</v>
      </c>
      <c r="B12" s="1" t="str">
        <f>VLOOKUP(A12,Xtal_Templ!A:B,2,FALSE)</f>
        <v>pe2r4_human</v>
      </c>
      <c r="C12" s="5">
        <f>VLOOKUP($B12&amp;"__wt",'SegEnds_Xtal_BW#'!$A:$Z,3,FALSE)</f>
        <v>33</v>
      </c>
      <c r="D12" s="1">
        <f>VLOOKUP($B12&amp;"__wt",'SegEnds_Xtal_BW#'!$A:$Z,4,FALSE)</f>
        <v>58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39</v>
      </c>
      <c r="AC12" s="1">
        <f>VLOOKUP(A12,'SegEnds_NonXtal_Prot#'!A:AL,10,FALSE)-VLOOKUP(A12,'SegEnds_NonXtal_Prot#'!A:AL,7,FALSE)</f>
        <v>20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56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22</v>
      </c>
      <c r="AH12" s="1">
        <f>VLOOKUP(A12,'SegEnds_NonXtal_Prot#'!A:AL,28,FALSE)-VLOOKUP(A12,'SegEnds_NonXtal_Prot#'!A:AL,22,FALSE)</f>
        <v>48</v>
      </c>
      <c r="AI12" s="1">
        <f>VLOOKUP(A12,'SegEnds_NonXtal_Prot#'!A:AL,31,FALSE)-VLOOKUP(A12,'SegEnds_NonXtal_Prot#'!A:AL,28,FALSE)</f>
        <v>70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136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83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08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54</v>
      </c>
      <c r="AI14" s="1">
        <f>VLOOKUP(A14,'SegEnds_NonXtal_Prot#'!A:AL,31,FALSE)-VLOOKUP(A14,'SegEnds_NonXtal_Prot#'!A:AL,28,FALSE)</f>
        <v>56</v>
      </c>
      <c r="AJ14" s="1">
        <f>VLOOKUP(A14,'SegEnds_NonXtal_Prot#'!A:AL,34,FALSE)-VLOOKUP(A14,'SegEnds_NonXtal_Prot#'!A:AL,31,FALSE)</f>
        <v>34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155</v>
      </c>
      <c r="B15" s="1" t="str">
        <f>VLOOKUP(A15,Xtal_Templ!A:B,2,FALSE)</f>
        <v>drd2_human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75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20</v>
      </c>
      <c r="AH15" s="1">
        <f>VLOOKUP(A15,'SegEnds_NonXtal_Prot#'!A:AL,28,FALSE)-VLOOKUP(A15,'SegEnds_NonXtal_Prot#'!A:AL,22,FALSE)</f>
        <v>50</v>
      </c>
      <c r="AI15" s="1">
        <f>VLOOKUP(A15,'SegEnds_NonXtal_Prot#'!A:AL,31,FALSE)-VLOOKUP(A15,'SegEnds_NonXtal_Prot#'!A:AL,28,FALSE)</f>
        <v>181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INDEX(ICL3_classA!$G$2:$G$37,MATCH(MIN(ABS(AI16-ICL3_classA!$F$2:$F$37)),ABS(AI16-ICL3_classA!$F$2:$F$37),0))</f>
        <v>67</v>
      </c>
      <c r="U16" s="1">
        <f t="array" ref="U16">INDEX(ICL3_classA!$H$2:$H$37,MATCH(MIN(ABS(AI16-ICL3_classA!$F$2:$F$37)),ABS(AI16-ICL3_classA!$F$2:$F$37),0))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24</v>
      </c>
      <c r="AH16" s="1">
        <f>VLOOKUP(A16,'SegEnds_NonXtal_Prot#'!A:AL,28,FALSE)-VLOOKUP(A16,'SegEnds_NonXtal_Prot#'!A:AL,22,FALSE)</f>
        <v>63</v>
      </c>
      <c r="AI16" s="1">
        <f>VLOOKUP(A16,'SegEnds_NonXtal_Prot#'!A:AL,31,FALSE)-VLOOKUP(A16,'SegEnds_NonXtal_Prot#'!A:AL,28,FALSE)</f>
        <v>45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08" t="s">
        <v>23</v>
      </c>
      <c r="N17" s="12" t="s">
        <v>23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29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26</v>
      </c>
      <c r="AE17" s="1">
        <f>VLOOKUP(A17,'SegEnds_NonXtal_Prot#'!A:AL,16,FALSE)-VLOOKUP(A17,'SegEnds_NonXtal_Prot#'!A:AL,10,FALSE)</f>
        <v>69</v>
      </c>
      <c r="AF17" s="1" t="e">
        <f>VLOOKUP(A17,'SegEnds_NonXtal_Prot#'!A:AL,22,FALSE)-VLOOKUP(A17,'SegEnds_NonXtal_Prot#'!A:AL,19,FALSE)</f>
        <v>#VALUE!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53</v>
      </c>
      <c r="AI17" s="1">
        <f>VLOOKUP(A17,'SegEnds_NonXtal_Prot#'!A:AL,31,FALSE)-VLOOKUP(A17,'SegEnds_NonXtal_Prot#'!A:AL,28,FALSE)</f>
        <v>114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76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08">
        <v>55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>
        <f>VLOOKUP(A18,'SegEnds_NonXtal_Prot#'!A:AL,10,FALSE)-VLOOKUP(A18,'SegEnds_NonXtal_Prot#'!A:AL,7,FALSE)</f>
        <v>14</v>
      </c>
      <c r="AD18" s="1">
        <f>VLOOKUP(A18,'SegEnds_NonXtal_Prot#'!A:AL,13,FALSE)-VLOOKUP(A18,'SegEnds_NonXtal_Prot#'!A:AL,10,FALSE)</f>
        <v>24</v>
      </c>
      <c r="AE18" s="1">
        <f>VLOOKUP(A18,'SegEnds_NonXtal_Prot#'!A:AL,16,FALSE)-VLOOKUP(A18,'SegEnds_NonXtal_Prot#'!A:AL,10,FALSE)</f>
        <v>56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76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9</v>
      </c>
      <c r="AL18" s="1" t="str">
        <f>IF(ISERROR(MATCH(A18,'SegEnds_Xtal_Prot#'!B:B, 0)), "NoXtal", "Xtal")</f>
        <v>NoXtal</v>
      </c>
    </row>
    <row r="19" spans="1:38" x14ac:dyDescent="0.2">
      <c r="A19" s="1" t="s">
        <v>228</v>
      </c>
      <c r="B19" s="1" t="str">
        <f>VLOOKUP(A19,Xtal_Templ!A:B,2,FALSE)</f>
        <v>npy1r_human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08"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74</v>
      </c>
      <c r="U19" s="1">
        <f t="array" ref="U19">INDEX(ICL3_classA!$H$2:$H$37,MATCH(MIN(ABS(AI19-ICL3_classA!$F$2:$F$37)),ABS(AI19-ICL3_classA!$F$2:$F$37),0))</f>
        <v>24</v>
      </c>
      <c r="V19" s="1">
        <v>61</v>
      </c>
      <c r="W19" s="1">
        <v>32</v>
      </c>
      <c r="X19" s="108">
        <v>55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>
        <f>VLOOKUP(A19,'SegEnds_NonXtal_Prot#'!A:AL,10,FALSE)-VLOOKUP(A19,'SegEnds_NonXtal_Prot#'!A:AL,7,FALSE)</f>
        <v>14</v>
      </c>
      <c r="AD19" s="1">
        <f>VLOOKUP(A19,'SegEnds_NonXtal_Prot#'!A:AL,13,FALSE)-VLOOKUP(A19,'SegEnds_NonXtal_Prot#'!A:AL,10,FALSE)</f>
        <v>25</v>
      </c>
      <c r="AE19" s="1">
        <f>VLOOKUP(A19,'SegEnds_NonXtal_Prot#'!A:AL,16,FALSE)-VLOOKUP(A19,'SegEnds_NonXtal_Prot#'!A:AL,10,FALSE)</f>
        <v>57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49</v>
      </c>
      <c r="AI19" s="1">
        <f>VLOOKUP(A19,'SegEnds_NonXtal_Prot#'!A:AL,31,FALSE)-VLOOKUP(A19,'SegEnds_NonXtal_Prot#'!A:AL,28,FALSE)</f>
        <v>96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9</v>
      </c>
      <c r="AL19" s="1" t="str">
        <f>IF(ISERROR(MATCH(A19,'SegEnds_Xtal_Prot#'!B:B, 0)), "NoXtal", "Xtal")</f>
        <v>NoXtal</v>
      </c>
    </row>
    <row r="20" spans="1:38" x14ac:dyDescent="0.2">
      <c r="A20" s="1" t="s">
        <v>244</v>
      </c>
      <c r="B20" s="1" t="str">
        <f>VLOOKUP(A20,Xtal_Templ!A:B,2,FALSE)</f>
        <v>5ht2a_human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08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67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INDEX(ICL3_classA!$G$2:$G$37,MATCH(MIN(ABS(AI20-ICL3_classA!$F$2:$F$37)),ABS(AI20-ICL3_classA!$F$2:$F$37),0))</f>
        <v>74</v>
      </c>
      <c r="U20" s="1">
        <f t="array" ref="U20">INDEX(ICL3_classA!$H$2:$H$37,MATCH(MIN(ABS(AI20-ICL3_classA!$F$2:$F$37)),ABS(AI20-ICL3_classA!$F$2:$F$37),0))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60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>
        <f>VLOOKUP(A20,'SegEnds_NonXtal_Prot#'!A:AL,10,FALSE)-VLOOKUP(A20,'SegEnds_NonXtal_Prot#'!A:AL,7,FALSE)</f>
        <v>16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21</v>
      </c>
      <c r="AH20" s="1">
        <f>VLOOKUP(A20,'SegEnds_NonXtal_Prot#'!A:AL,28,FALSE)-VLOOKUP(A20,'SegEnds_NonXtal_Prot#'!A:AL,22,FALSE)</f>
        <v>48</v>
      </c>
      <c r="AI20" s="1">
        <f>VLOOKUP(A20,'SegEnds_NonXtal_Prot#'!A:AL,31,FALSE)-VLOOKUP(A20,'SegEnds_NonXtal_Prot#'!A:AL,28,FALSE)</f>
        <v>65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31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08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21</v>
      </c>
      <c r="AH21" s="1">
        <f>VLOOKUP(A21,'SegEnds_NonXtal_Prot#'!A:AL,28,FALSE)-VLOOKUP(A21,'SegEnds_NonXtal_Prot#'!A:AL,22,FALSE)</f>
        <v>48</v>
      </c>
      <c r="AI21" s="1">
        <f>VLOOKUP(A21,'SegEnds_NonXtal_Prot#'!A:AL,31,FALSE)-VLOOKUP(A21,'SegEnds_NonXtal_Prot#'!A:AL,28,FALSE)</f>
        <v>66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INDEX(ICL3_classA!$G$2:$G$37,MATCH(MIN(ABS(AI22-ICL3_classA!$F$2:$F$37)),ABS(AI22-ICL3_classA!$F$2:$F$37),0))</f>
        <v>74</v>
      </c>
      <c r="U22" s="1">
        <f t="array" ref="U22">INDEX(ICL3_classA!$H$2:$H$37,MATCH(MIN(ABS(AI22-ICL3_classA!$F$2:$F$37)),ABS(AI22-ICL3_classA!$F$2:$F$37),0))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61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72</v>
      </c>
      <c r="AI22" s="1">
        <f>VLOOKUP(A22,'SegEnds_NonXtal_Prot#'!A:AL,31,FALSE)-VLOOKUP(A22,'SegEnds_NonXtal_Prot#'!A:AL,28,FALSE)</f>
        <v>61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28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44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42</v>
      </c>
      <c r="AI24" s="1">
        <f>VLOOKUP(A24,'SegEnds_NonXtal_Prot#'!A:AL,31,FALSE)-VLOOKUP(A24,'SegEnds_NonXtal_Prot#'!A:AL,28,FALSE)</f>
        <v>42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303</v>
      </c>
      <c r="B25" s="1" t="str">
        <f>VLOOKUP(A25,Xtal_Templ!A:B,2,FALSE)</f>
        <v>c5ar1_human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31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08">
        <v>56</v>
      </c>
      <c r="Y25" s="1">
        <f>VLOOKUP($B25&amp;"__wt",'SegEnds_Xtal_BW#'!$A:$Z,25,FALSE)</f>
        <v>47</v>
      </c>
      <c r="Z25" s="1">
        <f>VLOOKUP($B25&amp;"__wt",'SegEnds_Xtal_BW#'!$A:$Z,26,FALSE)</f>
        <v>56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52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08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67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46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41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19</v>
      </c>
      <c r="AE27" s="1">
        <f>VLOOKUP(A27,'SegEnds_NonXtal_Prot#'!A:AL,16,FALSE)-VLOOKUP(A27,'SegEnds_NonXtal_Prot#'!A:AL,10,FALSE)</f>
        <v>51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53</v>
      </c>
      <c r="AI27" s="1">
        <f>VLOOKUP(A27,'SegEnds_NonXtal_Prot#'!A:AL,31,FALSE)-VLOOKUP(A27,'SegEnds_NonXtal_Prot#'!A:AL,28,FALSE)</f>
        <v>51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384</v>
      </c>
      <c r="B28" s="1" t="str">
        <f>VLOOKUP(A28,Xtal_Templ!A:B,2,FALSE)</f>
        <v>oprk_human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30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19</v>
      </c>
      <c r="AE28" s="1">
        <f>VLOOKUP(A28,'SegEnds_NonXtal_Prot#'!A:AL,16,FALSE)-VLOOKUP(A28,'SegEnds_NonXtal_Prot#'!A:AL,10,FALSE)</f>
        <v>51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25</v>
      </c>
      <c r="AH28" s="1">
        <f>VLOOKUP(A28,'SegEnds_NonXtal_Prot#'!A:AL,28,FALSE)-VLOOKUP(A28,'SegEnds_NonXtal_Prot#'!A:AL,22,FALSE)</f>
        <v>52</v>
      </c>
      <c r="AI28" s="1">
        <f>VLOOKUP(A28,'SegEnds_NonXtal_Prot#'!A:AL,31,FALSE)-VLOOKUP(A28,'SegEnds_NonXtal_Prot#'!A:AL,28,FALSE)</f>
        <v>51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21</v>
      </c>
      <c r="AH29" s="1">
        <f>VLOOKUP(A29,'SegEnds_NonXtal_Prot#'!A:AL,28,FALSE)-VLOOKUP(A29,'SegEnds_NonXtal_Prot#'!A:AL,22,FALSE)</f>
        <v>47</v>
      </c>
      <c r="AI29" s="1">
        <f>VLOOKUP(A29,'SegEnds_NonXtal_Prot#'!A:AL,31,FALSE)-VLOOKUP(A29,'SegEnds_NonXtal_Prot#'!A:AL,28,FALSE)</f>
        <v>112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26"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1">
        <f>VLOOKUP(A30,'SegEnds_NonXtal_Prot#'!A:AL,10,FALSE)-VLOOKUP(A30,'SegEnds_NonXtal_Prot#'!A:AL,7,FALSE)</f>
        <v>16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58</v>
      </c>
      <c r="AI30" s="1">
        <f>VLOOKUP(A30,'SegEnds_NonXtal_Prot#'!A:AL,31,FALSE)-VLOOKUP(A30,'SegEnds_NonXtal_Prot#'!A:AL,28,FALSE)</f>
        <v>70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68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35</v>
      </c>
      <c r="T31" s="1">
        <f t="array" ref="T31">INDEX(ICL3_classA!$G$2:$G$37,MATCH(MIN(ABS(AI31-ICL3_classA!$F$2:$F$37)),ABS(AI31-ICL3_classA!$F$2:$F$37),0))</f>
        <v>76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21</v>
      </c>
      <c r="AE31" s="1">
        <f>VLOOKUP(A31,'SegEnds_NonXtal_Prot#'!A:AL,16,FALSE)-VLOOKUP(A31,'SegEnds_NonXtal_Prot#'!A:AL,10,FALSE)</f>
        <v>53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46</v>
      </c>
      <c r="AI31" s="1">
        <f>VLOOKUP(A31,'SegEnds_NonXtal_Prot#'!A:AL,31,FALSE)-VLOOKUP(A31,'SegEnds_NonXtal_Prot#'!A:AL,28,FALSE)</f>
        <v>88</v>
      </c>
      <c r="AJ31" s="1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7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180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Xtal</v>
      </c>
    </row>
    <row r="33" spans="1:38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204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75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60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50</v>
      </c>
      <c r="AI34" s="1">
        <f>VLOOKUP(A34,'SegEnds_NonXtal_Prot#'!A:AL,31,FALSE)-VLOOKUP(A34,'SegEnds_NonXtal_Prot#'!A:AL,28,FALSE)</f>
        <v>263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28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1">
        <f>VLOOKUP($B35&amp;"__wt",'SegEnds_Xtal_BW#'!$A:$Z,19,FALSE)</f>
        <v>35</v>
      </c>
      <c r="T35" s="4">
        <f t="array" ref="T35">INDEX(ICL3_classA!$G$2:$G$37,MATCH(MIN(ABS(AI35-ICL3_classA!$F$2:$F$37)),ABS(AI35-ICL3_classA!$F$2:$F$37),0))</f>
        <v>75</v>
      </c>
      <c r="U35" s="4">
        <f t="array" ref="U35">INDEX(ICL3_classA!$H$2:$H$37,MATCH(MIN(ABS(AI35-ICL3_classA!$F$2:$F$37)),ABS(AI35-ICL3_classA!$F$2:$F$37),0))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60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4">
        <f>VLOOKUP(A35,'SegEnds_NonXtal_Prot#'!A:AL,10,FALSE)-VLOOKUP(A35,'SegEnds_NonXtal_Prot#'!A:AL,7,FALSE)</f>
        <v>15</v>
      </c>
      <c r="AD35" s="4">
        <f>VLOOKUP(A35,'SegEnds_NonXtal_Prot#'!A:AL,13,FALSE)-VLOOKUP(A35,'SegEnds_NonXtal_Prot#'!A:AL,10,FALSE)</f>
        <v>20</v>
      </c>
      <c r="AE35" s="4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4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50</v>
      </c>
      <c r="AI35" s="4">
        <f>VLOOKUP(A35,'SegEnds_NonXtal_Prot#'!A:AL,31,FALSE)-VLOOKUP(A35,'SegEnds_NonXtal_Prot#'!A:AL,28,FALSE)</f>
        <v>263</v>
      </c>
      <c r="AJ35" s="4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Xtal</v>
      </c>
    </row>
    <row r="36" spans="1:38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INDEX(ICL3_classA!$G$2:$G$37,MATCH(MIN(ABS(AI36-ICL3_classA!$F$2:$F$37)),ABS(AI36-ICL3_classA!$F$2:$F$37),0))</f>
        <v>75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22</v>
      </c>
      <c r="AH36" s="1">
        <f>VLOOKUP(A36,'SegEnds_NonXtal_Prot#'!A:AL,28,FALSE)-VLOOKUP(A36,'SegEnds_NonXtal_Prot#'!A:AL,22,FALSE)</f>
        <v>50</v>
      </c>
      <c r="AI36" s="1">
        <f>VLOOKUP(A36,'SegEnds_NonXtal_Prot#'!A:AL,31,FALSE)-VLOOKUP(A36,'SegEnds_NonXtal_Prot#'!A:AL,28,FALSE)</f>
        <v>208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Xtal</v>
      </c>
    </row>
    <row r="37" spans="1:38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75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22</v>
      </c>
      <c r="AH37" s="1">
        <f>VLOOKUP(A37,'SegEnds_NonXtal_Prot#'!A:AL,28,FALSE)-VLOOKUP(A37,'SegEnds_NonXtal_Prot#'!A:AL,22,FALSE)</f>
        <v>50</v>
      </c>
      <c r="AI37" s="1">
        <f>VLOOKUP(A37,'SegEnds_NonXtal_Prot#'!A:AL,31,FALSE)-VLOOKUP(A37,'SegEnds_NonXtal_Prot#'!A:AL,28,FALSE)</f>
        <v>252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53</v>
      </c>
      <c r="AI38" s="1">
        <f>VLOOKUP(A38,'SegEnds_NonXtal_Prot#'!A:AL,31,FALSE)-VLOOKUP(A38,'SegEnds_NonXtal_Prot#'!A:AL,28,FALSE)</f>
        <v>103</v>
      </c>
      <c r="AJ38" s="1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9</v>
      </c>
      <c r="AL38" s="1" t="str">
        <f>IF(ISERROR(MATCH(A38,'SegEnds_Xtal_Prot#'!B:B, 0)), "NoXtal", "Xtal")</f>
        <v>NoXtal</v>
      </c>
    </row>
    <row r="39" spans="1:38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53</v>
      </c>
      <c r="AI39" s="1">
        <f>VLOOKUP(A39,'SegEnds_NonXtal_Prot#'!A:AL,31,FALSE)-VLOOKUP(A39,'SegEnds_NonXtal_Prot#'!A:AL,28,FALSE)</f>
        <v>86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9</v>
      </c>
      <c r="AL39" s="1" t="str">
        <f>IF(ISERROR(MATCH(A39,'SegEnds_Xtal_Prot#'!B:B, 0)), "NoXtal", "Xtal")</f>
        <v>Xtal</v>
      </c>
    </row>
    <row r="40" spans="1:38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20</v>
      </c>
      <c r="AH40" s="1">
        <f>VLOOKUP(A40,'SegEnds_NonXtal_Prot#'!A:AL,28,FALSE)-VLOOKUP(A40,'SegEnds_NonXtal_Prot#'!A:AL,22,FALSE)</f>
        <v>53</v>
      </c>
      <c r="AI40" s="1">
        <f>VLOOKUP(A40,'SegEnds_NonXtal_Prot#'!A:AL,31,FALSE)-VLOOKUP(A40,'SegEnds_NonXtal_Prot#'!A:AL,28,FALSE)</f>
        <v>77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9</v>
      </c>
      <c r="AL40" s="1" t="str">
        <f>IF(ISERROR(MATCH(A40,'SegEnds_Xtal_Prot#'!B:B, 0)), "NoXtal", "Xtal")</f>
        <v>Xtal</v>
      </c>
    </row>
    <row r="41" spans="1:38" x14ac:dyDescent="0.2">
      <c r="A41" s="1" t="s">
        <v>191</v>
      </c>
      <c r="B41" s="1" t="str">
        <f>VLOOKUP(A41,Xtal_Templ!A:B,2,FALSE)</f>
        <v>drd2_human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58</v>
      </c>
      <c r="O41" s="87">
        <v>38</v>
      </c>
      <c r="P41" s="1">
        <f>VLOOKUP($B41&amp;"__wt",'SegEnds_Xtal_BW#'!$A:$Z,16,FALSE)</f>
        <v>62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INDEX(ICL3_classA!$G$2:$G$37,MATCH(MIN(ABS(AI41-ICL3_classA!$F$2:$F$37)),ABS(AI41-ICL3_classA!$F$2:$F$37),0))</f>
        <v>75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21</v>
      </c>
      <c r="AG41" s="1">
        <f>VLOOKUP(A41,'SegEnds_NonXtal_Prot#'!A:AL,28,FALSE)-VLOOKUP(A41,'SegEnds_NonXtal_Prot#'!A:AL,25,FALSE)</f>
        <v>19</v>
      </c>
      <c r="AH41" s="1">
        <f>VLOOKUP(A41,'SegEnds_NonXtal_Prot#'!A:AL,28,FALSE)-VLOOKUP(A41,'SegEnds_NonXtal_Prot#'!A:AL,22,FALSE)</f>
        <v>41</v>
      </c>
      <c r="AI41" s="1">
        <f>VLOOKUP(A41,'SegEnds_NonXtal_Prot#'!A:AL,31,FALSE)-VLOOKUP(A41,'SegEnds_NonXtal_Prot#'!A:AL,28,FALSE)</f>
        <v>187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226</v>
      </c>
      <c r="B42" s="1" t="str">
        <f>VLOOKUP(A42,Xtal_Templ!A:B,2,FALSE)</f>
        <v>p2y12_human</v>
      </c>
      <c r="C42" s="5">
        <f>VLOOKUP($B42&amp;"__wt",'SegEnds_Xtal_BW#'!$A:$Z,3,FALSE)</f>
        <v>28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f>VLOOKUP($B42&amp;"__wt",'SegEnds_Xtal_BW#'!$A:$Z,8,FALSE)</f>
        <v>66</v>
      </c>
      <c r="I42" s="1" t="str">
        <f>VLOOKUP($B42&amp;"__wt",'SegEnds_Xtal_BW#'!$A:$Z,9,FALSE)</f>
        <v>-</v>
      </c>
      <c r="J42" s="1" t="str">
        <f>VLOOKUP($B42&amp;"__wt",'SegEnds_Xtal_BW#'!$A:$Z,10,FALSE)</f>
        <v>-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73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57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27</v>
      </c>
      <c r="AC42" s="1" t="e">
        <f>VLOOKUP(A42,'SegEnds_NonXtal_Prot#'!A:AL,10,FALSE)-VLOOKUP(A42,'SegEnds_NonXtal_Prot#'!A:AL,7,FALSE)</f>
        <v>#VALUE!</v>
      </c>
      <c r="AD42" s="1" t="e">
        <f>VLOOKUP(A42,'SegEnds_NonXtal_Prot#'!A:AL,13,FALSE)-VLOOKUP(A42,'SegEnds_NonXtal_Prot#'!A:AL,10,FALSE)</f>
        <v>#VALUE!</v>
      </c>
      <c r="AE42" s="1">
        <f>VLOOKUP(A42,'SegEnds_NonXtal_Prot#'!A:AL,16,FALSE)-VLOOKUP(A42,'SegEnds_NonXtal_Prot#'!A:AL,10,FALSE)</f>
        <v>54</v>
      </c>
      <c r="AF42" s="1" t="e">
        <f>VLOOKUP(A42,'SegEnds_NonXtal_Prot#'!A:AL,22,FALSE)-VLOOKUP(A42,'SegEnds_NonXtal_Prot#'!A:AL,19,FALSE)</f>
        <v>#VALUE!</v>
      </c>
      <c r="AG42" s="1">
        <f>VLOOKUP(A42,'SegEnds_NonXtal_Prot#'!A:AL,28,FALSE)-VLOOKUP(A42,'SegEnds_NonXtal_Prot#'!A:AL,25,FALSE)</f>
        <v>22</v>
      </c>
      <c r="AH42" s="1">
        <f>VLOOKUP(A42,'SegEnds_NonXtal_Prot#'!A:AL,28,FALSE)-VLOOKUP(A42,'SegEnds_NonXtal_Prot#'!A:AL,22,FALSE)</f>
        <v>49</v>
      </c>
      <c r="AI42" s="1">
        <f>VLOOKUP(A42,'SegEnds_NonXtal_Prot#'!A:AL,31,FALSE)-VLOOKUP(A42,'SegEnds_NonXtal_Prot#'!A:AL,28,FALSE)</f>
        <v>58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247</v>
      </c>
      <c r="B43" s="1" t="str">
        <f>VLOOKUP(A43,Xtal_Templ!A:B,2,FALSE)</f>
        <v>drd2_human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62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29</v>
      </c>
      <c r="AC43" s="1">
        <f>VLOOKUP(A43,'SegEnds_NonXtal_Prot#'!A:AL,10,FALSE)-VLOOKUP(A43,'SegEnds_NonXtal_Prot#'!A:AL,7,FALSE)</f>
        <v>16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25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72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267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28</v>
      </c>
      <c r="AH44" s="1">
        <f>VLOOKUP(A44,'SegEnds_NonXtal_Prot#'!A:AL,28,FALSE)-VLOOKUP(A44,'SegEnds_NonXtal_Prot#'!A:AL,22,FALSE)</f>
        <v>53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7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57</v>
      </c>
      <c r="AI45" s="1">
        <f>VLOOKUP(A45,'SegEnds_NonXtal_Prot#'!A:AL,31,FALSE)-VLOOKUP(A45,'SegEnds_NonXtal_Prot#'!A:AL,28,FALSE)</f>
        <v>56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22</v>
      </c>
      <c r="AH46" s="1">
        <f>VLOOKUP(A46,'SegEnds_NonXtal_Prot#'!A:AL,28,FALSE)-VLOOKUP(A46,'SegEnds_NonXtal_Prot#'!A:AL,22,FALSE)</f>
        <v>50</v>
      </c>
      <c r="AI46" s="1">
        <f>VLOOKUP(A46,'SegEnds_NonXtal_Prot#'!A:AL,31,FALSE)-VLOOKUP(A46,'SegEnds_NonXtal_Prot#'!A:AL,28,FALSE)</f>
        <v>228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INDEX(ICL3_classA!$G$2:$G$37,MATCH(MIN(ABS(AI47-ICL3_classA!$F$2:$F$37)),ABS(AI47-ICL3_classA!$F$2:$F$37),0))</f>
        <v>73</v>
      </c>
      <c r="U47" s="1">
        <f t="array" ref="U47">INDEX(ICL3_classA!$H$2:$H$37,MATCH(MIN(ABS(AI47-ICL3_classA!$F$2:$F$37)),ABS(AI47-ICL3_classA!$F$2:$F$37),0))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56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366</v>
      </c>
      <c r="B48" s="1" t="str">
        <f>VLOOKUP(A48,Xtal_Templ!A:B,2,FALSE)</f>
        <v>pe2r4_human</v>
      </c>
      <c r="C48" s="5">
        <f>VLOOKUP($B48&amp;"__wt",'SegEnds_Xtal_BW#'!$A:$Z,3,FALSE)</f>
        <v>33</v>
      </c>
      <c r="D48" s="1">
        <f>VLOOKUP($B48&amp;"__wt",'SegEnds_Xtal_BW#'!$A:$Z,4,FALSE)</f>
        <v>58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f>VLOOKUP($B48&amp;"__wt",'SegEnds_Xtal_BW#'!$A:$Z,15,FALSE)</f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08">
        <v>56</v>
      </c>
      <c r="Y48" s="1">
        <f>VLOOKUP($B48&amp;"__wt",'SegEnds_Xtal_BW#'!$A:$Z,25,FALSE)</f>
        <v>47</v>
      </c>
      <c r="Z48" s="1">
        <f>VLOOKUP($B48&amp;"__wt",'SegEnds_Xtal_BW#'!$A:$Z,26,FALSE)</f>
        <v>60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29</v>
      </c>
      <c r="AC48" s="1" t="e">
        <f>VLOOKUP(A48,'SegEnds_NonXtal_Prot#'!A:AL,10,FALSE)-VLOOKUP(A48,'SegEnds_NonXtal_Prot#'!A:AL,7,FALSE)</f>
        <v>#VALUE!</v>
      </c>
      <c r="AD48" s="1" t="e">
        <f>VLOOKUP(A48,'SegEnds_NonXtal_Prot#'!A:AL,13,FALSE)-VLOOKUP(A48,'SegEnds_NonXtal_Prot#'!A:AL,10,FALSE)</f>
        <v>#VALUE!</v>
      </c>
      <c r="AE48" s="1">
        <f>VLOOKUP(A48,'SegEnds_NonXtal_Prot#'!A:AL,16,FALSE)-VLOOKUP(A48,'SegEnds_NonXtal_Prot#'!A:AL,10,FALSE)</f>
        <v>57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27</v>
      </c>
      <c r="AH48" s="1">
        <f>VLOOKUP(A48,'SegEnds_NonXtal_Prot#'!A:AL,28,FALSE)-VLOOKUP(A48,'SegEnds_NonXtal_Prot#'!A:AL,22,FALSE)</f>
        <v>53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INDEX(ICL3_classA!$G$2:$G$37,MATCH(MIN(ABS(AI49-ICL3_classA!$F$2:$F$37)),ABS(AI49-ICL3_classA!$F$2:$F$37),0))</f>
        <v>72</v>
      </c>
      <c r="U49" s="1">
        <f t="array" ref="U49">INDEX(ICL3_classA!$H$2:$H$37,MATCH(MIN(ABS(AI49-ICL3_classA!$F$2:$F$37)),ABS(AI49-ICL3_classA!$F$2:$F$37),0))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 t="e">
        <f>VLOOKUP(A49,'SegEnds_NonXtal_Prot#'!A:AL,13,FALSE)-VLOOKUP(A49,'SegEnds_NonXtal_Prot#'!A:AL,10,FALSE)</f>
        <v>#VALUE!</v>
      </c>
      <c r="AE49" s="1">
        <f>VLOOKUP(A49,'SegEnds_NonXtal_Prot#'!A:AL,16,FALSE)-VLOOKUP(A49,'SegEnds_NonXtal_Prot#'!A:AL,10,FALSE)</f>
        <v>59</v>
      </c>
      <c r="AF49" s="1">
        <f>VLOOKUP(A49,'SegEnds_NonXtal_Prot#'!A:AL,22,FALSE)-VLOOKUP(A49,'SegEnds_NonXtal_Prot#'!A:AL,19,FALSE)</f>
        <v>19</v>
      </c>
      <c r="AG49" s="1">
        <f>VLOOKUP(A49,'SegEnds_NonXtal_Prot#'!A:AL,28,FALSE)-VLOOKUP(A49,'SegEnds_NonXtal_Prot#'!A:AL,25,FALSE)</f>
        <v>28</v>
      </c>
      <c r="AH49" s="1">
        <f>VLOOKUP(A49,'SegEnds_NonXtal_Prot#'!A:AL,28,FALSE)-VLOOKUP(A49,'SegEnds_NonXtal_Prot#'!A:AL,22,FALSE)</f>
        <v>55</v>
      </c>
      <c r="AI49" s="1">
        <f>VLOOKUP(A49,'SegEnds_NonXtal_Prot#'!A:AL,31,FALSE)-VLOOKUP(A49,'SegEnds_NonXtal_Prot#'!A:AL,28,FALSE)</f>
        <v>52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INDEX(ICL3_classA!$G$2:$G$37,MATCH(MIN(ABS(AI50-ICL3_classA!$F$2:$F$37)),ABS(AI50-ICL3_classA!$F$2:$F$37),0))</f>
        <v>72</v>
      </c>
      <c r="U50" s="1">
        <f t="array" ref="U50">INDEX(ICL3_classA!$H$2:$H$37,MATCH(MIN(ABS(AI50-ICL3_classA!$F$2:$F$37)),ABS(AI50-ICL3_classA!$F$2:$F$37),0))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24</v>
      </c>
      <c r="AE50" s="1">
        <f>VLOOKUP(A50,'SegEnds_NonXtal_Prot#'!A:AL,16,FALSE)-VLOOKUP(A50,'SegEnds_NonXtal_Prot#'!A:AL,10,FALSE)</f>
        <v>59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28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52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387</v>
      </c>
      <c r="B51" s="1" t="str">
        <f>VLOOKUP(A51,Xtal_Templ!A:B,2,FALSE)</f>
        <v>drd2_human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62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INDEX(ICL3_classA!$G$2:$G$37,MATCH(MIN(ABS(AI51-ICL3_classA!$F$2:$F$37)),ABS(AI51-ICL3_classA!$F$2:$F$37),0))</f>
        <v>74</v>
      </c>
      <c r="U51" s="1">
        <f t="array" ref="U51">INDEX(ICL3_classA!$H$2:$H$37,MATCH(MIN(ABS(AI51-ICL3_classA!$F$2:$F$37)),ABS(AI51-ICL3_classA!$F$2:$F$37),0))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20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64</v>
      </c>
      <c r="AJ51" s="1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INDEX(ICL3_classA!$G$2:$G$37,MATCH(MIN(ABS(AI52-ICL3_classA!$F$2:$F$37)),ABS(AI52-ICL3_classA!$F$2:$F$37),0))</f>
        <v>73</v>
      </c>
      <c r="U52" s="1">
        <f t="array" ref="U52">INDEX(ICL3_classA!$H$2:$H$37,MATCH(MIN(ABS(AI52-ICL3_classA!$F$2:$F$37)),ABS(AI52-ICL3_classA!$F$2:$F$37),0))</f>
        <v>22</v>
      </c>
      <c r="V52" s="1">
        <v>61</v>
      </c>
      <c r="W52" s="1">
        <v>31</v>
      </c>
      <c r="X52" s="108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20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56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389</v>
      </c>
      <c r="B53" s="1" t="str">
        <f>VLOOKUP(A53,Xtal_Templ!A:B,2,FALSE)</f>
        <v>drd2_human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62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74</v>
      </c>
      <c r="U53" s="1">
        <f t="array" ref="U53">INDEX(ICL3_classA!$H$2:$H$37,MATCH(MIN(ABS(AI53-ICL3_classA!$F$2:$F$37)),ABS(AI53-ICL3_classA!$F$2:$F$37),0))</f>
        <v>21</v>
      </c>
      <c r="V53" s="1">
        <v>61</v>
      </c>
      <c r="W53" s="1">
        <v>31</v>
      </c>
      <c r="X53" s="108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20</v>
      </c>
      <c r="AH53" s="1">
        <f>VLOOKUP(A53,'SegEnds_NonXtal_Prot#'!A:AL,28,FALSE)-VLOOKUP(A53,'SegEnds_NonXtal_Prot#'!A:AL,22,FALSE)</f>
        <v>53</v>
      </c>
      <c r="AI53" s="1">
        <f>VLOOKUP(A53,'SegEnds_NonXtal_Prot#'!A:AL,31,FALSE)-VLOOKUP(A53,'SegEnds_NonXtal_Prot#'!A:AL,28,FALSE)</f>
        <v>62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19</v>
      </c>
      <c r="AH54" s="1">
        <f>VLOOKUP(A54,'SegEnds_NonXtal_Prot#'!A:AL,28,FALSE)-VLOOKUP(A54,'SegEnds_NonXtal_Prot#'!A:AL,22,FALSE)</f>
        <v>52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28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INDEX(ICL3_classA!$G$2:$G$37,MATCH(MIN(ABS(AI55-ICL3_classA!$F$2:$F$37)),ABS(AI55-ICL3_classA!$F$2:$F$37),0))</f>
        <v>74</v>
      </c>
      <c r="U55" s="1">
        <f t="array" ref="U55">INDEX(ICL3_classA!$H$2:$H$37,MATCH(MIN(ABS(AI55-ICL3_classA!$F$2:$F$37)),ABS(AI55-ICL3_classA!$F$2:$F$37),0))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19</v>
      </c>
      <c r="AH55" s="1">
        <f>VLOOKUP(A55,'SegEnds_NonXtal_Prot#'!A:AL,28,FALSE)-VLOOKUP(A55,'SegEnds_NonXtal_Prot#'!A:AL,22,FALSE)</f>
        <v>52</v>
      </c>
      <c r="AI55" s="1">
        <f>VLOOKUP(A55,'SegEnds_NonXtal_Prot#'!A:AL,31,FALSE)-VLOOKUP(A55,'SegEnds_NonXtal_Prot#'!A:AL,28,FALSE)</f>
        <v>64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74</v>
      </c>
      <c r="U56" s="1">
        <f t="array" ref="U56">INDEX(ICL3_classA!$H$2:$H$37,MATCH(MIN(ABS(AI56-ICL3_classA!$F$2:$F$37)),ABS(AI56-ICL3_classA!$F$2:$F$37),0))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19</v>
      </c>
      <c r="AH56" s="1">
        <f>VLOOKUP(A56,'SegEnds_NonXtal_Prot#'!A:AL,28,FALSE)-VLOOKUP(A56,'SegEnds_NonXtal_Prot#'!A:AL,22,FALSE)</f>
        <v>52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INDEX(ICL3_classA!$G$2:$G$37,MATCH(MIN(ABS(AI57-ICL3_classA!$F$2:$F$37)),ABS(AI57-ICL3_classA!$F$2:$F$37),0))</f>
        <v>74</v>
      </c>
      <c r="U57" s="1">
        <f t="array" ref="U57">INDEX(ICL3_classA!$H$2:$H$37,MATCH(MIN(ABS(AI57-ICL3_classA!$F$2:$F$37)),ABS(AI57-ICL3_classA!$F$2:$F$37),0))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19</v>
      </c>
      <c r="AH57" s="1">
        <f>VLOOKUP(A57,'SegEnds_NonXtal_Prot#'!A:AL,28,FALSE)-VLOOKUP(A57,'SegEnds_NonXtal_Prot#'!A:AL,22,FALSE)</f>
        <v>52</v>
      </c>
      <c r="AI57" s="1">
        <f>VLOOKUP(A57,'SegEnds_NonXtal_Prot#'!A:AL,31,FALSE)-VLOOKUP(A57,'SegEnds_NonXtal_Prot#'!A:AL,28,FALSE)</f>
        <v>64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45</v>
      </c>
      <c r="AI58" s="1">
        <f>VLOOKUP(A58,'SegEnds_NonXtal_Prot#'!A:AL,31,FALSE)-VLOOKUP(A58,'SegEnds_NonXtal_Prot#'!A:AL,28,FALSE)</f>
        <v>115</v>
      </c>
      <c r="AJ58" s="1">
        <f>VLOOKUP(A58,'SegEnds_NonXtal_Prot#'!A:AL,34,FALSE)-VLOOKUP(A58,'SegEnds_NonXtal_Prot#'!A:AL,31,FALSE)</f>
        <v>36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73</v>
      </c>
      <c r="U59" s="1">
        <f t="array" ref="U59">INDEX(ICL3_classA!$H$2:$H$37,MATCH(MIN(ABS(AI59-ICL3_classA!$F$2:$F$37)),ABS(AI59-ICL3_classA!$F$2:$F$37),0))</f>
        <v>22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18</v>
      </c>
      <c r="AE59" s="1">
        <f>VLOOKUP(A59,'SegEnds_NonXtal_Prot#'!A:AL,16,FALSE)-VLOOKUP(A59,'SegEnds_NonXtal_Prot#'!A:AL,10,FALSE)</f>
        <v>50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23</v>
      </c>
      <c r="AH59" s="1">
        <f>VLOOKUP(A59,'SegEnds_NonXtal_Prot#'!A:AL,28,FALSE)-VLOOKUP(A59,'SegEnds_NonXtal_Prot#'!A:AL,22,FALSE)</f>
        <v>60</v>
      </c>
      <c r="AI59" s="1">
        <f>VLOOKUP(A59,'SegEnds_NonXtal_Prot#'!A:AL,31,FALSE)-VLOOKUP(A59,'SegEnds_NonXtal_Prot#'!A:AL,28,FALSE)</f>
        <v>57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152</v>
      </c>
      <c r="B60" s="1" t="str">
        <f>VLOOKUP(A60,Xtal_Templ!A:B,2,FALSE)</f>
        <v>adrb2_human</v>
      </c>
      <c r="C60" s="5">
        <f>VLOOKUP($B60&amp;"__wt",'SegEnds_Xtal_BW#'!$A:$Z,3,FALSE)</f>
        <v>25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76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08"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91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153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94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74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76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25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54</v>
      </c>
      <c r="AI63" s="1">
        <f>VLOOKUP(A63,'SegEnds_NonXtal_Prot#'!A:AL,31,FALSE)-VLOOKUP(A63,'SegEnds_NonXtal_Prot#'!A:AL,28,FALSE)</f>
        <v>91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9</v>
      </c>
      <c r="AL63" s="1" t="str">
        <f>IF(ISERROR(MATCH(A63,'SegEnds_Xtal_Prot#'!B:B, 0)), "NoXtal", "Xtal")</f>
        <v>NoXtal</v>
      </c>
    </row>
    <row r="64" spans="1:38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INDEX(ICL3_classA!$G$2:$G$37,MATCH(MIN(ABS(AI64-ICL3_classA!$F$2:$F$37)),ABS(AI64-ICL3_classA!$F$2:$F$37),0))</f>
        <v>76</v>
      </c>
      <c r="U64" s="1">
        <f t="array" ref="U64">INDEX(ICL3_classA!$H$2:$H$37,MATCH(MIN(ABS(AI64-ICL3_classA!$F$2:$F$37)),ABS(AI64-ICL3_classA!$F$2:$F$37),0))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29</v>
      </c>
      <c r="AC64" s="1">
        <f>VLOOKUP(A64,'SegEnds_NonXtal_Prot#'!A:AL,10,FALSE)-VLOOKUP(A64,'SegEnds_NonXtal_Prot#'!A:AL,7,FALSE)</f>
        <v>16</v>
      </c>
      <c r="AD64" s="1" t="e">
        <f>VLOOKUP(A64,'SegEnds_NonXtal_Prot#'!A:AL,13,FALSE)-VLOOKUP(A64,'SegEnds_NonXtal_Prot#'!A:AL,10,FALSE)</f>
        <v>#VALUE!</v>
      </c>
      <c r="AE64" s="1">
        <f>VLOOKUP(A64,'SegEnds_NonXtal_Prot#'!A:AL,16,FALSE)-VLOOKUP(A64,'SegEnds_NonXtal_Prot#'!A:AL,10,FALSE)</f>
        <v>51</v>
      </c>
      <c r="AF64" s="1">
        <f>VLOOKUP(A64,'SegEnds_NonXtal_Prot#'!A:AL,22,FALSE)-VLOOKUP(A64,'SegEnds_NonXtal_Prot#'!A:AL,19,FALSE)</f>
        <v>20</v>
      </c>
      <c r="AG64" s="1" t="e">
        <f>VLOOKUP(A64,'SegEnds_NonXtal_Prot#'!A:AL,28,FALSE)-VLOOKUP(A64,'SegEnds_NonXtal_Prot#'!A:AL,25,FALSE)</f>
        <v>#VALUE!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72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Xtal</v>
      </c>
    </row>
    <row r="65" spans="1:38" x14ac:dyDescent="0.2">
      <c r="A65" s="1" t="s">
        <v>183</v>
      </c>
      <c r="B65" s="1" t="str">
        <f>VLOOKUP(A65,Xtal_Templ!A:B,2,FALSE)</f>
        <v>cnr2_human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21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63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>
        <f>VLOOKUP(A65,'SegEnds_NonXtal_Prot#'!A:AL,10,FALSE)-VLOOKUP(A65,'SegEnds_NonXtal_Prot#'!A:AL,7,FALSE)</f>
        <v>16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 t="e">
        <f>VLOOKUP(A65,'SegEnds_NonXtal_Prot#'!A:AL,28,FALSE)-VLOOKUP(A65,'SegEnds_NonXtal_Prot#'!A:AL,25,FALSE)</f>
        <v>#VALUE!</v>
      </c>
      <c r="AH65" s="1">
        <f>VLOOKUP(A65,'SegEnds_NonXtal_Prot#'!A:AL,28,FALSE)-VLOOKUP(A65,'SegEnds_NonXtal_Prot#'!A:AL,22,FALSE)</f>
        <v>43</v>
      </c>
      <c r="AI65" s="1">
        <f>VLOOKUP(A65,'SegEnds_NonXtal_Prot#'!A:AL,31,FALSE)-VLOOKUP(A65,'SegEnds_NonXtal_Prot#'!A:AL,28,FALSE)</f>
        <v>59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21</v>
      </c>
      <c r="AE66" s="1">
        <f>VLOOKUP(A66,'SegEnds_NonXtal_Prot#'!A:AL,16,FALSE)-VLOOKUP(A66,'SegEnds_NonXtal_Prot#'!A:AL,10,FALSE)</f>
        <v>53</v>
      </c>
      <c r="AF66" s="1">
        <f>VLOOKUP(A66,'SegEnds_NonXtal_Prot#'!A:AL,22,FALSE)-VLOOKUP(A66,'SegEnds_NonXtal_Prot#'!A:AL,19,FALSE)</f>
        <v>23</v>
      </c>
      <c r="AG66" s="1">
        <f>VLOOKUP(A66,'SegEnds_NonXtal_Prot#'!A:AL,28,FALSE)-VLOOKUP(A66,'SegEnds_NonXtal_Prot#'!A:AL,25,FALSE)</f>
        <v>19</v>
      </c>
      <c r="AH66" s="1">
        <f>VLOOKUP(A66,'SegEnds_NonXtal_Prot#'!A:AL,28,FALSE)-VLOOKUP(A66,'SegEnds_NonXtal_Prot#'!A:AL,22,FALSE)</f>
        <v>42</v>
      </c>
      <c r="AI66" s="1">
        <f>VLOOKUP(A66,'SegEnds_NonXtal_Prot#'!A:AL,31,FALSE)-VLOOKUP(A66,'SegEnds_NonXtal_Prot#'!A:AL,28,FALSE)</f>
        <v>144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21</v>
      </c>
      <c r="AE67" s="1">
        <f>VLOOKUP(A67,'SegEnds_NonXtal_Prot#'!A:AL,16,FALSE)-VLOOKUP(A67,'SegEnds_NonXtal_Prot#'!A:AL,10,FALSE)</f>
        <v>53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19</v>
      </c>
      <c r="AH67" s="1">
        <f>VLOOKUP(A67,'SegEnds_NonXtal_Prot#'!A:AL,28,FALSE)-VLOOKUP(A67,'SegEnds_NonXtal_Prot#'!A:AL,22,FALSE)</f>
        <v>44</v>
      </c>
      <c r="AI67" s="1">
        <f>VLOOKUP(A67,'SegEnds_NonXtal_Prot#'!A:AL,31,FALSE)-VLOOKUP(A67,'SegEnds_NonXtal_Prot#'!A:AL,28,FALSE)</f>
        <v>205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14</v>
      </c>
      <c r="AD68" s="1">
        <f>VLOOKUP(A68,'SegEnds_NonXtal_Prot#'!A:AL,13,FALSE)-VLOOKUP(A68,'SegEnds_NonXtal_Prot#'!A:AL,10,FALSE)</f>
        <v>28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213</v>
      </c>
      <c r="B69" s="1" t="str">
        <f>VLOOKUP(A69,Xtal_Templ!A:B,2,FALSE)</f>
        <v>aa1r_human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66</v>
      </c>
      <c r="I69" s="1">
        <f>VLOOKUP($B69&amp;"__wt",'SegEnds_Xtal_BW#'!$A:$Z,9,FALSE)</f>
        <v>50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74</v>
      </c>
      <c r="U69" s="1">
        <f t="array" ref="U69">INDEX(ICL3_classA!$H$2:$H$37,MATCH(MIN(ABS(AI69-ICL3_classA!$F$2:$F$37)),ABS(AI69-ICL3_classA!$F$2:$F$37),0))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29</v>
      </c>
      <c r="AC69" s="1" t="e">
        <f>VLOOKUP(A69,'SegEnds_NonXtal_Prot#'!A:AL,10,FALSE)-VLOOKUP(A69,'SegEnds_NonXtal_Prot#'!A:AL,7,FALSE)</f>
        <v>#VALUE!</v>
      </c>
      <c r="AD69" s="1" t="e">
        <f>VLOOKUP(A69,'SegEnds_NonXtal_Prot#'!A:AL,13,FALSE)-VLOOKUP(A69,'SegEnds_NonXtal_Prot#'!A:AL,10,FALSE)</f>
        <v>#VALUE!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21</v>
      </c>
      <c r="AH69" s="1">
        <f>VLOOKUP(A69,'SegEnds_NonXtal_Prot#'!A:AL,28,FALSE)-VLOOKUP(A69,'SegEnds_NonXtal_Prot#'!A:AL,22,FALSE)</f>
        <v>46</v>
      </c>
      <c r="AI69" s="1">
        <f>VLOOKUP(A69,'SegEnds_NonXtal_Prot#'!A:AL,31,FALSE)-VLOOKUP(A69,'SegEnds_NonXtal_Prot#'!A:AL,28,FALSE)</f>
        <v>64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48</v>
      </c>
      <c r="AI70" s="1">
        <f>VLOOKUP(A70,'SegEnds_NonXtal_Prot#'!A:AL,31,FALSE)-VLOOKUP(A70,'SegEnds_NonXtal_Prot#'!A:AL,28,FALSE)</f>
        <v>85</v>
      </c>
      <c r="AJ70" s="1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230</v>
      </c>
      <c r="B71" s="1" t="str">
        <f>VLOOKUP(A71,Xtal_Templ!A:B,2,FALSE)</f>
        <v>5ht2a_human</v>
      </c>
      <c r="C71" s="5">
        <f>VLOOKUP($B71&amp;"__wt",'SegEnds_Xtal_BW#'!$A:$Z,3,FALSE)</f>
        <v>27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67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74</v>
      </c>
      <c r="U71" s="1">
        <f t="array" ref="U71">INDEX(ICL3_classA!$H$2:$H$37,MATCH(MIN(ABS(AI71-ICL3_classA!$F$2:$F$37)),ABS(AI71-ICL3_classA!$F$2:$F$37),0))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60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61</v>
      </c>
      <c r="AH71" s="1">
        <f>VLOOKUP(A71,'SegEnds_NonXtal_Prot#'!A:AL,28,FALSE)-VLOOKUP(A71,'SegEnds_NonXtal_Prot#'!A:AL,22,FALSE)</f>
        <v>87</v>
      </c>
      <c r="AI71" s="1">
        <f>VLOOKUP(A71,'SegEnds_NonXtal_Prot#'!A:AL,31,FALSE)-VLOOKUP(A71,'SegEnds_NonXtal_Prot#'!A:AL,28,FALSE)</f>
        <v>66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22</v>
      </c>
      <c r="AE72" s="1">
        <f>VLOOKUP(A72,'SegEnds_NonXtal_Prot#'!A:AL,16,FALSE)-VLOOKUP(A72,'SegEnds_NonXtal_Prot#'!A:AL,10,FALSE)</f>
        <v>55</v>
      </c>
      <c r="AF72" s="1" t="e">
        <f>VLOOKUP(A72,'SegEnds_NonXtal_Prot#'!A:AL,22,FALSE)-VLOOKUP(A72,'SegEnds_NonXtal_Prot#'!A:AL,19,FALSE)</f>
        <v>#VALUE!</v>
      </c>
      <c r="AG72" s="1">
        <f>VLOOKUP(A72,'SegEnds_NonXtal_Prot#'!A:AL,28,FALSE)-VLOOKUP(A72,'SegEnds_NonXtal_Prot#'!A:AL,25,FALSE)</f>
        <v>25</v>
      </c>
      <c r="AH72" s="1">
        <f>VLOOKUP(A72,'SegEnds_NonXtal_Prot#'!A:AL,28,FALSE)-VLOOKUP(A72,'SegEnds_NonXtal_Prot#'!A:AL,22,FALSE)</f>
        <v>50</v>
      </c>
      <c r="AI72" s="1">
        <f>VLOOKUP(A72,'SegEnds_NonXtal_Prot#'!A:AL,31,FALSE)-VLOOKUP(A72,'SegEnds_NonXtal_Prot#'!A:AL,28,FALSE)</f>
        <v>64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241</v>
      </c>
      <c r="B73" s="1" t="str">
        <f>VLOOKUP(A73,Xtal_Templ!A:B,2,FALSE)</f>
        <v>apj_human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52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27</v>
      </c>
      <c r="AH73" s="1">
        <f>VLOOKUP(A73,'SegEnds_NonXtal_Prot#'!A:AL,28,FALSE)-VLOOKUP(A73,'SegEnds_NonXtal_Prot#'!A:AL,22,FALSE)</f>
        <v>53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68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7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33</v>
      </c>
      <c r="T74" s="4">
        <f t="array" ref="T74">INDEX(ICL3_classA!$G$2:$G$37,MATCH(MIN(ABS(AI74-ICL3_classA!$F$2:$F$37)),ABS(AI74-ICL3_classA!$F$2:$F$37),0))</f>
        <v>73</v>
      </c>
      <c r="U74" s="4">
        <f t="array" ref="U74">INDEX(ICL3_classA!$H$2:$H$37,MATCH(MIN(ABS(AI74-ICL3_classA!$F$2:$F$37)),ABS(AI74-ICL3_classA!$F$2:$F$37),0))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4">
        <f>VLOOKUP(A74,'SegEnds_NonXtal_Prot#'!A:AL,10,FALSE)-VLOOKUP(A74,'SegEnds_NonXtal_Prot#'!A:AL,7,FALSE)</f>
        <v>15</v>
      </c>
      <c r="AD74" s="4">
        <f>VLOOKUP(A74,'SegEnds_NonXtal_Prot#'!A:AL,13,FALSE)-VLOOKUP(A74,'SegEnds_NonXtal_Prot#'!A:AL,10,FALSE)</f>
        <v>20</v>
      </c>
      <c r="AE74" s="4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18</v>
      </c>
      <c r="AG74" s="4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47</v>
      </c>
      <c r="AI74" s="4">
        <f>VLOOKUP(A74,'SegEnds_NonXtal_Prot#'!A:AL,31,FALSE)-VLOOKUP(A74,'SegEnds_NonXtal_Prot#'!A:AL,28,FALSE)</f>
        <v>56</v>
      </c>
      <c r="AJ74" s="4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245</v>
      </c>
      <c r="B75" s="1" t="str">
        <f>VLOOKUP(A75,Xtal_Templ!A:B,2,FALSE)</f>
        <v>5ht2c_human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7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74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60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29</v>
      </c>
      <c r="AC75" s="1">
        <f>VLOOKUP(A75,'SegEnds_NonXtal_Prot#'!A:AL,10,FALSE)-VLOOKUP(A75,'SegEnds_NonXtal_Prot#'!A:AL,7,FALSE)</f>
        <v>16</v>
      </c>
      <c r="AD75" s="1" t="e">
        <f>VLOOKUP(A75,'SegEnds_NonXtal_Prot#'!A:AL,13,FALSE)-VLOOKUP(A75,'SegEnds_NonXtal_Prot#'!A:AL,10,FALSE)</f>
        <v>#VALUE!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18</v>
      </c>
      <c r="AG75" s="1">
        <f>VLOOKUP(A75,'SegEnds_NonXtal_Prot#'!A:AL,28,FALSE)-VLOOKUP(A75,'SegEnds_NonXtal_Prot#'!A:AL,25,FALSE)</f>
        <v>26</v>
      </c>
      <c r="AH75" s="1">
        <f>VLOOKUP(A75,'SegEnds_NonXtal_Prot#'!A:AL,28,FALSE)-VLOOKUP(A75,'SegEnds_NonXtal_Prot#'!A:AL,22,FALSE)</f>
        <v>58</v>
      </c>
      <c r="AI75" s="1">
        <f>VLOOKUP(A75,'SegEnds_NonXtal_Prot#'!A:AL,31,FALSE)-VLOOKUP(A75,'SegEnds_NonXtal_Prot#'!A:AL,28,FALSE)</f>
        <v>105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 t="e">
        <f>VLOOKUP(A76,'SegEnds_NonXtal_Prot#'!A:AL,13,FALSE)-VLOOKUP(A76,'SegEnds_NonXtal_Prot#'!A:AL,10,FALSE)</f>
        <v>#VALUE!</v>
      </c>
      <c r="AE76" s="1">
        <f>VLOOKUP(A76,'SegEnds_NonXtal_Prot#'!A:AL,16,FALSE)-VLOOKUP(A76,'SegEnds_NonXtal_Prot#'!A:AL,10,FALSE)</f>
        <v>56</v>
      </c>
      <c r="AF76" s="1">
        <f>VLOOKUP(A76,'SegEnds_NonXtal_Prot#'!A:AL,22,FALSE)-VLOOKUP(A76,'SegEnds_NonXtal_Prot#'!A:AL,19,FALSE)</f>
        <v>21</v>
      </c>
      <c r="AG76" s="1">
        <f>VLOOKUP(A76,'SegEnds_NonXtal_Prot#'!A:AL,28,FALSE)-VLOOKUP(A76,'SegEnds_NonXtal_Prot#'!A:AL,25,FALSE)</f>
        <v>18</v>
      </c>
      <c r="AH76" s="1">
        <f>VLOOKUP(A76,'SegEnds_NonXtal_Prot#'!A:AL,28,FALSE)-VLOOKUP(A76,'SegEnds_NonXtal_Prot#'!A:AL,22,FALSE)</f>
        <v>41</v>
      </c>
      <c r="AI76" s="1">
        <f>VLOOKUP(A76,'SegEnds_NonXtal_Prot#'!A:AL,31,FALSE)-VLOOKUP(A76,'SegEnds_NonXtal_Prot#'!A:AL,28,FALSE)</f>
        <v>110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28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27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38</v>
      </c>
      <c r="AH77" s="1">
        <f>VLOOKUP(A77,'SegEnds_NonXtal_Prot#'!A:AL,28,FALSE)-VLOOKUP(A77,'SegEnds_NonXtal_Prot#'!A:AL,22,FALSE)</f>
        <v>64</v>
      </c>
      <c r="AI77" s="1">
        <f>VLOOKUP(A77,'SegEnds_NonXtal_Prot#'!A:AL,31,FALSE)-VLOOKUP(A77,'SegEnds_NonXtal_Prot#'!A:AL,28,FALSE)</f>
        <v>43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26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21</v>
      </c>
      <c r="AE78" s="1">
        <f>VLOOKUP(A78,'SegEnds_NonXtal_Prot#'!A:AL,16,FALSE)-VLOOKUP(A78,'SegEnds_NonXtal_Prot#'!A:AL,10,FALSE)</f>
        <v>54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25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82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271</v>
      </c>
      <c r="B79" s="1" t="str">
        <f>VLOOKUP(A79,Xtal_Templ!A:B,2,FALSE)</f>
        <v>5ht2c_human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67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INDEX(ICL3_classA!$G$2:$G$37,MATCH(MIN(ABS(AI79-ICL3_classA!$F$2:$F$37)),ABS(AI79-ICL3_classA!$F$2:$F$37),0))</f>
        <v>76</v>
      </c>
      <c r="U79" s="1">
        <f t="array" ref="U79">INDEX(ICL3_classA!$H$2:$H$37,MATCH(MIN(ABS(AI79-ICL3_classA!$F$2:$F$37)),ABS(AI79-ICL3_classA!$F$2:$F$37),0))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21</v>
      </c>
      <c r="AE79" s="1">
        <f>VLOOKUP(A79,'SegEnds_NonXtal_Prot#'!A:AL,16,FALSE)-VLOOKUP(A79,'SegEnds_NonXtal_Prot#'!A:AL,10,FALSE)</f>
        <v>53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61</v>
      </c>
      <c r="AH79" s="1">
        <f>VLOOKUP(A79,'SegEnds_NonXtal_Prot#'!A:AL,28,FALSE)-VLOOKUP(A79,'SegEnds_NonXtal_Prot#'!A:AL,22,FALSE)</f>
        <v>87</v>
      </c>
      <c r="AI79" s="1">
        <f>VLOOKUP(A79,'SegEnds_NonXtal_Prot#'!A:AL,31,FALSE)-VLOOKUP(A79,'SegEnds_NonXtal_Prot#'!A:AL,28,FALSE)</f>
        <v>67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73</v>
      </c>
      <c r="U80" s="1">
        <f t="array" ref="U80">INDEX(ICL3_classA!$H$2:$H$37,MATCH(MIN(ABS(AI80-ICL3_classA!$F$2:$F$37)),ABS(AI80-ICL3_classA!$F$2:$F$37),0))</f>
        <v>22</v>
      </c>
      <c r="V80" s="1">
        <v>61</v>
      </c>
      <c r="W80" s="1">
        <v>31</v>
      </c>
      <c r="X80" s="108"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20</v>
      </c>
      <c r="AH80" s="1">
        <f>VLOOKUP(A80,'SegEnds_NonXtal_Prot#'!A:AL,28,FALSE)-VLOOKUP(A80,'SegEnds_NonXtal_Prot#'!A:AL,22,FALSE)</f>
        <v>51</v>
      </c>
      <c r="AI80" s="1">
        <f>VLOOKUP(A80,'SegEnds_NonXtal_Prot#'!A:AL,31,FALSE)-VLOOKUP(A80,'SegEnds_NonXtal_Prot#'!A:AL,28,FALSE)</f>
        <v>55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7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INDEX(ICL3_classA!$G$2:$G$37,MATCH(MIN(ABS(AI81-ICL3_classA!$F$2:$F$37)),ABS(AI81-ICL3_classA!$F$2:$F$37),0))</f>
        <v>75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21</v>
      </c>
      <c r="AG81" s="1">
        <f>VLOOKUP(A81,'SegEnds_NonXtal_Prot#'!A:AL,28,FALSE)-VLOOKUP(A81,'SegEnds_NonXtal_Prot#'!A:AL,25,FALSE)</f>
        <v>22</v>
      </c>
      <c r="AH81" s="1">
        <f>VLOOKUP(A81,'SegEnds_NonXtal_Prot#'!A:AL,28,FALSE)-VLOOKUP(A81,'SegEnds_NonXtal_Prot#'!A:AL,22,FALSE)</f>
        <v>50</v>
      </c>
      <c r="AI81" s="1">
        <f>VLOOKUP(A81,'SegEnds_NonXtal_Prot#'!A:AL,31,FALSE)-VLOOKUP(A81,'SegEnds_NonXtal_Prot#'!A:AL,28,FALSE)</f>
        <v>163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28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 t="e">
        <f>VLOOKUP(A82,'SegEnds_NonXtal_Prot#'!A:AL,13,FALSE)-VLOOKUP(A82,'SegEnds_NonXtal_Prot#'!A:AL,10,FALSE)</f>
        <v>#VALUE!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45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 t="e">
        <f>VLOOKUP(A83,'SegEnds_NonXtal_Prot#'!A:AL,13,FALSE)-VLOOKUP(A83,'SegEnds_NonXtal_Prot#'!A:AL,10,FALSE)</f>
        <v>#VALUE!</v>
      </c>
      <c r="AE83" s="1">
        <f>VLOOKUP(A83,'SegEnds_NonXtal_Prot#'!A:AL,16,FALSE)-VLOOKUP(A83,'SegEnds_NonXtal_Prot#'!A:AL,10,FALSE)</f>
        <v>59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24</v>
      </c>
      <c r="AH83" s="1">
        <f>VLOOKUP(A83,'SegEnds_NonXtal_Prot#'!A:AL,28,FALSE)-VLOOKUP(A83,'SegEnds_NonXtal_Prot#'!A:AL,22,FALSE)</f>
        <v>47</v>
      </c>
      <c r="AI83" s="1">
        <f>VLOOKUP(A83,'SegEnds_NonXtal_Prot#'!A:AL,31,FALSE)-VLOOKUP(A83,'SegEnds_NonXtal_Prot#'!A:AL,28,FALSE)</f>
        <v>45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285</v>
      </c>
      <c r="B84" s="1" t="str">
        <f>VLOOKUP(A84,Xtal_Templ!A:B,2,FALSE)</f>
        <v>mtr1a_human</v>
      </c>
      <c r="C84" s="5">
        <f>VLOOKUP($B84&amp;"__wt",'SegEnds_Xtal_BW#'!$A:$Z,3,FALSE)</f>
        <v>28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68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28</v>
      </c>
      <c r="V84" s="1">
        <v>61</v>
      </c>
      <c r="W84" s="1">
        <v>31</v>
      </c>
      <c r="X84" s="108">
        <v>56</v>
      </c>
      <c r="Y84" s="1">
        <f>VLOOKUP($B84&amp;"__wt",'SegEnds_Xtal_BW#'!$A:$Z,25,FALSE)</f>
        <v>47</v>
      </c>
      <c r="Z84" s="1">
        <f>VLOOKUP($B84&amp;"__wt",'SegEnds_Xtal_BW#'!$A:$Z,26,FALSE)</f>
        <v>63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59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26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45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8">
        <v>56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INDEX(ICL3_classA!$G$2:$G$37,MATCH(MIN(ABS(AI85-ICL3_classA!$F$2:$F$37)),ABS(AI85-ICL3_classA!$F$2:$F$37),0))</f>
        <v>73</v>
      </c>
      <c r="U85" s="1">
        <f t="array" ref="U85">INDEX(ICL3_classA!$H$2:$H$37,MATCH(MIN(ABS(AI85-ICL3_classA!$F$2:$F$37)),ABS(AI85-ICL3_classA!$F$2:$F$37),0))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19</v>
      </c>
      <c r="AG85" s="1" t="e">
        <f>VLOOKUP(A85,'SegEnds_NonXtal_Prot#'!A:AL,28,FALSE)-VLOOKUP(A85,'SegEnds_NonXtal_Prot#'!A:AL,25,FALSE)</f>
        <v>#VALUE!</v>
      </c>
      <c r="AH85" s="1">
        <f>VLOOKUP(A85,'SegEnds_NonXtal_Prot#'!A:AL,28,FALSE)-VLOOKUP(A85,'SegEnds_NonXtal_Prot#'!A:AL,22,FALSE)</f>
        <v>45</v>
      </c>
      <c r="AI85" s="1">
        <f>VLOOKUP(A85,'SegEnds_NonXtal_Prot#'!A:AL,31,FALSE)-VLOOKUP(A85,'SegEnds_NonXtal_Prot#'!A:AL,28,FALSE)</f>
        <v>56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INDEX(ICL3_classA!$G$2:$G$37,MATCH(MIN(ABS(AI86-ICL3_classA!$F$2:$F$37)),ABS(AI86-ICL3_classA!$F$2:$F$37),0))</f>
        <v>73</v>
      </c>
      <c r="U86" s="1">
        <f t="array" ref="U86">INDEX(ICL3_classA!$H$2:$H$37,MATCH(MIN(ABS(AI86-ICL3_classA!$F$2:$F$37)),ABS(AI86-ICL3_classA!$F$2:$F$37),0))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>
        <f>VLOOKUP(A86,'SegEnds_NonXtal_Prot#'!A:AL,13,FALSE)-VLOOKUP(A86,'SegEnds_NonXtal_Prot#'!A:AL,10,FALSE)</f>
        <v>18</v>
      </c>
      <c r="AE86" s="1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19</v>
      </c>
      <c r="AG86" s="1" t="e">
        <f>VLOOKUP(A86,'SegEnds_NonXtal_Prot#'!A:AL,28,FALSE)-VLOOKUP(A86,'SegEnds_NonXtal_Prot#'!A:AL,25,FALSE)</f>
        <v>#VALUE!</v>
      </c>
      <c r="AH86" s="1">
        <f>VLOOKUP(A86,'SegEnds_NonXtal_Prot#'!A:AL,28,FALSE)-VLOOKUP(A86,'SegEnds_NonXtal_Prot#'!A:AL,22,FALSE)</f>
        <v>45</v>
      </c>
      <c r="AI86" s="1">
        <f>VLOOKUP(A86,'SegEnds_NonXtal_Prot#'!A:AL,31,FALSE)-VLOOKUP(A86,'SegEnds_NonXtal_Prot#'!A:AL,28,FALSE)</f>
        <v>56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14</v>
      </c>
      <c r="AD87" s="1">
        <f>VLOOKUP(A87,'SegEnds_NonXtal_Prot#'!A:AL,13,FALSE)-VLOOKUP(A87,'SegEnds_NonXtal_Prot#'!A:AL,10,FALSE)</f>
        <v>28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47</v>
      </c>
      <c r="AI87" s="1">
        <f>VLOOKUP(A87,'SegEnds_NonXtal_Prot#'!A:AL,31,FALSE)-VLOOKUP(A87,'SegEnds_NonXtal_Prot#'!A:AL,28,FALSE)</f>
        <v>46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INDEX(ICL3_classA!$G$2:$G$37,MATCH(MIN(ABS(AI88-ICL3_classA!$F$2:$F$37)),ABS(AI88-ICL3_classA!$F$2:$F$37),0))</f>
        <v>73</v>
      </c>
      <c r="U88" s="1">
        <f t="array" ref="U88">INDEX(ICL3_classA!$H$2:$H$37,MATCH(MIN(ABS(AI88-ICL3_classA!$F$2:$F$37)),ABS(AI88-ICL3_classA!$F$2:$F$37),0))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 t="e">
        <f>VLOOKUP(A88,'SegEnds_NonXtal_Prot#'!A:AL,22,FALSE)-VLOOKUP(A88,'SegEnds_NonXtal_Prot#'!A:AL,19,FALSE)</f>
        <v>#VALUE!</v>
      </c>
      <c r="AG88" s="1">
        <f>VLOOKUP(A88,'SegEnds_NonXtal_Prot#'!A:AL,28,FALSE)-VLOOKUP(A88,'SegEnds_NonXtal_Prot#'!A:AL,25,FALSE)</f>
        <v>26</v>
      </c>
      <c r="AH88" s="1">
        <f>VLOOKUP(A88,'SegEnds_NonXtal_Prot#'!A:AL,28,FALSE)-VLOOKUP(A88,'SegEnds_NonXtal_Prot#'!A:AL,22,FALSE)</f>
        <v>52</v>
      </c>
      <c r="AI88" s="1">
        <f>VLOOKUP(A88,'SegEnds_NonXtal_Prot#'!A:AL,31,FALSE)-VLOOKUP(A88,'SegEnds_NonXtal_Prot#'!A:AL,28,FALSE)</f>
        <v>56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52</v>
      </c>
      <c r="AI89" s="1">
        <f>VLOOKUP(A89,'SegEnds_NonXtal_Prot#'!A:AL,31,FALSE)-VLOOKUP(A89,'SegEnds_NonXtal_Prot#'!A:AL,28,FALSE)</f>
        <v>64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8">
        <v>56</v>
      </c>
      <c r="O90" s="87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73</v>
      </c>
      <c r="U90" s="1">
        <f t="array" ref="U90">INDEX(ICL3_classA!$H$2:$H$37,MATCH(MIN(ABS(AI90-ICL3_classA!$F$2:$F$37)),ABS(AI90-ICL3_classA!$F$2:$F$37),0))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14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19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56</v>
      </c>
      <c r="AJ90" s="1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INDEX(ICL3_classA!$G$2:$G$37,MATCH(MIN(ABS(AI91-ICL3_classA!$F$2:$F$37)),ABS(AI91-ICL3_classA!$F$2:$F$37),0))</f>
        <v>72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54</v>
      </c>
      <c r="AI91" s="1">
        <f>VLOOKUP(A91,'SegEnds_NonXtal_Prot#'!A:AL,31,FALSE)-VLOOKUP(A91,'SegEnds_NonXtal_Prot#'!A:AL,28,FALSE)</f>
        <v>52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28</v>
      </c>
      <c r="AH92" s="1">
        <f>VLOOKUP(A92,'SegEnds_NonXtal_Prot#'!A:AL,28,FALSE)-VLOOKUP(A92,'SegEnds_NonXtal_Prot#'!A:AL,22,FALSE)</f>
        <v>54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Xtal</v>
      </c>
    </row>
    <row r="93" spans="1:38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08">
        <f>VLOOKUP($B93&amp;"__wt",'SegEnds_Xtal_BW#'!$A:$Z,14,FALSE)</f>
        <v>56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72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19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54</v>
      </c>
      <c r="AI93" s="1">
        <f>VLOOKUP(A93,'SegEnds_NonXtal_Prot#'!A:AL,31,FALSE)-VLOOKUP(A93,'SegEnds_NonXtal_Prot#'!A:AL,28,FALSE)</f>
        <v>52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Xtal</v>
      </c>
    </row>
    <row r="94" spans="1:38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74</v>
      </c>
      <c r="U94" s="1">
        <f t="array" ref="U94">INDEX(ICL3_classA!$H$2:$H$37,MATCH(MIN(ABS(AI94-ICL3_classA!$F$2:$F$37)),ABS(AI94-ICL3_classA!$F$2:$F$37),0))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21</v>
      </c>
      <c r="AE94" s="1">
        <f>VLOOKUP(A94,'SegEnds_NonXtal_Prot#'!A:AL,16,FALSE)-VLOOKUP(A94,'SegEnds_NonXtal_Prot#'!A:AL,10,FALSE)</f>
        <v>53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26</v>
      </c>
      <c r="AH94" s="1">
        <f>VLOOKUP(A94,'SegEnds_NonXtal_Prot#'!A:AL,28,FALSE)-VLOOKUP(A94,'SegEnds_NonXtal_Prot#'!A:AL,22,FALSE)</f>
        <v>52</v>
      </c>
      <c r="AI94" s="1">
        <f>VLOOKUP(A94,'SegEnds_NonXtal_Prot#'!A:AL,31,FALSE)-VLOOKUP(A94,'SegEnds_NonXtal_Prot#'!A:AL,28,FALSE)</f>
        <v>64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72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54</v>
      </c>
      <c r="AI95" s="1">
        <f>VLOOKUP(A95,'SegEnds_NonXtal_Prot#'!A:AL,31,FALSE)-VLOOKUP(A95,'SegEnds_NonXtal_Prot#'!A:AL,28,FALSE)</f>
        <v>52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INDEX(ICL3_classA!$G$2:$G$37,MATCH(MIN(ABS(AI96-ICL3_classA!$F$2:$F$37)),ABS(AI96-ICL3_classA!$F$2:$F$37),0))</f>
        <v>72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>
        <f>VLOOKUP(A96,'SegEnds_NonXtal_Prot#'!A:AL,28,FALSE)-VLOOKUP(A96,'SegEnds_NonXtal_Prot#'!A:AL,25,FALSE)</f>
        <v>28</v>
      </c>
      <c r="AH96" s="1">
        <f>VLOOKUP(A96,'SegEnds_NonXtal_Prot#'!A:AL,28,FALSE)-VLOOKUP(A96,'SegEnds_NonXtal_Prot#'!A:AL,22,FALSE)</f>
        <v>54</v>
      </c>
      <c r="AI96" s="1">
        <f>VLOOKUP(A96,'SegEnds_NonXtal_Prot#'!A:AL,31,FALSE)-VLOOKUP(A96,'SegEnds_NonXtal_Prot#'!A:AL,28,FALSE)</f>
        <v>52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88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INDEX(ICL3_classA!$G$2:$G$37,MATCH(MIN(ABS(AI97-ICL3_classA!$F$2:$F$37)),ABS(AI97-ICL3_classA!$F$2:$F$37),0))</f>
        <v>76</v>
      </c>
      <c r="U97" s="4">
        <f t="array" ref="U97">INDEX(ICL3_classA!$H$2:$H$37,MATCH(MIN(ABS(AI97-ICL3_classA!$F$2:$F$37)),ABS(AI97-ICL3_classA!$F$2:$F$37),0))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4">
        <f>VLOOKUP(A97,'SegEnds_NonXtal_Prot#'!A:AL,10,FALSE)-VLOOKUP(A97,'SegEnds_NonXtal_Prot#'!A:AL,7,FALSE)</f>
        <v>15</v>
      </c>
      <c r="AD97" s="4">
        <f>VLOOKUP(A97,'SegEnds_NonXtal_Prot#'!A:AL,13,FALSE)-VLOOKUP(A97,'SegEnds_NonXtal_Prot#'!A:AL,10,FALSE)</f>
        <v>18</v>
      </c>
      <c r="AE97" s="4">
        <f>VLOOKUP(A97,'SegEnds_NonXtal_Prot#'!A:AL,16,FALSE)-VLOOKUP(A97,'SegEnds_NonXtal_Prot#'!A:AL,10,FALSE)</f>
        <v>52</v>
      </c>
      <c r="AF97" s="1" t="e">
        <f>VLOOKUP(A97,'SegEnds_NonXtal_Prot#'!A:AL,22,FALSE)-VLOOKUP(A97,'SegEnds_NonXtal_Prot#'!A:AL,19,FALSE)</f>
        <v>#VALUE!</v>
      </c>
      <c r="AG97" s="4">
        <f>VLOOKUP(A97,'SegEnds_NonXtal_Prot#'!A:AL,28,FALSE)-VLOOKUP(A97,'SegEnds_NonXtal_Prot#'!A:AL,25,FALSE)</f>
        <v>25</v>
      </c>
      <c r="AH97" s="1">
        <f>VLOOKUP(A97,'SegEnds_NonXtal_Prot#'!A:AL,28,FALSE)-VLOOKUP(A97,'SegEnds_NonXtal_Prot#'!A:AL,22,FALSE)</f>
        <v>51</v>
      </c>
      <c r="AI97" s="4">
        <f>VLOOKUP(A97,'SegEnds_NonXtal_Prot#'!A:AL,31,FALSE)-VLOOKUP(A97,'SegEnds_NonXtal_Prot#'!A:AL,28,FALSE)</f>
        <v>78</v>
      </c>
      <c r="AJ97" s="4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361</v>
      </c>
      <c r="B98" s="1" t="str">
        <f>VLOOKUP(A98,Xtal_Templ!A:B,2,FALSE)</f>
        <v>ta2r_human</v>
      </c>
      <c r="C98" s="5">
        <f>VLOOKUP($B98&amp;"__wt",'SegEnds_Xtal_BW#'!$A:$Z,3,FALSE)</f>
        <v>35</v>
      </c>
      <c r="D98" s="108">
        <v>61</v>
      </c>
      <c r="E98" s="1" t="str">
        <f>VLOOKUP($B98&amp;"__wt",'SegEnds_Xtal_BW#'!$A:$Z,5,FALSE)</f>
        <v>-</v>
      </c>
      <c r="F98" s="1" t="str">
        <f>VLOOKUP($B98&amp;"__wt",'SegEnds_Xtal_BW#'!$A:$Z,6,FALSE)</f>
        <v>-</v>
      </c>
      <c r="G98" s="1">
        <v>37</v>
      </c>
      <c r="H98" s="12">
        <v>66</v>
      </c>
      <c r="I98" s="1">
        <f>VLOOKUP($B98&amp;"__wt",'SegEnds_Xtal_BW#'!$A:$Z,9,FALSE)</f>
        <v>49</v>
      </c>
      <c r="J98" s="1">
        <f>VLOOKUP($B98&amp;"__wt",'SegEnds_Xtal_BW#'!$A:$Z,10,FALSE)</f>
        <v>53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08">
        <v>50</v>
      </c>
      <c r="R98" s="108">
        <v>52</v>
      </c>
      <c r="S98" s="108">
        <v>31</v>
      </c>
      <c r="T98" s="1">
        <f t="array" ref="T98">INDEX(ICL3_classA!$G$2:$G$37,MATCH(MIN(ABS(AI98-ICL3_classA!$F$2:$F$37)),ABS(AI98-ICL3_classA!$F$2:$F$37),0))</f>
        <v>74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66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34</v>
      </c>
      <c r="AC98" s="1">
        <f>VLOOKUP(A98,'SegEnds_NonXtal_Prot#'!A:AL,10,FALSE)-VLOOKUP(A98,'SegEnds_NonXtal_Prot#'!A:AL,7,FALSE)</f>
        <v>20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51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28</v>
      </c>
      <c r="AH98" s="1">
        <f>VLOOKUP(A98,'SegEnds_NonXtal_Prot#'!A:AL,28,FALSE)-VLOOKUP(A98,'SegEnds_NonXtal_Prot#'!A:AL,22,FALSE)</f>
        <v>54</v>
      </c>
      <c r="AI98" s="1">
        <f>VLOOKUP(A98,'SegEnds_NonXtal_Prot#'!A:AL,31,FALSE)-VLOOKUP(A98,'SegEnds_NonXtal_Prot#'!A:AL,28,FALSE)</f>
        <v>96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INDEX(ICL3_classA!$G$2:$G$37,MATCH(MIN(ABS(AI99-ICL3_classA!$F$2:$F$37)),ABS(AI99-ICL3_classA!$F$2:$F$37),0))</f>
        <v>76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24</v>
      </c>
      <c r="AH99" s="1">
        <f>VLOOKUP(A99,'SegEnds_NonXtal_Prot#'!A:AL,28,FALSE)-VLOOKUP(A99,'SegEnds_NonXtal_Prot#'!A:AL,22,FALSE)</f>
        <v>53</v>
      </c>
      <c r="AI99" s="1">
        <f>VLOOKUP(A99,'SegEnds_NonXtal_Prot#'!A:AL,31,FALSE)-VLOOKUP(A99,'SegEnds_NonXtal_Prot#'!A:AL,28,FALSE)</f>
        <v>78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14</v>
      </c>
      <c r="AD100" s="1">
        <f>VLOOKUP(A100,'SegEnds_NonXtal_Prot#'!A:AL,13,FALSE)-VLOOKUP(A100,'SegEnds_NonXtal_Prot#'!A:AL,10,FALSE)</f>
        <v>28</v>
      </c>
      <c r="AE100" s="1">
        <f>VLOOKUP(A100,'SegEnds_NonXtal_Prot#'!A:AL,16,FALSE)-VLOOKUP(A100,'SegEnds_NonXtal_Prot#'!A:AL,10,FALSE)</f>
        <v>59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24</v>
      </c>
      <c r="AH100" s="1">
        <f>VLOOKUP(A100,'SegEnds_NonXtal_Prot#'!A:AL,28,FALSE)-VLOOKUP(A100,'SegEnds_NonXtal_Prot#'!A:AL,22,FALSE)</f>
        <v>47</v>
      </c>
      <c r="AI100" s="1">
        <f>VLOOKUP(A100,'SegEnds_NonXtal_Prot#'!A:AL,31,FALSE)-VLOOKUP(A100,'SegEnds_NonXtal_Prot#'!A:AL,28,FALSE)</f>
        <v>46</v>
      </c>
      <c r="AJ100" s="1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399</v>
      </c>
      <c r="B101" s="1" t="str">
        <f>VLOOKUP(A101,Xtal_Templ!A:B,2,FALSE)</f>
        <v>mtr1b_human</v>
      </c>
      <c r="C101" s="5">
        <f>VLOOKUP($B101&amp;"__wt",'SegEnds_Xtal_BW#'!$A:$Z,3,FALSE)</f>
        <v>30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08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INDEX(ICL3_classA!$G$2:$G$37,MATCH(MIN(ABS(AI101-ICL3_classA!$F$2:$F$37)),ABS(AI101-ICL3_classA!$F$2:$F$37),0))</f>
        <v>76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30</v>
      </c>
      <c r="AC101" s="1">
        <f>VLOOKUP(A101,'SegEnds_NonXtal_Prot#'!A:AL,10,FALSE)-VLOOKUP(A101,'SegEnds_NonXtal_Prot#'!A:AL,7,FALSE)</f>
        <v>16</v>
      </c>
      <c r="AD101" s="1">
        <f>VLOOKUP(A101,'SegEnds_NonXtal_Prot#'!A:AL,13,FALSE)-VLOOKUP(A101,'SegEnds_NonXtal_Prot#'!A:AL,10,FALSE)</f>
        <v>18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25</v>
      </c>
      <c r="AH101" s="1">
        <f>VLOOKUP(A101,'SegEnds_NonXtal_Prot#'!A:AL,28,FALSE)-VLOOKUP(A101,'SegEnds_NonXtal_Prot#'!A:AL,22,FALSE)</f>
        <v>53</v>
      </c>
      <c r="AI101" s="1">
        <f>VLOOKUP(A101,'SegEnds_NonXtal_Prot#'!A:AL,31,FALSE)-VLOOKUP(A101,'SegEnds_NonXtal_Prot#'!A:AL,28,FALSE)</f>
        <v>69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60</v>
      </c>
      <c r="W102" s="1">
        <v>31</v>
      </c>
      <c r="X102" s="125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46</v>
      </c>
      <c r="AI102" s="1">
        <f>VLOOKUP(A102,'SegEnds_NonXtal_Prot#'!A:AL,31,FALSE)-VLOOKUP(A102,'SegEnds_NonXtal_Prot#'!A:AL,28,FALSE)</f>
        <v>153</v>
      </c>
      <c r="AJ102" s="1">
        <f>VLOOKUP(A102,'SegEnds_NonXtal_Prot#'!A:AL,34,FALSE)-VLOOKUP(A102,'SegEnds_NonXtal_Prot#'!A:AL,31,FALSE)</f>
        <v>37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28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60</v>
      </c>
      <c r="W103" s="1">
        <v>31</v>
      </c>
      <c r="X103" s="125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21</v>
      </c>
      <c r="AH103" s="1">
        <f>VLOOKUP(A103,'SegEnds_NonXtal_Prot#'!A:AL,28,FALSE)-VLOOKUP(A103,'SegEnds_NonXtal_Prot#'!A:AL,22,FALSE)</f>
        <v>46</v>
      </c>
      <c r="AI103" s="1">
        <f>VLOOKUP(A103,'SegEnds_NonXtal_Prot#'!A:AL,31,FALSE)-VLOOKUP(A103,'SegEnds_NonXtal_Prot#'!A:AL,28,FALSE)</f>
        <v>109</v>
      </c>
      <c r="AJ103" s="1">
        <f>VLOOKUP(A103,'SegEnds_NonXtal_Prot#'!A:AL,34,FALSE)-VLOOKUP(A103,'SegEnds_NonXtal_Prot#'!A:AL,31,FALSE)</f>
        <v>37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74</v>
      </c>
      <c r="U104" s="1">
        <f t="array" ref="U104">INDEX(ICL3_classA!$H$2:$H$37,MATCH(MIN(ABS(AI104-ICL3_classA!$F$2:$F$37)),ABS(AI104-ICL3_classA!$F$2:$F$37),0))</f>
        <v>24</v>
      </c>
      <c r="V104" s="1">
        <v>60</v>
      </c>
      <c r="W104" s="1">
        <v>31</v>
      </c>
      <c r="X104" s="125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21</v>
      </c>
      <c r="AH104" s="1">
        <f>VLOOKUP(A104,'SegEnds_NonXtal_Prot#'!A:AL,28,FALSE)-VLOOKUP(A104,'SegEnds_NonXtal_Prot#'!A:AL,22,FALSE)</f>
        <v>46</v>
      </c>
      <c r="AI104" s="1">
        <f>VLOOKUP(A104,'SegEnds_NonXtal_Prot#'!A:AL,31,FALSE)-VLOOKUP(A104,'SegEnds_NonXtal_Prot#'!A:AL,28,FALSE)</f>
        <v>107</v>
      </c>
      <c r="AJ104" s="1">
        <f>VLOOKUP(A104,'SegEnds_NonXtal_Prot#'!A:AL,34,FALSE)-VLOOKUP(A104,'SegEnds_NonXtal_Prot#'!A:AL,31,FALSE)</f>
        <v>37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7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INDEX(ICL3_classA!$G$2:$G$37,MATCH(MIN(ABS(AI105-ICL3_classA!$F$2:$F$37)),ABS(AI105-ICL3_classA!$F$2:$F$37),0))</f>
        <v>74</v>
      </c>
      <c r="U105" s="1">
        <f t="array" ref="U105">INDEX(ICL3_classA!$H$2:$H$37,MATCH(MIN(ABS(AI105-ICL3_classA!$F$2:$F$37)),ABS(AI105-ICL3_classA!$F$2:$F$37),0))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50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23</v>
      </c>
      <c r="AH105" s="1">
        <f>VLOOKUP(A105,'SegEnds_NonXtal_Prot#'!A:AL,28,FALSE)-VLOOKUP(A105,'SegEnds_NonXtal_Prot#'!A:AL,22,FALSE)</f>
        <v>60</v>
      </c>
      <c r="AI105" s="1">
        <f>VLOOKUP(A105,'SegEnds_NonXtal_Prot#'!A:AL,31,FALSE)-VLOOKUP(A105,'SegEnds_NonXtal_Prot#'!A:AL,28,FALSE)</f>
        <v>59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157</v>
      </c>
      <c r="B107" s="1" t="str">
        <f>VLOOKUP(A107,Xtal_Templ!A:B,2,FALSE)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75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48</v>
      </c>
      <c r="AI108" s="1">
        <f>VLOOKUP(A108,'SegEnds_NonXtal_Prot#'!A:AL,31,FALSE)-VLOOKUP(A108,'SegEnds_NonXtal_Prot#'!A:AL,28,FALSE)</f>
        <v>210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266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58</v>
      </c>
      <c r="O109" s="87">
        <f>VLOOKUP($B109&amp;"__wt",'SegEnds_Xtal_BW#'!$A:$Z,15,FALSE)</f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30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53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25</v>
      </c>
      <c r="AH109" s="1">
        <f>VLOOKUP(A109,'SegEnds_NonXtal_Prot#'!A:AL,28,FALSE)-VLOOKUP(A109,'SegEnds_NonXtal_Prot#'!A:AL,22,FALSE)</f>
        <v>45</v>
      </c>
      <c r="AI109" s="1">
        <f>VLOOKUP(A109,'SegEnds_NonXtal_Prot#'!A:AL,31,FALSE)-VLOOKUP(A109,'SegEnds_NonXtal_Prot#'!A:AL,28,FALSE)</f>
        <v>122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7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21</v>
      </c>
      <c r="AG110" s="1">
        <f>VLOOKUP(A110,'SegEnds_NonXtal_Prot#'!A:AL,28,FALSE)-VLOOKUP(A110,'SegEnds_NonXtal_Prot#'!A:AL,25,FALSE)</f>
        <v>22</v>
      </c>
      <c r="AH110" s="1">
        <f>VLOOKUP(A110,'SegEnds_NonXtal_Prot#'!A:AL,28,FALSE)-VLOOKUP(A110,'SegEnds_NonXtal_Prot#'!A:AL,22,FALSE)</f>
        <v>46</v>
      </c>
      <c r="AI110" s="1">
        <f>VLOOKUP(A110,'SegEnds_NonXtal_Prot#'!A:AL,31,FALSE)-VLOOKUP(A110,'SegEnds_NonXtal_Prot#'!A:AL,28,FALSE)</f>
        <v>132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31</v>
      </c>
      <c r="AC111" s="1">
        <f>VLOOKUP(A111,'SegEnds_NonXtal_Prot#'!A:AL,10,FALSE)-VLOOKUP(A111,'SegEnds_NonXtal_Prot#'!A:AL,7,FALSE)</f>
        <v>18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26</v>
      </c>
      <c r="AH111" s="1">
        <f>VLOOKUP(A111,'SegEnds_NonXtal_Prot#'!A:AL,28,FALSE)-VLOOKUP(A111,'SegEnds_NonXtal_Prot#'!A:AL,22,FALSE)</f>
        <v>52</v>
      </c>
      <c r="AI111" s="1">
        <f>VLOOKUP(A111,'SegEnds_NonXtal_Prot#'!A:AL,31,FALSE)-VLOOKUP(A111,'SegEnds_NonXtal_Prot#'!A:AL,28,FALSE)</f>
        <v>51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INDEX(ICL3_classA!$G$2:$G$37,MATCH(MIN(ABS(AI112-ICL3_classA!$F$2:$F$37)),ABS(AI112-ICL3_classA!$F$2:$F$37),0))</f>
        <v>73</v>
      </c>
      <c r="U112" s="1">
        <f t="array" ref="U112">INDEX(ICL3_classA!$H$2:$H$37,MATCH(MIN(ABS(AI112-ICL3_classA!$F$2:$F$37)),ABS(AI112-ICL3_classA!$F$2:$F$37),0))</f>
        <v>22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51</v>
      </c>
      <c r="AI112" s="1">
        <f>VLOOKUP(A112,'SegEnds_NonXtal_Prot#'!A:AL,31,FALSE)-VLOOKUP(A112,'SegEnds_NonXtal_Prot#'!A:AL,28,FALSE)</f>
        <v>57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301</v>
      </c>
      <c r="B113" s="1" t="str">
        <f>VLOOKUP(A113,Xtal_Templ!A:B,2,FALSE)</f>
        <v>c5ar1_human</v>
      </c>
      <c r="C113" s="5">
        <f>VLOOKUP($B113&amp;"__wt",'SegEnds_Xtal_BW#'!$A:$Z,3,FALSE)</f>
        <v>29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31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28</v>
      </c>
      <c r="V113" s="1">
        <v>61</v>
      </c>
      <c r="W113" s="1">
        <v>31</v>
      </c>
      <c r="X113" s="108">
        <v>56</v>
      </c>
      <c r="Y113" s="1">
        <f>VLOOKUP($B113&amp;"__wt",'SegEnds_Xtal_BW#'!$A:$Z,25,FALSE)</f>
        <v>47</v>
      </c>
      <c r="Z113" s="1">
        <f>VLOOKUP($B113&amp;"__wt",'SegEnds_Xtal_BW#'!$A:$Z,26,FALSE)</f>
        <v>56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27</v>
      </c>
      <c r="AC113" s="1" t="e">
        <f>VLOOKUP(A113,'SegEnds_NonXtal_Prot#'!A:AL,10,FALSE)-VLOOKUP(A113,'SegEnds_NonXtal_Prot#'!A:AL,7,FALSE)</f>
        <v>#VALUE!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20</v>
      </c>
      <c r="AG113" s="1" t="e">
        <f>VLOOKUP(A113,'SegEnds_NonXtal_Prot#'!A:AL,28,FALSE)-VLOOKUP(A113,'SegEnds_NonXtal_Prot#'!A:AL,25,FALSE)</f>
        <v>#VALUE!</v>
      </c>
      <c r="AH113" s="1">
        <f>VLOOKUP(A113,'SegEnds_NonXtal_Prot#'!A:AL,28,FALSE)-VLOOKUP(A113,'SegEnds_NonXtal_Prot#'!A:AL,22,FALSE)</f>
        <v>42</v>
      </c>
      <c r="AI113" s="1">
        <f>VLOOKUP(A113,'SegEnds_NonXtal_Prot#'!A:AL,31,FALSE)-VLOOKUP(A113,'SegEnds_NonXtal_Prot#'!A:AL,28,FALSE)</f>
        <v>44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365</v>
      </c>
      <c r="B114" s="1" t="str">
        <f>VLOOKUP(A114,Xtal_Templ!A:B,2,FALSE)</f>
        <v>ta2r_human</v>
      </c>
      <c r="C114" s="5">
        <f>VLOOKUP($B114&amp;"__wt",'SegEnds_Xtal_BW#'!$A:$Z,3,FALSE)</f>
        <v>35</v>
      </c>
      <c r="D114" s="108">
        <v>61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63</v>
      </c>
      <c r="Q114" s="108">
        <v>50</v>
      </c>
      <c r="R114" s="108">
        <v>52</v>
      </c>
      <c r="S114" s="1">
        <v>35</v>
      </c>
      <c r="T114" s="1">
        <f t="array" ref="T114">INDEX(ICL3_classA!$G$2:$G$37,MATCH(MIN(ABS(AI114-ICL3_classA!$F$2:$F$37)),ABS(AI114-ICL3_classA!$F$2:$F$37),0))</f>
        <v>72</v>
      </c>
      <c r="U114" s="1">
        <f t="array" ref="U114">INDEX(ICL3_classA!$H$2:$H$37,MATCH(MIN(ABS(AI114-ICL3_classA!$F$2:$F$37)),ABS(AI114-ICL3_classA!$F$2:$F$37),0))</f>
        <v>29</v>
      </c>
      <c r="V114" s="1">
        <v>61</v>
      </c>
      <c r="W114" s="1">
        <v>31</v>
      </c>
      <c r="X114" s="108">
        <v>56</v>
      </c>
      <c r="Y114" s="108">
        <v>47</v>
      </c>
      <c r="Z114" s="1">
        <f>VLOOKUP($B114&amp;"__wt",'SegEnds_Xtal_BW#'!$A:$Z,26,FALSE)</f>
        <v>66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33</v>
      </c>
      <c r="AC114" s="1">
        <f>VLOOKUP(A114,'SegEnds_NonXtal_Prot#'!A:AL,10,FALSE)-VLOOKUP(A114,'SegEnds_NonXtal_Prot#'!A:AL,7,FALSE)</f>
        <v>19</v>
      </c>
      <c r="AD114" s="1">
        <f>VLOOKUP(A114,'SegEnds_NonXtal_Prot#'!A:AL,13,FALSE)-VLOOKUP(A114,'SegEnds_NonXtal_Prot#'!A:AL,10,FALSE)</f>
        <v>21</v>
      </c>
      <c r="AE114" s="1">
        <f>VLOOKUP(A114,'SegEnds_NonXtal_Prot#'!A:AL,16,FALSE)-VLOOKUP(A114,'SegEnds_NonXtal_Prot#'!A:AL,10,FALSE)</f>
        <v>56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54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08">
        <f>VLOOKUP($B115&amp;"__wt",'SegEnds_Xtal_BW#'!$A:$Z,14,FALSE)</f>
        <v>56</v>
      </c>
      <c r="O115" s="87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INDEX(ICL3_classA!$G$2:$G$37,MATCH(MIN(ABS(AI115-ICL3_classA!$F$2:$F$37)),ABS(AI115-ICL3_classA!$F$2:$F$37),0))</f>
        <v>73</v>
      </c>
      <c r="U115" s="4">
        <f t="array" ref="U115">INDEX(ICL3_classA!$H$2:$H$37,MATCH(MIN(ABS(AI115-ICL3_classA!$F$2:$F$37)),ABS(AI115-ICL3_classA!$F$2:$F$37),0))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4">
        <f>VLOOKUP(A115,'SegEnds_NonXtal_Prot#'!A:AL,10,FALSE)-VLOOKUP(A115,'SegEnds_NonXtal_Prot#'!A:AL,7,FALSE)</f>
        <v>15</v>
      </c>
      <c r="AD115" s="4">
        <f>VLOOKUP(A115,'SegEnds_NonXtal_Prot#'!A:AL,13,FALSE)-VLOOKUP(A115,'SegEnds_NonXtal_Prot#'!A:AL,10,FALSE)</f>
        <v>18</v>
      </c>
      <c r="AE115" s="4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19</v>
      </c>
      <c r="AG115" s="4" t="e">
        <f>VLOOKUP(A115,'SegEnds_NonXtal_Prot#'!A:AL,28,FALSE)-VLOOKUP(A115,'SegEnds_NonXtal_Prot#'!A:AL,25,FALSE)</f>
        <v>#VALUE!</v>
      </c>
      <c r="AH115" s="1">
        <f>VLOOKUP(A115,'SegEnds_NonXtal_Prot#'!A:AL,28,FALSE)-VLOOKUP(A115,'SegEnds_NonXtal_Prot#'!A:AL,22,FALSE)</f>
        <v>45</v>
      </c>
      <c r="AI115" s="4">
        <f>VLOOKUP(A115,'SegEnds_NonXtal_Prot#'!A:AL,31,FALSE)-VLOOKUP(A115,'SegEnds_NonXtal_Prot#'!A:AL,28,FALSE)</f>
        <v>58</v>
      </c>
      <c r="AJ115" s="4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56</v>
      </c>
      <c r="O116" s="87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INDEX(ICL3_classA!$G$2:$G$37,MATCH(MIN(ABS(AI116-ICL3_classA!$F$2:$F$37)),ABS(AI116-ICL3_classA!$F$2:$F$37),0))</f>
        <v>67</v>
      </c>
      <c r="U116" s="1">
        <f t="array" ref="U116">INDEX(ICL3_classA!$H$2:$H$37,MATCH(MIN(ABS(AI116-ICL3_classA!$F$2:$F$37)),ABS(AI116-ICL3_classA!$F$2:$F$37),0))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18</v>
      </c>
      <c r="AE116" s="1">
        <f>VLOOKUP(A116,'SegEnds_NonXtal_Prot#'!A:AL,16,FALSE)-VLOOKUP(A116,'SegEnds_NonXtal_Prot#'!A:AL,10,FALSE)</f>
        <v>51</v>
      </c>
      <c r="AF116" s="1">
        <f>VLOOKUP(A116,'SegEnds_NonXtal_Prot#'!A:AL,22,FALSE)-VLOOKUP(A116,'SegEnds_NonXtal_Prot#'!A:AL,19,FALSE)</f>
        <v>19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45</v>
      </c>
      <c r="AI116" s="1">
        <f>VLOOKUP(A116,'SegEnds_NonXtal_Prot#'!A:AL,31,FALSE)-VLOOKUP(A116,'SegEnds_NonXtal_Prot#'!A:AL,28,FALSE)</f>
        <v>47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08">
        <v>56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18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19</v>
      </c>
      <c r="AG117" s="1" t="e">
        <f>VLOOKUP(A117,'SegEnds_NonXtal_Prot#'!A:AL,28,FALSE)-VLOOKUP(A117,'SegEnds_NonXtal_Prot#'!A:AL,25,FALSE)</f>
        <v>#VALUE!</v>
      </c>
      <c r="AH117" s="1">
        <f>VLOOKUP(A117,'SegEnds_NonXtal_Prot#'!A:AL,28,FALSE)-VLOOKUP(A117,'SegEnds_NonXtal_Prot#'!A:AL,22,FALSE)</f>
        <v>45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08">
        <v>56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INDEX(ICL3_classA!$G$2:$G$37,MATCH(MIN(ABS(AI118-ICL3_classA!$F$2:$F$37)),ABS(AI118-ICL3_classA!$F$2:$F$37),0))</f>
        <v>74</v>
      </c>
      <c r="U118" s="1">
        <f t="array" ref="U118">INDEX(ICL3_classA!$H$2:$H$37,MATCH(MIN(ABS(AI118-ICL3_classA!$F$2:$F$37)),ABS(AI118-ICL3_classA!$F$2:$F$37),0))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18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1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1">
        <f>VLOOKUP(A118,'SegEnds_NonXtal_Prot#'!A:AL,31,FALSE)-VLOOKUP(A118,'SegEnds_NonXtal_Prot#'!A:AL,28,FALSE)</f>
        <v>62</v>
      </c>
      <c r="AJ118" s="1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31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INDEX(ICL3_classA!$G$2:$G$37,MATCH(MIN(ABS(AI119-ICL3_classA!$F$2:$F$37)),ABS(AI119-ICL3_classA!$F$2:$F$37),0))</f>
        <v>76</v>
      </c>
      <c r="U119" s="1">
        <f t="array" ref="U119">INDEX(ICL3_classA!$H$2:$H$37,MATCH(MIN(ABS(AI119-ICL3_classA!$F$2:$F$37)),ABS(AI119-ICL3_classA!$F$2:$F$37),0))</f>
        <v>24</v>
      </c>
      <c r="V119" s="1">
        <v>61</v>
      </c>
      <c r="W119" s="132">
        <v>27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53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22</v>
      </c>
      <c r="AH119" s="1">
        <f>VLOOKUP(A119,'SegEnds_NonXtal_Prot#'!A:AL,28,FALSE)-VLOOKUP(A119,'SegEnds_NonXtal_Prot#'!A:AL,22,FALSE)</f>
        <v>49</v>
      </c>
      <c r="AI119" s="1">
        <f>VLOOKUP(A119,'SegEnds_NonXtal_Prot#'!A:AL,31,FALSE)-VLOOKUP(A119,'SegEnds_NonXtal_Prot#'!A:AL,28,FALSE)</f>
        <v>110</v>
      </c>
      <c r="AJ119" s="1">
        <f>VLOOKUP(A119,'SegEnds_NonXtal_Prot#'!A:AL,34,FALSE)-VLOOKUP(A119,'SegEnds_NonXtal_Prot#'!A:AL,31,FALSE)</f>
        <v>38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INDEX(ICL3_classA!$G$2:$G$37,MATCH(MIN(ABS(AI120-ICL3_classA!$F$2:$F$37)),ABS(AI120-ICL3_classA!$F$2:$F$37),0))</f>
        <v>73</v>
      </c>
      <c r="U120" s="1">
        <f t="array" ref="U120">INDEX(ICL3_classA!$H$2:$H$37,MATCH(MIN(ABS(AI120-ICL3_classA!$F$2:$F$37)),ABS(AI120-ICL3_classA!$F$2:$F$37),0))</f>
        <v>22</v>
      </c>
      <c r="V120" s="1">
        <v>61</v>
      </c>
      <c r="W120" s="132">
        <f>VLOOKUP($B120&amp;"__wt",'SegEnds_Xtal_BW#'!$A:$Z,23,FALSE)</f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23</v>
      </c>
      <c r="AH120" s="1">
        <f>VLOOKUP(A120,'SegEnds_NonXtal_Prot#'!A:AL,28,FALSE)-VLOOKUP(A120,'SegEnds_NonXtal_Prot#'!A:AL,22,FALSE)</f>
        <v>64</v>
      </c>
      <c r="AI120" s="1">
        <f>VLOOKUP(A120,'SegEnds_NonXtal_Prot#'!A:AL,31,FALSE)-VLOOKUP(A120,'SegEnds_NonXtal_Prot#'!A:AL,28,FALSE)</f>
        <v>55</v>
      </c>
      <c r="AJ120" s="1">
        <f>VLOOKUP(A120,'SegEnds_NonXtal_Prot#'!A:AL,34,FALSE)-VLOOKUP(A120,'SegEnds_NonXtal_Prot#'!A:AL,31,FALSE)</f>
        <v>38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INDEX(ICL3_classA!$G$2:$G$37,MATCH(MIN(ABS(AI121-ICL3_classA!$F$2:$F$37)),ABS(AI121-ICL3_classA!$F$2:$F$37),0))</f>
        <v>68</v>
      </c>
      <c r="U121" s="1">
        <f t="array" ref="U121">INDEX(ICL3_classA!$H$2:$H$37,MATCH(MIN(ABS(AI121-ICL3_classA!$F$2:$F$37)),ABS(AI121-ICL3_classA!$F$2:$F$37),0))</f>
        <v>30</v>
      </c>
      <c r="V121" s="1">
        <v>61</v>
      </c>
      <c r="W121" s="108">
        <v>25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43</v>
      </c>
      <c r="AH121" s="1">
        <f>VLOOKUP(A121,'SegEnds_NonXtal_Prot#'!A:AL,28,FALSE)-VLOOKUP(A121,'SegEnds_NonXtal_Prot#'!A:AL,22,FALSE)</f>
        <v>68</v>
      </c>
      <c r="AI121" s="1">
        <f>VLOOKUP(A121,'SegEnds_NonXtal_Prot#'!A:AL,31,FALSE)-VLOOKUP(A121,'SegEnds_NonXtal_Prot#'!A:AL,28,FALSE)</f>
        <v>43</v>
      </c>
      <c r="AJ121" s="1">
        <f>VLOOKUP(A121,'SegEnds_NonXtal_Prot#'!A:AL,34,FALSE)-VLOOKUP(A121,'SegEnds_NonXtal_Prot#'!A:AL,31,FALSE)</f>
        <v>38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32">
        <f>VLOOKUP($B122&amp;"__wt",'SegEnds_Xtal_BW#'!$A:$Z,23,FALSE)</f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30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25</v>
      </c>
      <c r="AH122" s="1">
        <f>VLOOKUP(A122,'SegEnds_NonXtal_Prot#'!A:AL,28,FALSE)-VLOOKUP(A122,'SegEnds_NonXtal_Prot#'!A:AL,22,FALSE)</f>
        <v>52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24</v>
      </c>
      <c r="V123" s="1">
        <v>61</v>
      </c>
      <c r="W123" s="132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24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52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32">
        <f>VLOOKUP($B124&amp;"__wt",'SegEnds_Xtal_BW#'!$A:$Z,23,FALSE)</f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33</v>
      </c>
      <c r="AC124" s="1">
        <f>VLOOKUP(A124,'SegEnds_NonXtal_Prot#'!A:AL,10,FALSE)-VLOOKUP(A124,'SegEnds_NonXtal_Prot#'!A:AL,7,FALSE)</f>
        <v>19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54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INDEX(ICL3_classA!$G$2:$G$37,MATCH(MIN(ABS(AI125-ICL3_classA!$F$2:$F$37)),ABS(AI125-ICL3_classA!$F$2:$F$37),0))</f>
        <v>74</v>
      </c>
      <c r="U125" s="1">
        <f t="array" ref="U125">INDEX(ICL3_classA!$H$2:$H$37,MATCH(MIN(ABS(AI125-ICL3_classA!$F$2:$F$37)),ABS(AI125-ICL3_classA!$F$2:$F$37),0))</f>
        <v>21</v>
      </c>
      <c r="V125" s="1">
        <v>61</v>
      </c>
      <c r="W125" s="108">
        <v>25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34</v>
      </c>
      <c r="AC125" s="1">
        <f>VLOOKUP(A125,'SegEnds_NonXtal_Prot#'!A:AL,10,FALSE)-VLOOKUP(A125,'SegEnds_NonXtal_Prot#'!A:AL,7,FALSE)</f>
        <v>14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18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59</v>
      </c>
      <c r="AI125" s="1">
        <f>VLOOKUP(A125,'SegEnds_NonXtal_Prot#'!A:AL,31,FALSE)-VLOOKUP(A125,'SegEnds_NonXtal_Prot#'!A:AL,28,FALSE)</f>
        <v>59</v>
      </c>
      <c r="AJ125" s="1">
        <f>VLOOKUP(A125,'SegEnds_NonXtal_Prot#'!A:AL,34,FALSE)-VLOOKUP(A125,'SegEnds_NonXtal_Prot#'!A:AL,31,FALSE)</f>
        <v>38</v>
      </c>
      <c r="AK125" s="1" t="e">
        <f>VLOOKUP(A125,'SegEnds_NonXtal_Prot#'!A:AL,37,FALSE)-VLOOKUP(A125,'SegEnds_NonXtal_Prot#'!A:AL,34,FALSE)</f>
        <v>#VALUE!</v>
      </c>
      <c r="AL125" s="1" t="str">
        <f>IF(ISERROR(MATCH(A125,'SegEnds_Xtal_Prot#'!B:B, 0)), "NoXtal", "Xtal")</f>
        <v>NoXtal</v>
      </c>
    </row>
    <row r="126" spans="1:38" x14ac:dyDescent="0.2">
      <c r="A126" s="1" t="s">
        <v>215</v>
      </c>
      <c r="B126" s="1" t="str">
        <f>VLOOKUP(A126,Xtal_Templ!A:B,2,FALSE)</f>
        <v>mtr1a_human</v>
      </c>
      <c r="C126" s="5">
        <f>VLOOKUP($B126&amp;"__wt",'SegEnds_Xtal_BW#'!$A:$Z,3,FALSE)</f>
        <v>28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35</v>
      </c>
      <c r="T126" s="1">
        <f t="array" ref="T126">INDEX(ICL3_classA!$G$2:$G$37,MATCH(MIN(ABS(AI126-ICL3_classA!$F$2:$F$37)),ABS(AI126-ICL3_classA!$F$2:$F$37),0))</f>
        <v>73</v>
      </c>
      <c r="U126" s="1">
        <f t="array" ref="U126">INDEX(ICL3_classA!$H$2:$H$37,MATCH(MIN(ABS(AI126-ICL3_classA!$F$2:$F$37)),ABS(AI126-ICL3_classA!$F$2:$F$37),0))</f>
        <v>22</v>
      </c>
      <c r="V126" s="1">
        <v>61</v>
      </c>
      <c r="W126" s="132">
        <f>VLOOKUP($B126&amp;"__wt",'SegEnds_Xtal_BW#'!$A:$Z,23,FALSE)</f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63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60</v>
      </c>
      <c r="AF126" s="1" t="e">
        <f>VLOOKUP(A126,'SegEnds_NonXtal_Prot#'!A:AL,22,FALSE)-VLOOKUP(A126,'SegEnds_NonXtal_Prot#'!A:AL,19,FALSE)</f>
        <v>#VALUE!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55</v>
      </c>
      <c r="AI126" s="1">
        <f>VLOOKUP(A126,'SegEnds_NonXtal_Prot#'!A:AL,31,FALSE)-VLOOKUP(A126,'SegEnds_NonXtal_Prot#'!A:AL,28,FALSE)</f>
        <v>57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61</v>
      </c>
      <c r="W127" s="108">
        <v>25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30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19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88">
        <v>38</v>
      </c>
      <c r="P128" s="4">
        <f>VLOOKUP($B128&amp;"__wt",'SegEnds_Xtal_BW#'!$A:$Z,16,FALSE)</f>
        <v>63</v>
      </c>
      <c r="Q128" s="115">
        <v>50</v>
      </c>
      <c r="R128" s="115">
        <v>52</v>
      </c>
      <c r="S128" s="4">
        <v>35</v>
      </c>
      <c r="T128" s="4">
        <f t="array" ref="T128">INDEX(ICL3_classA!$G$2:$G$37,MATCH(MIN(ABS(AI128-ICL3_classA!$F$2:$F$37)),ABS(AI128-ICL3_classA!$F$2:$F$37),0))</f>
        <v>74</v>
      </c>
      <c r="U128" s="4">
        <f t="array" ref="U128">INDEX(ICL3_classA!$H$2:$H$37,MATCH(MIN(ABS(AI128-ICL3_classA!$F$2:$F$37)),ABS(AI128-ICL3_classA!$F$2:$F$37),0))</f>
        <v>21</v>
      </c>
      <c r="V128" s="4">
        <v>61</v>
      </c>
      <c r="W128" s="132">
        <f>VLOOKUP($B128&amp;"__wt",'SegEnds_Xtal_BW#'!$A:$Z,23,FALSE)</f>
        <v>30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4">
        <f>VLOOKUP(A128,'SegEnds_NonXtal_Prot#'!A:AL,10,FALSE)-VLOOKUP(A128,'SegEnds_NonXtal_Prot#'!A:AL,7,FALSE)</f>
        <v>16</v>
      </c>
      <c r="AD128" s="4" t="e">
        <f>VLOOKUP(A128,'SegEnds_NonXtal_Prot#'!A:AL,13,FALSE)-VLOOKUP(A128,'SegEnds_NonXtal_Prot#'!A:AL,10,FALSE)</f>
        <v>#VALUE!</v>
      </c>
      <c r="AE128" s="4">
        <f>VLOOKUP(A128,'SegEnds_NonXtal_Prot#'!A:AL,16,FALSE)-VLOOKUP(A128,'SegEnds_NonXtal_Prot#'!A:AL,10,FALSE)</f>
        <v>49</v>
      </c>
      <c r="AF128" s="1" t="e">
        <f>VLOOKUP(A128,'SegEnds_NonXtal_Prot#'!A:AL,22,FALSE)-VLOOKUP(A128,'SegEnds_NonXtal_Prot#'!A:AL,19,FALSE)</f>
        <v>#VALUE!</v>
      </c>
      <c r="AG128" s="4">
        <f>VLOOKUP(A128,'SegEnds_NonXtal_Prot#'!A:AL,28,FALSE)-VLOOKUP(A128,'SegEnds_NonXtal_Prot#'!A:AL,25,FALSE)</f>
        <v>21</v>
      </c>
      <c r="AH128" s="1">
        <f>VLOOKUP(A128,'SegEnds_NonXtal_Prot#'!A:AL,28,FALSE)-VLOOKUP(A128,'SegEnds_NonXtal_Prot#'!A:AL,22,FALSE)</f>
        <v>44</v>
      </c>
      <c r="AI128" s="4">
        <f>VLOOKUP(A128,'SegEnds_NonXtal_Prot#'!A:AL,31,FALSE)-VLOOKUP(A128,'SegEnds_NonXtal_Prot#'!A:AL,28,FALSE)</f>
        <v>63</v>
      </c>
      <c r="AJ128" s="4">
        <f>VLOOKUP(A128,'SegEnds_NonXtal_Prot#'!A:AL,34,FALSE)-VLOOKUP(A128,'SegEnds_NonXtal_Prot#'!A:AL,31,FALSE)</f>
        <v>38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243</v>
      </c>
      <c r="B129" s="1" t="str">
        <f>VLOOKUP(A129,Xtal_Templ!A:B,2,FALSE)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08">
        <v>38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32">
        <f>VLOOKUP($B129&amp;"__wt",'SegEnds_Xtal_BW#'!$A:$Z,23,FALSE)</f>
        <v>31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49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33</v>
      </c>
      <c r="AI129" s="1">
        <f>VLOOKUP(A129,'SegEnds_NonXtal_Prot#'!A:AL,31,FALSE)-VLOOKUP(A129,'SegEnds_NonXtal_Prot#'!A:AL,28,FALSE)</f>
        <v>48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08">
        <v>25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 t="e">
        <f>VLOOKUP(A130,'SegEnds_NonXtal_Prot#'!A:AL,28,FALSE)-VLOOKUP(A130,'SegEnds_NonXtal_Prot#'!A:AL,25,FALSE)</f>
        <v>#VALUE!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42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306</v>
      </c>
      <c r="B131" s="1" t="str">
        <f>VLOOKUP(A131,Xtal_Templ!A:B,2,FALSE)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32">
        <f>VLOOKUP($B131&amp;"__wt",'SegEnds_Xtal_BW#'!$A:$Z,23,FALSE)</f>
        <v>25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56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42</v>
      </c>
      <c r="AI131" s="1">
        <f>VLOOKUP(A131,'SegEnds_NonXtal_Prot#'!A:AL,31,FALSE)-VLOOKUP(A131,'SegEnds_NonXtal_Prot#'!A:AL,28,FALSE)</f>
        <v>42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307</v>
      </c>
      <c r="B132" s="1" t="str">
        <f>VLOOKUP(A132,Xtal_Templ!A:B,2,FALSE)</f>
        <v>pd2r2_human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26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32">
        <f>VLOOKUP($B132&amp;"__wt",'SegEnds_Xtal_BW#'!$A:$Z,23,FALSE)</f>
        <v>27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64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48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42</v>
      </c>
      <c r="AI132" s="1">
        <f>VLOOKUP(A132,'SegEnds_NonXtal_Prot#'!A:AL,31,FALSE)-VLOOKUP(A132,'SegEnds_NonXtal_Prot#'!A:AL,28,FALSE)</f>
        <v>42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308</v>
      </c>
      <c r="B133" s="1" t="str">
        <f>VLOOKUP(A133,Xtal_Templ!A:B,2,FALSE)</f>
        <v>par2_human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47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62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32">
        <f>VLOOKUP($B133&amp;"__wt",'SegEnds_Xtal_BW#'!$A:$Z,23,FALSE)</f>
        <v>31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 t="e">
        <f>VLOOKUP(A133,'SegEnds_NonXtal_Prot#'!A:AL,28,FALSE)-VLOOKUP(A133,'SegEnds_NonXtal_Prot#'!A:AL,25,FALSE)</f>
        <v>#VALUE!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42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320</v>
      </c>
      <c r="B134" s="1" t="str">
        <f>VLOOKUP(A134,Xtal_Templ!A:B,2,FALSE)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2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 t="e">
        <f>VLOOKUP(A134,'SegEnds_NonXtal_Prot#'!A:AL,22,FALSE)-VLOOKUP(A134,'SegEnds_NonXtal_Prot#'!A:AL,19,FALSE)</f>
        <v>#VALUE!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2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27</v>
      </c>
      <c r="AH135" s="1">
        <f>VLOOKUP(A135,'SegEnds_NonXtal_Prot#'!A:AL,28,FALSE)-VLOOKUP(A135,'SegEnds_NonXtal_Prot#'!A:AL,22,FALSE)</f>
        <v>53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324</v>
      </c>
      <c r="B136" s="1" t="str">
        <f>VLOOKUP(A136,Xtal_Templ!A:B,2,FALSE)</f>
        <v>5ht2c_human</v>
      </c>
      <c r="C136" s="5">
        <f>VLOOKUP($B136&amp;"__wt",'SegEnds_Xtal_BW#'!$A:$Z,3,FALSE)</f>
        <v>33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68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7">
        <v>38</v>
      </c>
      <c r="P136" s="1">
        <f>VLOOKUP($B136&amp;"__wt",'SegEnds_Xtal_BW#'!$A:$Z,16,FALSE)</f>
        <v>67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INDEX(ICL3_classA!$G$2:$G$37,MATCH(MIN(ABS(AI136-ICL3_classA!$F$2:$F$37)),ABS(AI136-ICL3_classA!$F$2:$F$37),0))</f>
        <v>76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32">
        <f>VLOOKUP($B136&amp;"__wt",'SegEnds_Xtal_BW#'!$A:$Z,23,FALSE)</f>
        <v>27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18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67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2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28</v>
      </c>
      <c r="AH137" s="1">
        <f>VLOOKUP(A137,'SegEnds_NonXtal_Prot#'!A:AL,28,FALSE)-VLOOKUP(A137,'SegEnds_NonXtal_Prot#'!A:AL,22,FALSE)</f>
        <v>55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2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32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27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Xtal</v>
      </c>
    </row>
    <row r="140" spans="1:38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2">
        <f>VLOOKUP($B140&amp;"__wt",'SegEnds_Xtal_BW#'!$A:$Z,23,FALSE)</f>
        <v>28</v>
      </c>
      <c r="X140" s="125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Xtal</v>
      </c>
    </row>
    <row r="141" spans="1:38" x14ac:dyDescent="0.2">
      <c r="A141" s="1" t="s">
        <v>349</v>
      </c>
      <c r="B141" s="1" t="str">
        <f>VLOOKUP(A141,Xtal_Templ!A:B,2,FALSE)</f>
        <v>par2_human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62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31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61</v>
      </c>
      <c r="W141" s="132">
        <f>VLOOKUP($B141&amp;"__wt",'SegEnds_Xtal_BW#'!$A:$Z,23,FALSE)</f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30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2">
        <f>VLOOKUP($B142&amp;"__wt",'SegEnds_Xtal_BW#'!$A:$Z,23,FALSE)</f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18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VLOOKUP(A142,'SegEnds_NonXtal_Prot#'!A:AL,28,FALSE)-VLOOKUP(A142,'SegEnds_NonXtal_Prot#'!A:AL,25,FALSE)</f>
        <v>#VALUE!</v>
      </c>
      <c r="AH142" s="1">
        <f>VLOOKUP(A142,'SegEnds_NonXtal_Prot#'!A:AL,28,FALSE)-VLOOKUP(A142,'SegEnds_NonXtal_Prot#'!A:AL,22,FALSE)</f>
        <v>45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32">
        <f>VLOOKUP($B143&amp;"__wt",'SegEnds_Xtal_BW#'!$A:$Z,23,FALSE)</f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53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2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50</v>
      </c>
      <c r="AI144" s="1">
        <f>VLOOKUP(A144,'SegEnds_NonXtal_Prot#'!A:AL,31,FALSE)-VLOOKUP(A144,'SegEnds_NonXtal_Prot#'!A:AL,28,FALSE)</f>
        <v>54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29</v>
      </c>
      <c r="V145" s="1">
        <v>61</v>
      </c>
      <c r="W145" s="132">
        <f>VLOOKUP($B145&amp;"__wt",'SegEnds_Xtal_BW#'!$A:$Z,23,FALSE)</f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19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27</v>
      </c>
      <c r="AH145" s="1">
        <f>VLOOKUP(A145,'SegEnds_NonXtal_Prot#'!A:AL,28,FALSE)-VLOOKUP(A145,'SegEnds_NonXtal_Prot#'!A:AL,22,FALSE)</f>
        <v>49</v>
      </c>
      <c r="AI145" s="1">
        <f>VLOOKUP(A145,'SegEnds_NonXtal_Prot#'!A:AL,31,FALSE)-VLOOKUP(A145,'SegEnds_NonXtal_Prot#'!A:AL,28,FALSE)</f>
        <v>50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132</v>
      </c>
      <c r="B146" s="1" t="str">
        <f>VLOOKUP(A146,Xtal_Templ!A:B,2,FALSE)</f>
        <v>5ht2a_human</v>
      </c>
      <c r="C146" s="5">
        <f>VLOOKUP($B146&amp;"__wt",'SegEnds_Xtal_BW#'!$A:$Z,3,FALSE)</f>
        <v>27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67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2"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21</v>
      </c>
      <c r="AE146" s="1">
        <f>VLOOKUP(A146,'SegEnds_NonXtal_Prot#'!A:AL,16,FALSE)-VLOOKUP(A146,'SegEnds_NonXtal_Prot#'!A:AL,10,FALSE)</f>
        <v>53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19</v>
      </c>
      <c r="AH146" s="1">
        <f>VLOOKUP(A146,'SegEnds_NonXtal_Prot#'!A:AL,28,FALSE)-VLOOKUP(A146,'SegEnds_NonXtal_Prot#'!A:AL,22,FALSE)</f>
        <v>46</v>
      </c>
      <c r="AI146" s="1">
        <f>VLOOKUP(A146,'SegEnds_NonXtal_Prot#'!A:AL,31,FALSE)-VLOOKUP(A146,'SegEnds_NonXtal_Prot#'!A:AL,28,FALSE)</f>
        <v>92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Xtal</v>
      </c>
    </row>
    <row r="147" spans="1:38" x14ac:dyDescent="0.2">
      <c r="A147" s="1" t="s">
        <v>133</v>
      </c>
      <c r="B147" s="1" t="str">
        <f>VLOOKUP(A147,Xtal_Templ!A:B,2,FALSE)</f>
        <v>5ht2c_human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67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35</v>
      </c>
      <c r="T147" s="1">
        <f t="array" ref="T147">INDEX(ICL3_classA!$G$2:$G$37,MATCH(MIN(ABS(AI147-ICL3_classA!$F$2:$F$37)),ABS(AI147-ICL3_classA!$F$2:$F$37),0))</f>
        <v>74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32">
        <v>27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60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21</v>
      </c>
      <c r="AE147" s="1">
        <f>VLOOKUP(A147,'SegEnds_NonXtal_Prot#'!A:AL,16,FALSE)-VLOOKUP(A147,'SegEnds_NonXtal_Prot#'!A:AL,10,FALSE)</f>
        <v>53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19</v>
      </c>
      <c r="AH147" s="1">
        <f>VLOOKUP(A147,'SegEnds_NonXtal_Prot#'!A:AL,28,FALSE)-VLOOKUP(A147,'SegEnds_NonXtal_Prot#'!A:AL,22,FALSE)</f>
        <v>47</v>
      </c>
      <c r="AI147" s="1">
        <f>VLOOKUP(A147,'SegEnds_NonXtal_Prot#'!A:AL,31,FALSE)-VLOOKUP(A147,'SegEnds_NonXtal_Prot#'!A:AL,28,FALSE)</f>
        <v>100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Xtal</v>
      </c>
    </row>
    <row r="148" spans="1:38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32">
        <v>27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21</v>
      </c>
      <c r="AE148" s="1">
        <f>VLOOKUP(A148,'SegEnds_NonXtal_Prot#'!A:AL,16,FALSE)-VLOOKUP(A148,'SegEnds_NonXtal_Prot#'!A:AL,10,FALSE)</f>
        <v>53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20</v>
      </c>
      <c r="AH148" s="1">
        <f>VLOOKUP(A148,'SegEnds_NonXtal_Prot#'!A:AL,28,FALSE)-VLOOKUP(A148,'SegEnds_NonXtal_Prot#'!A:AL,22,FALSE)</f>
        <v>44</v>
      </c>
      <c r="AI148" s="1">
        <f>VLOOKUP(A148,'SegEnds_NonXtal_Prot#'!A:AL,31,FALSE)-VLOOKUP(A148,'SegEnds_NonXtal_Prot#'!A:AL,28,FALSE)</f>
        <v>91</v>
      </c>
      <c r="AJ148" s="1">
        <f>VLOOKUP(A148,'SegEnds_NonXtal_Prot#'!A:AL,34,FALSE)-VLOOKUP(A148,'SegEnds_NonXtal_Prot#'!A:AL,31,FALSE)</f>
        <v>39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08">
        <v>33</v>
      </c>
      <c r="T149" s="1">
        <f t="array" ref="T149">INDEX(ICL3_classA!$G$2:$G$37,MATCH(MIN(ABS(AI149-ICL3_classA!$F$2:$F$37)),ABS(AI149-ICL3_classA!$F$2:$F$37),0))</f>
        <v>66</v>
      </c>
      <c r="U149" s="1">
        <f t="array" ref="U149">INDEX(ICL3_classA!$H$2:$H$37,MATCH(MIN(ABS(AI149-ICL3_classA!$F$2:$F$37)),ABS(AI149-ICL3_classA!$F$2:$F$37),0))</f>
        <v>30</v>
      </c>
      <c r="V149" s="1">
        <v>61</v>
      </c>
      <c r="W149" s="132">
        <f>VLOOKUP($B149&amp;"__wt",'SegEnds_Xtal_BW#'!$A:$Z,23,FALSE)</f>
        <v>30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58</v>
      </c>
      <c r="AF149" s="1">
        <f>VLOOKUP(A149,'SegEnds_NonXtal_Prot#'!A:AL,22,FALSE)-VLOOKUP(A149,'SegEnds_NonXtal_Prot#'!A:AL,19,FALSE)</f>
        <v>20</v>
      </c>
      <c r="AG149" s="1" t="e">
        <f>VLOOKUP(A149,'SegEnds_NonXtal_Prot#'!A:AL,28,FALSE)-VLOOKUP(A149,'SegEnds_NonXtal_Prot#'!A:AL,25,FALSE)</f>
        <v>#VALUE!</v>
      </c>
      <c r="AH149" s="1">
        <f>VLOOKUP(A149,'SegEnds_NonXtal_Prot#'!A:AL,28,FALSE)-VLOOKUP(A149,'SegEnds_NonXtal_Prot#'!A:AL,22,FALSE)</f>
        <v>40</v>
      </c>
      <c r="AI149" s="1">
        <f>VLOOKUP(A149,'SegEnds_NonXtal_Prot#'!A:AL,31,FALSE)-VLOOKUP(A149,'SegEnds_NonXtal_Prot#'!A:AL,28,FALSE)</f>
        <v>39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167</v>
      </c>
      <c r="B150" s="1" t="str">
        <f>VLOOKUP(A150,Xtal_Templ!A:B,2,FALSE)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INDEX(ICL3_classA!$G$2:$G$37,MATCH(MIN(ABS(AI150-ICL3_classA!$F$2:$F$37)),ABS(AI150-ICL3_classA!$F$2:$F$37),0))</f>
        <v>74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32">
        <f>VLOOKUP($B150&amp;"__wt",'SegEnds_Xtal_BW#'!$A:$Z,23,FALSE)</f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25</v>
      </c>
      <c r="AH150" s="1">
        <f>VLOOKUP(A150,'SegEnds_NonXtal_Prot#'!A:AL,28,FALSE)-VLOOKUP(A150,'SegEnds_NonXtal_Prot#'!A:AL,22,FALSE)</f>
        <v>55</v>
      </c>
      <c r="AI150" s="1">
        <f>VLOOKUP(A150,'SegEnds_NonXtal_Prot#'!A:AL,31,FALSE)-VLOOKUP(A150,'SegEnds_NonXtal_Prot#'!A:AL,28,FALSE)</f>
        <v>107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7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INDEX(ICL3_classA!$G$2:$G$37,MATCH(MIN(ABS(AI151-ICL3_classA!$F$2:$F$37)),ABS(AI151-ICL3_classA!$F$2:$F$37),0))</f>
        <v>68</v>
      </c>
      <c r="U151" s="12">
        <f t="array" ref="U151">INDEX(ICL3_classA!$H$2:$H$37,MATCH(MIN(ABS(AI151-ICL3_classA!$F$2:$F$37)),ABS(AI151-ICL3_classA!$F$2:$F$37),0))</f>
        <v>30</v>
      </c>
      <c r="V151" s="12">
        <v>61</v>
      </c>
      <c r="W151" s="132">
        <f>VLOOKUP($B151&amp;"__wt",'SegEnds_Xtal_BW#'!$A:$Z,23,FALSE)</f>
        <v>24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6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2">
        <f>VLOOKUP(A151,'SegEnds_NonXtal_Prot#'!A:AL,10,FALSE)-VLOOKUP(A151,'SegEnds_NonXtal_Prot#'!A:AL,7,FALSE)</f>
        <v>15</v>
      </c>
      <c r="AD151" s="12">
        <f>VLOOKUP(A151,'SegEnds_NonXtal_Prot#'!A:AL,13,FALSE)-VLOOKUP(A151,'SegEnds_NonXtal_Prot#'!A:AL,10,FALSE)</f>
        <v>18</v>
      </c>
      <c r="AE151" s="12">
        <f>VLOOKUP(A151,'SegEnds_NonXtal_Prot#'!A:AL,16,FALSE)-VLOOKUP(A151,'SegEnds_NonXtal_Prot#'!A:AL,10,FALSE)</f>
        <v>50</v>
      </c>
      <c r="AF151" s="1">
        <f>VLOOKUP(A151,'SegEnds_NonXtal_Prot#'!A:AL,22,FALSE)-VLOOKUP(A151,'SegEnds_NonXtal_Prot#'!A:AL,19,FALSE)</f>
        <v>22</v>
      </c>
      <c r="AG151" s="12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47</v>
      </c>
      <c r="AI151" s="12">
        <f>VLOOKUP(A151,'SegEnds_NonXtal_Prot#'!A:AL,31,FALSE)-VLOOKUP(A151,'SegEnds_NonXtal_Prot#'!A:AL,28,FALSE)</f>
        <v>43</v>
      </c>
      <c r="AJ151" s="12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2" t="str">
        <f>IF(ISERROR(MATCH(A151,'SegEnds_Xtal_Prot#'!B:B, 0)), "NoXtal", "Xtal")</f>
        <v>NoXtal</v>
      </c>
    </row>
    <row r="152" spans="1:38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32">
        <f>VLOOKUP($B152&amp;"__wt",'SegEnds_Xtal_BW#'!$A:$Z,23,FALSE)</f>
        <v>24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35</v>
      </c>
      <c r="AH152" s="1">
        <f>VLOOKUP(A152,'SegEnds_NonXtal_Prot#'!A:AL,28,FALSE)-VLOOKUP(A152,'SegEnds_NonXtal_Prot#'!A:AL,22,FALSE)</f>
        <v>65</v>
      </c>
      <c r="AI152" s="1">
        <f>VLOOKUP(A152,'SegEnds_NonXtal_Prot#'!A:AL,31,FALSE)-VLOOKUP(A152,'SegEnds_NonXtal_Prot#'!A:AL,28,FALSE)</f>
        <v>53</v>
      </c>
      <c r="AJ152" s="1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7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33</v>
      </c>
      <c r="T153" s="4">
        <f t="array" ref="T153">INDEX(ICL3_classA!$G$2:$G$37,MATCH(MIN(ABS(AI153-ICL3_classA!$F$2:$F$37)),ABS(AI153-ICL3_classA!$F$2:$F$37),0))</f>
        <v>76</v>
      </c>
      <c r="U153" s="4">
        <f t="array" ref="U153">INDEX(ICL3_classA!$H$2:$H$37,MATCH(MIN(ABS(AI153-ICL3_classA!$F$2:$F$37)),ABS(AI153-ICL3_classA!$F$2:$F$37),0))</f>
        <v>24</v>
      </c>
      <c r="V153" s="4">
        <v>61</v>
      </c>
      <c r="W153" s="132">
        <f>VLOOKUP($B153&amp;"__wt",'SegEnds_Xtal_BW#'!$A:$Z,23,FALSE)</f>
        <v>27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27</v>
      </c>
      <c r="AC153" s="4" t="e">
        <f>VLOOKUP(A153,'SegEnds_NonXtal_Prot#'!A:AL,10,FALSE)-VLOOKUP(A153,'SegEnds_NonXtal_Prot#'!A:AL,7,FALSE)</f>
        <v>#VALUE!</v>
      </c>
      <c r="AD153" s="4">
        <f>VLOOKUP(A153,'SegEnds_NonXtal_Prot#'!A:AL,13,FALSE)-VLOOKUP(A153,'SegEnds_NonXtal_Prot#'!A:AL,10,FALSE)</f>
        <v>19</v>
      </c>
      <c r="AE153" s="4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4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56</v>
      </c>
      <c r="AI153" s="4">
        <f>VLOOKUP(A153,'SegEnds_NonXtal_Prot#'!A:AL,31,FALSE)-VLOOKUP(A153,'SegEnds_NonXtal_Prot#'!A:AL,28,FALSE)</f>
        <v>76</v>
      </c>
      <c r="AJ153" s="4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INDEX(ICL3_classA!$G$2:$G$37,MATCH(MIN(ABS(AI154-ICL3_classA!$F$2:$F$37)),ABS(AI154-ICL3_classA!$F$2:$F$37),0))</f>
        <v>76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32">
        <f>VLOOKUP($B154&amp;"__wt",'SegEnds_Xtal_BW#'!$A:$Z,23,FALSE)</f>
        <v>27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25</v>
      </c>
      <c r="AH154" s="1">
        <f>VLOOKUP(A154,'SegEnds_NonXtal_Prot#'!A:AL,28,FALSE)-VLOOKUP(A154,'SegEnds_NonXtal_Prot#'!A:AL,22,FALSE)</f>
        <v>51</v>
      </c>
      <c r="AI154" s="1">
        <f>VLOOKUP(A154,'SegEnds_NonXtal_Prot#'!A:AL,31,FALSE)-VLOOKUP(A154,'SegEnds_NonXtal_Prot#'!A:AL,28,FALSE)</f>
        <v>118</v>
      </c>
      <c r="AJ154" s="1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216</v>
      </c>
      <c r="B155" s="1" t="str">
        <f>VLOOKUP(A155,Xtal_Templ!A:B,2,FALSE)</f>
        <v>5ht2c_human</v>
      </c>
      <c r="C155" s="5">
        <f>VLOOKUP($B155&amp;"__wt",'SegEnds_Xtal_BW#'!$A:$Z,3,FALSE)</f>
        <v>33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08">
        <v>56</v>
      </c>
      <c r="O155" s="87">
        <f>VLOOKUP($B155&amp;"__wt",'SegEnds_Xtal_BW#'!$A:$Z,15,FALSE)</f>
        <v>38</v>
      </c>
      <c r="P155" s="1">
        <f>VLOOKUP($B155&amp;"__wt",'SegEnds_Xtal_BW#'!$A:$Z,16,FALSE)</f>
        <v>67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35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2">
        <f>VLOOKUP($B155&amp;"__wt",'SegEnds_Xtal_BW#'!$A:$Z,23,FALSE)</f>
        <v>27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 t="e">
        <f>VLOOKUP(A155,'SegEnds_NonXtal_Prot#'!A:AL,10,FALSE)-VLOOKUP(A155,'SegEnds_NonXtal_Prot#'!A:AL,7,FALSE)</f>
        <v>#VALUE!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53</v>
      </c>
      <c r="AF155" s="1">
        <f>VLOOKUP(A155,'SegEnds_NonXtal_Prot#'!A:AL,22,FALSE)-VLOOKUP(A155,'SegEnds_NonXtal_Prot#'!A:AL,19,FALSE)</f>
        <v>19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43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218</v>
      </c>
      <c r="B156" s="1" t="str">
        <f>VLOOKUP(A156,Xtal_Templ!A:B,2,FALSE)</f>
        <v>5ht2a_human</v>
      </c>
      <c r="C156" s="5">
        <f>VLOOKUP($B156&amp;"__wt",'SegEnds_Xtal_BW#'!$A:$Z,3,FALSE)</f>
        <v>27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08">
        <v>56</v>
      </c>
      <c r="O156" s="87">
        <f>VLOOKUP($B156&amp;"__wt",'SegEnds_Xtal_BW#'!$A:$Z,15,FALSE)</f>
        <v>38</v>
      </c>
      <c r="P156" s="1">
        <f>VLOOKUP($B156&amp;"__wt",'SegEnds_Xtal_BW#'!$A:$Z,16,FALSE)</f>
        <v>67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61</v>
      </c>
      <c r="W156" s="132">
        <f>VLOOKUP($B156&amp;"__wt",'SegEnds_Xtal_BW#'!$A:$Z,23,FALSE)</f>
        <v>27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 t="e">
        <f>VLOOKUP(A156,'SegEnds_NonXtal_Prot#'!A:AL,10,FALSE)-VLOOKUP(A156,'SegEnds_NonXtal_Prot#'!A:AL,7,FALSE)</f>
        <v>#VALUE!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53</v>
      </c>
      <c r="AF156" s="1">
        <f>VLOOKUP(A156,'SegEnds_NonXtal_Prot#'!A:AL,22,FALSE)-VLOOKUP(A156,'SegEnds_NonXtal_Prot#'!A:AL,19,FALSE)</f>
        <v>19</v>
      </c>
      <c r="AG156" s="1" t="e">
        <f>VLOOKUP(A156,'SegEnds_NonXtal_Prot#'!A:AL,28,FALSE)-VLOOKUP(A156,'SegEnds_NonXtal_Prot#'!A:AL,25,FALSE)</f>
        <v>#VALUE!</v>
      </c>
      <c r="AH156" s="1">
        <f>VLOOKUP(A156,'SegEnds_NonXtal_Prot#'!A:AL,28,FALSE)-VLOOKUP(A156,'SegEnds_NonXtal_Prot#'!A:AL,22,FALSE)</f>
        <v>43</v>
      </c>
      <c r="AI156" s="1">
        <f>VLOOKUP(A156,'SegEnds_NonXtal_Prot#'!A:AL,31,FALSE)-VLOOKUP(A156,'SegEnds_NonXtal_Prot#'!A:AL,28,FALSE)</f>
        <v>47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222</v>
      </c>
      <c r="B157" s="1" t="str">
        <f>VLOOKUP(A157,Xtal_Templ!A:B,2,FALSE)</f>
        <v>cxcr4_human</v>
      </c>
      <c r="C157" s="5">
        <f>VLOOKUP($B157&amp;"__wt",'SegEnds_Xtal_BW#'!$A:$Z,3,FALSE)</f>
        <v>24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INDEX(ICL3_classA!$G$2:$G$37,MATCH(MIN(ABS(AI157-ICL3_classA!$F$2:$F$37)),ABS(AI157-ICL3_classA!$F$2:$F$37),0))</f>
        <v>74</v>
      </c>
      <c r="U157" s="1">
        <f t="array" ref="U157">INDEX(ICL3_classA!$H$2:$H$37,MATCH(MIN(ABS(AI157-ICL3_classA!$F$2:$F$37)),ABS(AI157-ICL3_classA!$F$2:$F$37),0))</f>
        <v>21</v>
      </c>
      <c r="V157" s="1">
        <v>61</v>
      </c>
      <c r="W157" s="132">
        <f>VLOOKUP($B157&amp;"__wt",'SegEnds_Xtal_BW#'!$A:$Z,23,FALSE)</f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33</v>
      </c>
      <c r="AC157" s="1" t="e">
        <f>VLOOKUP(A157,'SegEnds_NonXtal_Prot#'!A:AL,10,FALSE)-VLOOKUP(A157,'SegEnds_NonXtal_Prot#'!A:AL,7,FALSE)</f>
        <v>#VALUE!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54</v>
      </c>
      <c r="AF157" s="1" t="e">
        <f>VLOOKUP(A157,'SegEnds_NonXtal_Prot#'!A:AL,22,FALSE)-VLOOKUP(A157,'SegEnds_NonXtal_Prot#'!A:AL,19,FALSE)</f>
        <v>#VALUE!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75</v>
      </c>
      <c r="AI157" s="1">
        <f>VLOOKUP(A157,'SegEnds_NonXtal_Prot#'!A:AL,31,FALSE)-VLOOKUP(A157,'SegEnds_NonXtal_Prot#'!A:AL,28,FALSE)</f>
        <v>66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32">
        <f>VLOOKUP($B158&amp;"__wt",'SegEnds_Xtal_BW#'!$A:$Z,23,FALSE)</f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35</v>
      </c>
      <c r="AH158" s="1">
        <f>VLOOKUP(A158,'SegEnds_NonXtal_Prot#'!A:AL,28,FALSE)-VLOOKUP(A158,'SegEnds_NonXtal_Prot#'!A:AL,22,FALSE)</f>
        <v>67</v>
      </c>
      <c r="AI158" s="1">
        <f>VLOOKUP(A158,'SegEnds_NonXtal_Prot#'!A:AL,31,FALSE)-VLOOKUP(A158,'SegEnds_NonXtal_Prot#'!A:AL,28,FALSE)</f>
        <v>53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68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2">
        <f>VLOOKUP($B159&amp;"__wt",'SegEnds_Xtal_BW#'!$A:$Z,23,FALSE)</f>
        <v>31</v>
      </c>
      <c r="X159" s="125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 t="e">
        <f>VLOOKUP(A159,'SegEnds_NonXtal_Prot#'!A:AL,22,FALSE)-VLOOKUP(A159,'SegEnds_NonXtal_Prot#'!A:AL,19,FALSE)</f>
        <v>#VALUE!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75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265</v>
      </c>
      <c r="B160" s="1" t="str">
        <f>VLOOKUP(A160,Xtal_Templ!A:B,2,FALSE)</f>
        <v>drd2_human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68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58</v>
      </c>
      <c r="O160" s="87">
        <v>38</v>
      </c>
      <c r="P160" s="1">
        <f>VLOOKUP($B160&amp;"__wt",'SegEnds_Xtal_BW#'!$A:$Z,16,FALSE)</f>
        <v>62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32">
        <f>VLOOKUP($B160&amp;"__wt",'SegEnds_Xtal_BW#'!$A:$Z,23,FALSE)</f>
        <v>31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 t="e">
        <f>VLOOKUP(A160,'SegEnds_NonXtal_Prot#'!A:AL,22,FALSE)-VLOOKUP(A160,'SegEnds_NonXtal_Prot#'!A:AL,19,FALSE)</f>
        <v>#VALUE!</v>
      </c>
      <c r="AG160" s="1">
        <f>VLOOKUP(A160,'SegEnds_NonXtal_Prot#'!A:AL,28,FALSE)-VLOOKUP(A160,'SegEnds_NonXtal_Prot#'!A:AL,25,FALSE)</f>
        <v>25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75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68</v>
      </c>
      <c r="U161" s="108">
        <v>27</v>
      </c>
      <c r="V161" s="1">
        <v>61</v>
      </c>
      <c r="W161" s="132">
        <f>VLOOKUP($B161&amp;"__wt",'SegEnds_Xtal_BW#'!$A:$Z,23,FALSE)</f>
        <v>30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58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48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32">
        <f>VLOOKUP($B162&amp;"__wt",'SegEnds_Xtal_BW#'!$A:$Z,23,FALSE)</f>
        <v>30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57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32">
        <f>VLOOKUP($B163&amp;"__wt",'SegEnds_Xtal_BW#'!$A:$Z,23,FALSE)</f>
        <v>30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46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08">
        <v>33</v>
      </c>
      <c r="T164" s="1">
        <f t="array" ref="T164">INDEX(ICL3_classA!$G$2:$G$37,MATCH(MIN(ABS(AI164-ICL3_classA!$F$2:$F$37)),ABS(AI164-ICL3_classA!$F$2:$F$37),0))</f>
        <v>67</v>
      </c>
      <c r="U164" s="108">
        <v>27</v>
      </c>
      <c r="V164" s="1">
        <v>61</v>
      </c>
      <c r="W164" s="132">
        <f>VLOOKUP($B164&amp;"__wt",'SegEnds_Xtal_BW#'!$A:$Z,23,FALSE)</f>
        <v>30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58</v>
      </c>
      <c r="AF164" s="1">
        <f>VLOOKUP(A164,'SegEnds_NonXtal_Prot#'!A:AL,22,FALSE)-VLOOKUP(A164,'SegEnds_NonXtal_Prot#'!A:AL,19,FALSE)</f>
        <v>20</v>
      </c>
      <c r="AG164" s="1" t="e">
        <f>VLOOKUP(A164,'SegEnds_NonXtal_Prot#'!A:AL,28,FALSE)-VLOOKUP(A164,'SegEnds_NonXtal_Prot#'!A:AL,25,FALSE)</f>
        <v>#VALUE!</v>
      </c>
      <c r="AH164" s="1">
        <f>VLOOKUP(A164,'SegEnds_NonXtal_Prot#'!A:AL,28,FALSE)-VLOOKUP(A164,'SegEnds_NonXtal_Prot#'!A:AL,22,FALSE)</f>
        <v>40</v>
      </c>
      <c r="AI164" s="1">
        <f>VLOOKUP(A164,'SegEnds_NonXtal_Prot#'!A:AL,31,FALSE)-VLOOKUP(A164,'SegEnds_NonXtal_Prot#'!A:AL,28,FALSE)</f>
        <v>47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2">
        <f>VLOOKUP($B165&amp;"__wt",'SegEnds_Xtal_BW#'!$A:$Z,23,FALSE)</f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24</v>
      </c>
      <c r="AH165" s="1">
        <f>VLOOKUP(A165,'SegEnds_NonXtal_Prot#'!A:AL,28,FALSE)-VLOOKUP(A165,'SegEnds_NonXtal_Prot#'!A:AL,22,FALSE)</f>
        <v>96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311</v>
      </c>
      <c r="B166" s="1" t="str">
        <f>VLOOKUP(A166,Xtal_Templ!A:B,2,FALSE)</f>
        <v>mtr1a_human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32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63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Xtal</v>
      </c>
    </row>
    <row r="167" spans="1:38" x14ac:dyDescent="0.2">
      <c r="A167" s="1" t="s">
        <v>312</v>
      </c>
      <c r="B167" s="1" t="str">
        <f>VLOOKUP(A167,Xtal_Templ!A:B,2,FALSE)</f>
        <v>mtr1b_human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32">
        <f>VLOOKUP($B167&amp;"__wt",'SegEnds_Xtal_BW#'!$A:$Z,23,FALSE)</f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54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Xtal</v>
      </c>
    </row>
    <row r="168" spans="1:38" x14ac:dyDescent="0.2">
      <c r="A168" s="1" t="s">
        <v>313</v>
      </c>
      <c r="B168" s="1" t="str">
        <f>VLOOKUP(A168,Xtal_Templ!A:B,2,FALSE)</f>
        <v>mtr1a_human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INDEX(ICL3_classA!$G$2:$G$37,MATCH(MIN(ABS(AI168-ICL3_classA!$F$2:$F$37)),ABS(AI168-ICL3_classA!$F$2:$F$37),0))</f>
        <v>72</v>
      </c>
      <c r="U168" s="1">
        <f t="array" ref="U168">INDEX(ICL3_classA!$H$2:$H$37,MATCH(MIN(ABS(AI168-ICL3_classA!$F$2:$F$37)),ABS(AI168-ICL3_classA!$F$2:$F$37),0))</f>
        <v>24</v>
      </c>
      <c r="V168" s="1">
        <v>61</v>
      </c>
      <c r="W168" s="132">
        <f>VLOOKUP($B168&amp;"__wt",'SegEnds_Xtal_BW#'!$A:$Z,23,FALSE)</f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63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22</v>
      </c>
      <c r="AH168" s="1">
        <f>VLOOKUP(A168,'SegEnds_NonXtal_Prot#'!A:AL,28,FALSE)-VLOOKUP(A168,'SegEnds_NonXtal_Prot#'!A:AL,22,FALSE)</f>
        <v>47</v>
      </c>
      <c r="AI168" s="1">
        <f>VLOOKUP(A168,'SegEnds_NonXtal_Prot#'!A:AL,31,FALSE)-VLOOKUP(A168,'SegEnds_NonXtal_Prot#'!A:AL,28,FALSE)</f>
        <v>52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314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2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Xtal</v>
      </c>
    </row>
    <row r="170" spans="1:38" x14ac:dyDescent="0.2">
      <c r="A170" s="1" t="s">
        <v>315</v>
      </c>
      <c r="B170" s="1" t="str">
        <f>VLOOKUP(A170,Xtal_Templ!A:B,2,FALSE)</f>
        <v>nk1r_human</v>
      </c>
      <c r="C170" s="5">
        <f>VLOOKUP($B170&amp;"__wt",'SegEnds_Xtal_BW#'!$A:$Z,3,FALSE)</f>
        <v>28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 t="str">
        <f>VLOOKUP($B170&amp;"__wt",'SegEnds_Xtal_BW#'!$A:$Z,13,FALSE)</f>
        <v>-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32">
        <f>VLOOKUP($B170&amp;"__wt",'SegEnds_Xtal_BW#'!$A:$Z,23,FALSE)</f>
        <v>30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56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316</v>
      </c>
      <c r="B171" s="1" t="str">
        <f>VLOOKUP(A171,Xtal_Templ!A:B,2,FALSE)</f>
        <v>nk1r_human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2">
        <v>56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2">
        <f>VLOOKUP($B171&amp;"__wt",'SegEnds_Xtal_BW#'!$A:$Z,23,FALSE)</f>
        <v>30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51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325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08" t="s">
        <v>23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32">
        <f>VLOOKUP($B172&amp;"__wt",'SegEnds_Xtal_BW#'!$A:$Z,23,FALSE)</f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60</v>
      </c>
      <c r="AI172" s="1">
        <f>VLOOKUP(A172,'SegEnds_NonXtal_Prot#'!A:AL,31,FALSE)-VLOOKUP(A172,'SegEnds_NonXtal_Prot#'!A:AL,28,FALSE)</f>
        <v>55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Xtal</v>
      </c>
    </row>
    <row r="173" spans="1:38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72</v>
      </c>
      <c r="U173" s="1">
        <f t="array" ref="U173">INDEX(ICL3_classA!$H$2:$H$37,MATCH(MIN(ABS(AI173-ICL3_classA!$F$2:$F$37)),ABS(AI173-ICL3_classA!$F$2:$F$37),0))</f>
        <v>24</v>
      </c>
      <c r="V173" s="1">
        <v>61</v>
      </c>
      <c r="W173" s="132">
        <f>VLOOKUP($B173&amp;"__wt",'SegEnds_Xtal_BW#'!$A:$Z,23,FALSE)</f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28</v>
      </c>
      <c r="AH173" s="1">
        <f>VLOOKUP(A173,'SegEnds_NonXtal_Prot#'!A:AL,28,FALSE)-VLOOKUP(A173,'SegEnds_NonXtal_Prot#'!A:AL,22,FALSE)</f>
        <v>58</v>
      </c>
      <c r="AI173" s="1">
        <f>VLOOKUP(A173,'SegEnds_NonXtal_Prot#'!A:AL,31,FALSE)-VLOOKUP(A173,'SegEnds_NonXtal_Prot#'!A:AL,28,FALSE)</f>
        <v>52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327</v>
      </c>
      <c r="B174" s="1" t="str">
        <f>VLOOKUP(A174,Xtal_Templ!A:B,2,FALSE)</f>
        <v>npy1r_human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72</v>
      </c>
      <c r="U174" s="1">
        <f t="array" ref="U174">INDEX(ICL3_classA!$H$2:$H$37,MATCH(MIN(ABS(AI174-ICL3_classA!$F$2:$F$37)),ABS(AI174-ICL3_classA!$F$2:$F$37),0))</f>
        <v>24</v>
      </c>
      <c r="V174" s="1">
        <v>61</v>
      </c>
      <c r="W174" s="132">
        <f>VLOOKUP($B174&amp;"__wt",'SegEnds_Xtal_BW#'!$A:$Z,23,FALSE)</f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25</v>
      </c>
      <c r="AH174" s="1">
        <f>VLOOKUP(A174,'SegEnds_NonXtal_Prot#'!A:AL,28,FALSE)-VLOOKUP(A174,'SegEnds_NonXtal_Prot#'!A:AL,22,FALSE)</f>
        <v>62</v>
      </c>
      <c r="AI174" s="1">
        <f>VLOOKUP(A174,'SegEnds_NonXtal_Prot#'!A:AL,31,FALSE)-VLOOKUP(A174,'SegEnds_NonXtal_Prot#'!A:AL,28,FALSE)</f>
        <v>54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328</v>
      </c>
      <c r="B175" s="1" t="str">
        <f>VLOOKUP(A175,Xtal_Templ!A:B,2,FALSE)</f>
        <v>npy1r_human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08" t="s">
        <v>23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76</v>
      </c>
      <c r="U175" s="1">
        <f t="array" ref="U175">INDEX(ICL3_classA!$H$2:$H$37,MATCH(MIN(ABS(AI175-ICL3_classA!$F$2:$F$37)),ABS(AI175-ICL3_classA!$F$2:$F$37),0))</f>
        <v>24</v>
      </c>
      <c r="V175" s="1">
        <v>61</v>
      </c>
      <c r="W175" s="132">
        <f>VLOOKUP($B175&amp;"__wt",'SegEnds_Xtal_BW#'!$A:$Z,23,FALSE)</f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25</v>
      </c>
      <c r="AH175" s="1">
        <f>VLOOKUP(A175,'SegEnds_NonXtal_Prot#'!A:AL,28,FALSE)-VLOOKUP(A175,'SegEnds_NonXtal_Prot#'!A:AL,22,FALSE)</f>
        <v>59</v>
      </c>
      <c r="AI175" s="1">
        <f>VLOOKUP(A175,'SegEnds_NonXtal_Prot#'!A:AL,31,FALSE)-VLOOKUP(A175,'SegEnds_NonXtal_Prot#'!A:AL,28,FALSE)</f>
        <v>160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32">
        <f>VLOOKUP($B176&amp;"__wt",'SegEnds_Xtal_BW#'!$A:$Z,23,FALSE)</f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27</v>
      </c>
      <c r="AH176" s="1">
        <f>VLOOKUP(A176,'SegEnds_NonXtal_Prot#'!A:AL,28,FALSE)-VLOOKUP(A176,'SegEnds_NonXtal_Prot#'!A:AL,22,FALSE)</f>
        <v>52</v>
      </c>
      <c r="AI176" s="1">
        <f>VLOOKUP(A176,'SegEnds_NonXtal_Prot#'!A:AL,31,FALSE)-VLOOKUP(A176,'SegEnds_NonXtal_Prot#'!A:AL,28,FALSE)</f>
        <v>51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Xtal</v>
      </c>
    </row>
    <row r="177" spans="1:38" x14ac:dyDescent="0.2">
      <c r="A177" s="1" t="s">
        <v>916</v>
      </c>
      <c r="B177" s="1" t="str">
        <f>VLOOKUP(A177,Xtal_Templ!A:B,2,FALSE)</f>
        <v>oprd_mouse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23</v>
      </c>
      <c r="V177" s="1">
        <v>61</v>
      </c>
      <c r="W177" s="132">
        <f>VLOOKUP($B177&amp;"__wt",'SegEnds_Xtal_BW#'!$A:$Z,23,FALSE)</f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52</v>
      </c>
      <c r="AI177" s="1">
        <f>VLOOKUP(A177,'SegEnds_NonXtal_Prot#'!A:AL,31,FALSE)-VLOOKUP(A177,'SegEnds_NonXtal_Prot#'!A:AL,28,FALSE)</f>
        <v>51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Xtal</v>
      </c>
    </row>
    <row r="178" spans="1:38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24</v>
      </c>
      <c r="V178" s="1">
        <v>62</v>
      </c>
      <c r="W178" s="132">
        <f>VLOOKUP($B178&amp;"__wt",'SegEnds_Xtal_BW#'!$A:$Z,23,FALSE)</f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 t="e">
        <f>VLOOKUP(A178,'SegEnds_NonXtal_Prot#'!A:AL,10,FALSE)-VLOOKUP(A178,'SegEnds_NonXtal_Prot#'!A:AL,7,FALSE)</f>
        <v>#VALUE!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19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55</v>
      </c>
      <c r="AI178" s="1">
        <f>VLOOKUP(A178,'SegEnds_NonXtal_Prot#'!A:AL,31,FALSE)-VLOOKUP(A178,'SegEnds_NonXtal_Prot#'!A:AL,28,FALSE)</f>
        <v>48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30</v>
      </c>
      <c r="V179" s="1">
        <v>62</v>
      </c>
      <c r="W179" s="132">
        <f>VLOOKUP($B179&amp;"__wt",'SegEnds_Xtal_BW#'!$A:$Z,23,FALSE)</f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22</v>
      </c>
      <c r="AH179" s="1">
        <f>VLOOKUP(A179,'SegEnds_NonXtal_Prot#'!A:AL,28,FALSE)-VLOOKUP(A179,'SegEnds_NonXtal_Prot#'!A:AL,22,FALSE)</f>
        <v>56</v>
      </c>
      <c r="AI179" s="1">
        <f>VLOOKUP(A179,'SegEnds_NonXtal_Prot#'!A:AL,31,FALSE)-VLOOKUP(A179,'SegEnds_NonXtal_Prot#'!A:AL,28,FALSE)</f>
        <v>42</v>
      </c>
      <c r="AJ179" s="1">
        <f>VLOOKUP(A179,'SegEnds_NonXtal_Prot#'!A:AL,34,FALSE)-VLOOKUP(A179,'SegEnds_NonXtal_Prot#'!A:AL,31,FALSE)</f>
        <v>39</v>
      </c>
      <c r="AK179" s="1" t="e">
        <f>VLOOKUP(A179,'SegEnds_NonXtal_Prot#'!A:AL,37,FALSE)-VLOOKUP(A179,'SegEnds_NonXtal_Prot#'!A:AL,34,FALSE)</f>
        <v>#VALUE!</v>
      </c>
      <c r="AL179" s="1" t="str">
        <f>IF(ISERROR(MATCH(A179,'SegEnds_Xtal_Prot#'!B:B, 0)), "NoXtal", "Xtal")</f>
        <v>NoXtal</v>
      </c>
    </row>
    <row r="180" spans="1:38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62</v>
      </c>
      <c r="W180" s="132">
        <f>VLOOKUP($B180&amp;"__wt",'SegEnds_Xtal_BW#'!$A:$Z,23,FALSE)</f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55</v>
      </c>
      <c r="AI180" s="1">
        <f>VLOOKUP(A180,'SegEnds_NonXtal_Prot#'!A:AL,31,FALSE)-VLOOKUP(A180,'SegEnds_NonXtal_Prot#'!A:AL,28,FALSE)</f>
        <v>42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364</v>
      </c>
      <c r="B181" s="1" t="str">
        <f>VLOOKUP(A181,Xtal_Templ!A:B,2,FALSE)</f>
        <v>pe2r4_human</v>
      </c>
      <c r="C181" s="5">
        <f>VLOOKUP($B181&amp;"__wt",'SegEnds_Xtal_BW#'!$A:$Z,3,FALSE)</f>
        <v>33</v>
      </c>
      <c r="D181" s="1">
        <f>VLOOKUP($B181&amp;"__wt",'SegEnds_Xtal_BW#'!$A:$Z,4,FALSE)</f>
        <v>58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v>38</v>
      </c>
      <c r="P181" s="1">
        <f>VLOOKUP($B181&amp;"__wt",'SegEnds_Xtal_BW#'!$A:$Z,16,FALSE)</f>
        <v>63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32">
        <f>VLOOKUP($B181&amp;"__wt",'SegEnds_Xtal_BW#'!$A:$Z,23,FALSE)</f>
        <v>33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30</v>
      </c>
      <c r="AC181" s="1" t="e">
        <f>VLOOKUP(A181,'SegEnds_NonXtal_Prot#'!A:AL,10,FALSE)-VLOOKUP(A181,'SegEnds_NonXtal_Prot#'!A:AL,7,FALSE)</f>
        <v>#VALUE!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51</v>
      </c>
      <c r="AI181" s="1">
        <f>VLOOKUP(A181,'SegEnds_NonXtal_Prot#'!A:AL,31,FALSE)-VLOOKUP(A181,'SegEnds_NonXtal_Prot#'!A:AL,28,FALSE)</f>
        <v>92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Xtal</v>
      </c>
    </row>
    <row r="182" spans="1:38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68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7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33</v>
      </c>
      <c r="T182" s="4">
        <f t="array" ref="T182">INDEX(ICL3_classA!$G$2:$G$37,MATCH(MIN(ABS(AI182-ICL3_classA!$F$2:$F$37)),ABS(AI182-ICL3_classA!$F$2:$F$37),0))</f>
        <v>73</v>
      </c>
      <c r="U182" s="4">
        <f t="array" ref="U182">INDEX(ICL3_classA!$H$2:$H$37,MATCH(MIN(ABS(AI182-ICL3_classA!$F$2:$F$37)),ABS(AI182-ICL3_classA!$F$2:$F$37),0))</f>
        <v>22</v>
      </c>
      <c r="V182" s="4">
        <v>61</v>
      </c>
      <c r="W182" s="132">
        <f>VLOOKUP($B182&amp;"__wt",'SegEnds_Xtal_BW#'!$A:$Z,23,FALSE)</f>
        <v>27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4">
        <f>VLOOKUP(A182,'SegEnds_NonXtal_Prot#'!A:AL,10,FALSE)-VLOOKUP(A182,'SegEnds_NonXtal_Prot#'!A:AL,7,FALSE)</f>
        <v>15</v>
      </c>
      <c r="AD182" s="4">
        <f>VLOOKUP(A182,'SegEnds_NonXtal_Prot#'!A:AL,13,FALSE)-VLOOKUP(A182,'SegEnds_NonXtal_Prot#'!A:AL,10,FALSE)</f>
        <v>21</v>
      </c>
      <c r="AE182" s="4">
        <f>VLOOKUP(A182,'SegEnds_NonXtal_Prot#'!A:AL,16,FALSE)-VLOOKUP(A182,'SegEnds_NonXtal_Prot#'!A:AL,10,FALSE)</f>
        <v>53</v>
      </c>
      <c r="AF182" s="1">
        <f>VLOOKUP(A182,'SegEnds_NonXtal_Prot#'!A:AL,22,FALSE)-VLOOKUP(A182,'SegEnds_NonXtal_Prot#'!A:AL,19,FALSE)</f>
        <v>18</v>
      </c>
      <c r="AG182" s="4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53</v>
      </c>
      <c r="AI182" s="4">
        <f>VLOOKUP(A182,'SegEnds_NonXtal_Prot#'!A:AL,31,FALSE)-VLOOKUP(A182,'SegEnds_NonXtal_Prot#'!A:AL,28,FALSE)</f>
        <v>56</v>
      </c>
      <c r="AJ182" s="4">
        <f>VLOOKUP(A182,'SegEnds_NonXtal_Prot#'!A:AL,34,FALSE)-VLOOKUP(A182,'SegEnds_NonXtal_Prot#'!A:AL,31,FALSE)</f>
        <v>39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396</v>
      </c>
      <c r="B183" s="1" t="str">
        <f>VLOOKUP(A183,Xtal_Templ!A:B,2,FALSE)</f>
        <v>ccr5_human</v>
      </c>
      <c r="C183" s="5">
        <f>VLOOKUP($B183&amp;"__wt",'SegEnds_Xtal_BW#'!$A:$Z,3,FALSE)</f>
        <v>24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30</v>
      </c>
      <c r="T183" s="1">
        <f t="array" ref="T183">INDEX(ICL3_classA!$G$2:$G$37,MATCH(MIN(ABS(AI183-ICL3_classA!$F$2:$F$37)),ABS(AI183-ICL3_classA!$F$2:$F$37),0))</f>
        <v>72</v>
      </c>
      <c r="U183" s="1">
        <f t="array" ref="U183">INDEX(ICL3_classA!$H$2:$H$37,MATCH(MIN(ABS(AI183-ICL3_classA!$F$2:$F$37)),ABS(AI183-ICL3_classA!$F$2:$F$37),0))</f>
        <v>29</v>
      </c>
      <c r="V183" s="1">
        <v>61</v>
      </c>
      <c r="W183" s="132">
        <f>VLOOKUP($B183&amp;"__wt",'SegEnds_Xtal_BW#'!$A:$Z,23,FALSE)</f>
        <v>24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19</v>
      </c>
      <c r="AE183" s="1">
        <f>VLOOKUP(A183,'SegEnds_NonXtal_Prot#'!A:AL,16,FALSE)-VLOOKUP(A183,'SegEnds_NonXtal_Prot#'!A:AL,10,FALSE)</f>
        <v>51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24</v>
      </c>
      <c r="AH183" s="1">
        <f>VLOOKUP(A183,'SegEnds_NonXtal_Prot#'!A:AL,28,FALSE)-VLOOKUP(A183,'SegEnds_NonXtal_Prot#'!A:AL,22,FALSE)</f>
        <v>49</v>
      </c>
      <c r="AI183" s="1">
        <f>VLOOKUP(A183,'SegEnds_NonXtal_Prot#'!A:AL,31,FALSE)-VLOOKUP(A183,'SegEnds_NonXtal_Prot#'!A:AL,28,FALSE)</f>
        <v>50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08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08">
        <v>56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INDEX(ICL3_classA!$G$2:$G$37,MATCH(MIN(ABS(AI184-ICL3_classA!$F$2:$F$37)),ABS(AI184-ICL3_classA!$F$2:$F$37),0))</f>
        <v>76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32">
        <f>VLOOKUP($B184&amp;"__wt",'SegEnds_Xtal_BW#'!$A:$Z,23,FALSE)</f>
        <v>27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18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19</v>
      </c>
      <c r="AG184" s="1">
        <f>VLOOKUP(A184,'SegEnds_NonXtal_Prot#'!A:AL,28,FALSE)-VLOOKUP(A184,'SegEnds_NonXtal_Prot#'!A:AL,25,FALSE)</f>
        <v>25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78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398</v>
      </c>
      <c r="B185" s="1" t="str">
        <f>VLOOKUP(A185,Xtal_Templ!A:B,2,FALSE)</f>
        <v>mtr1b_human</v>
      </c>
      <c r="C185" s="5">
        <f>VLOOKUP($B185&amp;"__wt",'SegEnds_Xtal_BW#'!$A:$Z,3,FALSE)</f>
        <v>30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08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32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18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85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164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08">
        <v>31</v>
      </c>
      <c r="V186" s="1">
        <v>61</v>
      </c>
      <c r="W186" s="108">
        <v>25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176</v>
      </c>
      <c r="AH186" s="1">
        <f>VLOOKUP(A186,'SegEnds_NonXtal_Prot#'!A:AL,28,FALSE)-VLOOKUP(A186,'SegEnds_NonXtal_Prot#'!A:AL,22,FALSE)</f>
        <v>201</v>
      </c>
      <c r="AI186" s="1">
        <f>VLOOKUP(A186,'SegEnds_NonXtal_Prot#'!A:AL,31,FALSE)-VLOOKUP(A186,'SegEnds_NonXtal_Prot#'!A:AL,28,FALSE)</f>
        <v>44</v>
      </c>
      <c r="AJ186" s="1">
        <f>VLOOKUP(A186,'SegEnds_NonXtal_Prot#'!A:AL,34,FALSE)-VLOOKUP(A186,'SegEnds_NonXtal_Prot#'!A:AL,31,FALSE)</f>
        <v>40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165</v>
      </c>
      <c r="B187" s="1" t="str">
        <f>VLOOKUP(A187,Xtal_Templ!A:B,2,FALSE)</f>
        <v>c5ar1_human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08">
        <v>31</v>
      </c>
      <c r="V187" s="1">
        <v>61</v>
      </c>
      <c r="W187" s="108">
        <v>25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56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26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43</v>
      </c>
      <c r="AJ187" s="1">
        <f>VLOOKUP(A187,'SegEnds_NonXtal_Prot#'!A:AL,34,FALSE)-VLOOKUP(A187,'SegEnds_NonXtal_Prot#'!A:AL,31,FALSE)</f>
        <v>40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166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64</v>
      </c>
      <c r="U188" s="108">
        <v>31</v>
      </c>
      <c r="V188" s="1">
        <v>61</v>
      </c>
      <c r="W188" s="108">
        <v>25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56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26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36</v>
      </c>
      <c r="AJ188" s="1">
        <f>VLOOKUP(A188,'SegEnds_NonXtal_Prot#'!A:AL,34,FALSE)-VLOOKUP(A188,'SegEnds_NonXtal_Prot#'!A:AL,31,FALSE)</f>
        <v>40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 t="e">
        <f>VLOOKUP(A189,'SegEnds_NonXtal_Prot#'!A:AL,10,FALSE)-VLOOKUP(A189,'SegEnds_NonXtal_Prot#'!A:AL,7,FALSE)</f>
        <v>#VALUE!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50</v>
      </c>
      <c r="AI189" s="1">
        <f>VLOOKUP(A189,'SegEnds_NonXtal_Prot#'!A:AL,31,FALSE)-VLOOKUP(A189,'SegEnds_NonXtal_Prot#'!A:AL,28,FALSE)</f>
        <v>49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217</v>
      </c>
      <c r="B190" s="1" t="str">
        <f>VLOOKUP(A190,Xtal_Templ!A:B,2,FALSE)</f>
        <v>par1_human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63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61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30</v>
      </c>
      <c r="AH190" s="1">
        <f>VLOOKUP(A190,'SegEnds_NonXtal_Prot#'!A:AL,28,FALSE)-VLOOKUP(A190,'SegEnds_NonXtal_Prot#'!A:AL,22,FALSE)</f>
        <v>56</v>
      </c>
      <c r="AI190" s="1">
        <f>VLOOKUP(A190,'SegEnds_NonXtal_Prot#'!A:AL,31,FALSE)-VLOOKUP(A190,'SegEnds_NonXtal_Prot#'!A:AL,28,FALSE)</f>
        <v>44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11</v>
      </c>
      <c r="AL190" s="1" t="str">
        <f>IF(ISERROR(MATCH(A190,'SegEnds_Xtal_Prot#'!B:B, 0)), "NoXtal", "Xtal")</f>
        <v>NoXtal</v>
      </c>
    </row>
    <row r="191" spans="1:38" x14ac:dyDescent="0.2">
      <c r="A191" s="1" t="s">
        <v>224</v>
      </c>
      <c r="B191" s="1" t="str">
        <f>VLOOKUP(A191,Xtal_Templ!A:B,2,FALSE)</f>
        <v>pd2r2_human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64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30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22</v>
      </c>
      <c r="AH191" s="1">
        <f>VLOOKUP(A191,'SegEnds_NonXtal_Prot#'!A:AL,28,FALSE)-VLOOKUP(A191,'SegEnds_NonXtal_Prot#'!A:AL,22,FALSE)</f>
        <v>48</v>
      </c>
      <c r="AI191" s="1">
        <f>VLOOKUP(A191,'SegEnds_NonXtal_Prot#'!A:AL,31,FALSE)-VLOOKUP(A191,'SegEnds_NonXtal_Prot#'!A:AL,28,FALSE)</f>
        <v>48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28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68</v>
      </c>
      <c r="U192" s="1">
        <f t="array" ref="U192">INDEX(ICL3_classA!$H$2:$H$37,MATCH(MIN(ABS(AI192-ICL3_classA!$F$2:$F$37)),ABS(AI192-ICL3_classA!$F$2:$F$37),0))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31</v>
      </c>
      <c r="AH192" s="1">
        <f>VLOOKUP(A192,'SegEnds_NonXtal_Prot#'!A:AL,28,FALSE)-VLOOKUP(A192,'SegEnds_NonXtal_Prot#'!A:AL,22,FALSE)</f>
        <v>56</v>
      </c>
      <c r="AI192" s="1">
        <f>VLOOKUP(A192,'SegEnds_NonXtal_Prot#'!A:AL,31,FALSE)-VLOOKUP(A192,'SegEnds_NonXtal_Prot#'!A:AL,28,FALSE)</f>
        <v>43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26</v>
      </c>
      <c r="AH193" s="1">
        <f>VLOOKUP(A193,'SegEnds_NonXtal_Prot#'!A:AL,28,FALSE)-VLOOKUP(A193,'SegEnds_NonXtal_Prot#'!A:AL,22,FALSE)</f>
        <v>57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INDEX(ICL3_classA!$G$2:$G$37,MATCH(MIN(ABS(AI194-ICL3_classA!$F$2:$F$37)),ABS(AI194-ICL3_classA!$F$2:$F$37),0))</f>
        <v>67</v>
      </c>
      <c r="U194" s="1">
        <f t="array" ref="U194">INDEX(ICL3_classA!$H$2:$H$37,MATCH(MIN(ABS(AI194-ICL3_classA!$F$2:$F$37)),ABS(AI194-ICL3_classA!$F$2:$F$37),0))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23</v>
      </c>
      <c r="AH194" s="1">
        <f>VLOOKUP(A194,'SegEnds_NonXtal_Prot#'!A:AL,28,FALSE)-VLOOKUP(A194,'SegEnds_NonXtal_Prot#'!A:AL,22,FALSE)</f>
        <v>48</v>
      </c>
      <c r="AI194" s="1">
        <f>VLOOKUP(A194,'SegEnds_NonXtal_Prot#'!A:AL,31,FALSE)-VLOOKUP(A194,'SegEnds_NonXtal_Prot#'!A:AL,28,FALSE)</f>
        <v>47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56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331</v>
      </c>
      <c r="B196" s="1" t="str">
        <f>VLOOKUP(A196,Xtal_Templ!A:B,2,FALSE)</f>
        <v>ptafr_human</v>
      </c>
      <c r="C196" s="5">
        <f>VLOOKUP($B196&amp;"__wt",'SegEnds_Xtal_BW#'!$A:$Z,3,FALSE)</f>
        <v>27</v>
      </c>
      <c r="D196" s="108">
        <v>60</v>
      </c>
      <c r="E196" s="108">
        <v>48</v>
      </c>
      <c r="F196" s="108">
        <v>51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63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INDEX(ICL3_classA!$G$2:$G$37,MATCH(MIN(ABS(AI196-ICL3_classA!$F$2:$F$37)),ABS(AI196-ICL3_classA!$F$2:$F$37),0))</f>
        <v>67</v>
      </c>
      <c r="U196" s="1">
        <f t="array" ref="U196">INDEX(ICL3_classA!$H$2:$H$37,MATCH(MIN(ABS(AI196-ICL3_classA!$F$2:$F$37)),ABS(AI196-ICL3_classA!$F$2:$F$37),0))</f>
        <v>26</v>
      </c>
      <c r="V196" s="1">
        <v>61</v>
      </c>
      <c r="W196" s="1">
        <v>28</v>
      </c>
      <c r="X196" s="1">
        <f>VLOOKUP($B196&amp;"__wt",'SegEnds_Xtal_BW#'!$A:$Z,24,FALSE)</f>
        <v>59</v>
      </c>
      <c r="Y196" s="1">
        <f>VLOOKUP($B196&amp;"__wt",'SegEnds_Xtal_BW#'!$A:$Z,25,FALSE)</f>
        <v>50</v>
      </c>
      <c r="Z196" s="1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25</v>
      </c>
      <c r="AH196" s="1">
        <f>VLOOKUP(A196,'SegEnds_NonXtal_Prot#'!A:AL,28,FALSE)-VLOOKUP(A196,'SegEnds_NonXtal_Prot#'!A:AL,22,FALSE)</f>
        <v>51</v>
      </c>
      <c r="AI196" s="1">
        <f>VLOOKUP(A196,'SegEnds_NonXtal_Prot#'!A:AL,31,FALSE)-VLOOKUP(A196,'SegEnds_NonXtal_Prot#'!A:AL,28,FALSE)</f>
        <v>46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7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55</v>
      </c>
      <c r="AI197" s="1">
        <f>VLOOKUP(A197,'SegEnds_NonXtal_Prot#'!A:AL,31,FALSE)-VLOOKUP(A197,'SegEnds_NonXtal_Prot#'!A:AL,28,FALSE)</f>
        <v>46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Xtal</v>
      </c>
    </row>
    <row r="198" spans="1:38" x14ac:dyDescent="0.2">
      <c r="A198" s="1" t="s">
        <v>359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76</v>
      </c>
      <c r="U198" s="1">
        <f t="array" ref="U198">INDEX(ICL3_classA!$H$2:$H$37,MATCH(MIN(ABS(AI198-ICL3_classA!$F$2:$F$37)),ABS(AI198-ICL3_classA!$F$2:$F$37),0))</f>
        <v>24</v>
      </c>
      <c r="V198" s="1">
        <v>61</v>
      </c>
      <c r="W198" s="1">
        <v>28</v>
      </c>
      <c r="X198" s="125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38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58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29</v>
      </c>
      <c r="AH198" s="1">
        <f>VLOOKUP(A198,'SegEnds_NonXtal_Prot#'!A:AL,28,FALSE)-VLOOKUP(A198,'SegEnds_NonXtal_Prot#'!A:AL,22,FALSE)</f>
        <v>55</v>
      </c>
      <c r="AI198" s="1">
        <f>VLOOKUP(A198,'SegEnds_NonXtal_Prot#'!A:AL,31,FALSE)-VLOOKUP(A198,'SegEnds_NonXtal_Prot#'!A:AL,28,FALSE)</f>
        <v>68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360</v>
      </c>
      <c r="B199" s="1" t="str">
        <f>VLOOKUP(A199,Xtal_Templ!A:B,2,FALSE)</f>
        <v>pd2r2_human</v>
      </c>
      <c r="C199" s="5">
        <f>VLOOKUP($B199&amp;"__wt",'SegEnds_Xtal_BW#'!$A:$Z,3,FALSE)</f>
        <v>32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26</v>
      </c>
      <c r="T199" s="1">
        <f t="array" ref="T199">INDEX(ICL3_classA!$G$2:$G$37,MATCH(MIN(ABS(AI199-ICL3_classA!$F$2:$F$37)),ABS(AI199-ICL3_classA!$F$2:$F$37),0))</f>
        <v>68</v>
      </c>
      <c r="U199" s="1">
        <f t="array" ref="U199">INDEX(ICL3_classA!$H$2:$H$37,MATCH(MIN(ABS(AI199-ICL3_classA!$F$2:$F$37)),ABS(AI199-ICL3_classA!$F$2:$F$37),0))</f>
        <v>30</v>
      </c>
      <c r="V199" s="1">
        <v>61</v>
      </c>
      <c r="W199" s="108">
        <v>27</v>
      </c>
      <c r="X199" s="125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64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36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43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367</v>
      </c>
      <c r="B200" s="1" t="str">
        <f>VLOOKUP(A200,Xtal_Templ!A:B,2,FALSE)</f>
        <v>npy1r_human</v>
      </c>
      <c r="C200" s="5">
        <f>VLOOKUP($B200&amp;"__wt",'SegEnds_Xtal_BW#'!$A:$Z,3,FALSE)</f>
        <v>28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 t="str">
        <f>VLOOKUP($B200&amp;"__wt",'SegEnds_Xtal_BW#'!$A:$Z,13,FALSE)</f>
        <v>-</v>
      </c>
      <c r="N200" s="108" t="s">
        <v>23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31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22</v>
      </c>
      <c r="AE200" s="1">
        <f>VLOOKUP(A200,'SegEnds_NonXtal_Prot#'!A:AL,16,FALSE)-VLOOKUP(A200,'SegEnds_NonXtal_Prot#'!A:AL,10,FALSE)</f>
        <v>54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57</v>
      </c>
      <c r="AI200" s="1">
        <f>VLOOKUP(A200,'SegEnds_NonXtal_Prot#'!A:AL,31,FALSE)-VLOOKUP(A200,'SegEnds_NonXtal_Prot#'!A:AL,28,FALSE)</f>
        <v>55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11</v>
      </c>
      <c r="AL200" s="1" t="str">
        <f>IF(ISERROR(MATCH(A200,'SegEnds_Xtal_Prot#'!B:B, 0)), "NoXtal", "Xtal")</f>
        <v>NoXtal</v>
      </c>
    </row>
    <row r="201" spans="1:38" x14ac:dyDescent="0.2">
      <c r="A201" s="1" t="s">
        <v>368</v>
      </c>
      <c r="B201" s="1" t="str">
        <f>VLOOKUP(A201,Xtal_Templ!A:B,2,FALSE)</f>
        <v>npy1r_human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68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 t="str">
        <f>VLOOKUP($B201&amp;"__wt",'SegEnds_Xtal_BW#'!$A:$Z,13,FALSE)</f>
        <v>-</v>
      </c>
      <c r="N201" s="108" t="s">
        <v>23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INDEX(ICL3_classA!$G$2:$G$37,MATCH(MIN(ABS(AI201-ICL3_classA!$F$2:$F$37)),ABS(AI201-ICL3_classA!$F$2:$F$37),0))</f>
        <v>73</v>
      </c>
      <c r="U201" s="1">
        <f t="array" ref="U201">INDEX(ICL3_classA!$H$2:$H$37,MATCH(MIN(ABS(AI201-ICL3_classA!$F$2:$F$37)),ABS(AI201-ICL3_classA!$F$2:$F$37),0))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22</v>
      </c>
      <c r="AE201" s="1">
        <f>VLOOKUP(A201,'SegEnds_NonXtal_Prot#'!A:AL,16,FALSE)-VLOOKUP(A201,'SegEnds_NonXtal_Prot#'!A:AL,10,FALSE)</f>
        <v>54</v>
      </c>
      <c r="AF201" s="1" t="e">
        <f>VLOOKUP(A201,'SegEnds_NonXtal_Prot#'!A:AL,22,FALSE)-VLOOKUP(A201,'SegEnds_NonXtal_Prot#'!A:AL,19,FALSE)</f>
        <v>#VALUE!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57</v>
      </c>
      <c r="AI201" s="1">
        <f>VLOOKUP(A201,'SegEnds_NonXtal_Prot#'!A:AL,31,FALSE)-VLOOKUP(A201,'SegEnds_NonXtal_Prot#'!A:AL,28,FALSE)</f>
        <v>55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11</v>
      </c>
      <c r="AL201" s="1" t="str">
        <f>IF(ISERROR(MATCH(A201,'SegEnds_Xtal_Prot#'!B:B, 0)), "NoXtal", "Xtal")</f>
        <v>NoXtal</v>
      </c>
    </row>
    <row r="202" spans="1:38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20</v>
      </c>
      <c r="AH203" s="1">
        <f>VLOOKUP(A203,'SegEnds_NonXtal_Prot#'!A:AL,28,FALSE)-VLOOKUP(A203,'SegEnds_NonXtal_Prot#'!A:AL,22,FALSE)</f>
        <v>58</v>
      </c>
      <c r="AI203" s="1">
        <f>VLOOKUP(A203,'SegEnds_NonXtal_Prot#'!A:AL,31,FALSE)-VLOOKUP(A203,'SegEnds_NonXtal_Prot#'!A:AL,28,FALSE)</f>
        <v>81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 t="e">
        <f>VLOOKUP(A204,'SegEnds_NonXtal_Prot#'!A:AL,13,FALSE)-VLOOKUP(A204,'SegEnds_NonXtal_Prot#'!A:AL,10,FALSE)</f>
        <v>#VALUE!</v>
      </c>
      <c r="AE204" s="1">
        <f>VLOOKUP(A204,'SegEnds_NonXtal_Prot#'!A:AL,16,FALSE)-VLOOKUP(A204,'SegEnds_NonXtal_Prot#'!A:AL,10,FALSE)</f>
        <v>48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21</v>
      </c>
      <c r="AH204" s="1">
        <f>VLOOKUP(A204,'SegEnds_NonXtal_Prot#'!A:AL,28,FALSE)-VLOOKUP(A204,'SegEnds_NonXtal_Prot#'!A:AL,22,FALSE)</f>
        <v>42</v>
      </c>
      <c r="AI204" s="1">
        <f>VLOOKUP(A204,'SegEnds_NonXtal_Prot#'!A:AL,31,FALSE)-VLOOKUP(A204,'SegEnds_NonXtal_Prot#'!A:AL,28,FALSE)</f>
        <v>49</v>
      </c>
      <c r="AJ204" s="1">
        <f>VLOOKUP(A204,'SegEnds_NonXtal_Prot#'!A:AL,34,FALSE)-VLOOKUP(A204,'SegEnds_NonXtal_Prot#'!A:AL,31,FALSE)</f>
        <v>41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7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INDEX(ICL3_classA!$G$2:$G$37,MATCH(MIN(ABS(AI205-ICL3_classA!$F$2:$F$37)),ABS(AI205-ICL3_classA!$F$2:$F$37),0))</f>
        <v>76</v>
      </c>
      <c r="U205" s="4">
        <f t="array" ref="U205">INDEX(ICL3_classA!$H$2:$H$37,MATCH(MIN(ABS(AI205-ICL3_classA!$F$2:$F$37)),ABS(AI205-ICL3_classA!$F$2:$F$37),0))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4">
        <f>VLOOKUP(A205,'SegEnds_NonXtal_Prot#'!A:AL,10,FALSE)-VLOOKUP(A205,'SegEnds_NonXtal_Prot#'!A:AL,7,FALSE)</f>
        <v>15</v>
      </c>
      <c r="AD205" s="4">
        <f>VLOOKUP(A205,'SegEnds_NonXtal_Prot#'!A:AL,13,FALSE)-VLOOKUP(A205,'SegEnds_NonXtal_Prot#'!A:AL,10,FALSE)</f>
        <v>19</v>
      </c>
      <c r="AE205" s="4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4">
        <f>VLOOKUP(A205,'SegEnds_NonXtal_Prot#'!A:AL,28,FALSE)-VLOOKUP(A205,'SegEnds_NonXtal_Prot#'!A:AL,25,FALSE)</f>
        <v>24</v>
      </c>
      <c r="AH205" s="1">
        <f>VLOOKUP(A205,'SegEnds_NonXtal_Prot#'!A:AL,28,FALSE)-VLOOKUP(A205,'SegEnds_NonXtal_Prot#'!A:AL,22,FALSE)</f>
        <v>57</v>
      </c>
      <c r="AI205" s="4">
        <f>VLOOKUP(A205,'SegEnds_NonXtal_Prot#'!A:AL,31,FALSE)-VLOOKUP(A205,'SegEnds_NonXtal_Prot#'!A:AL,28,FALSE)</f>
        <v>69</v>
      </c>
      <c r="AJ205" s="4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19</v>
      </c>
      <c r="AE206" s="1">
        <f>VLOOKUP(A206,'SegEnds_NonXtal_Prot#'!A:AL,16,FALSE)-VLOOKUP(A206,'SegEnds_NonXtal_Prot#'!A:AL,10,FALSE)</f>
        <v>53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24</v>
      </c>
      <c r="AH206" s="1">
        <f>VLOOKUP(A206,'SegEnds_NonXtal_Prot#'!A:AL,28,FALSE)-VLOOKUP(A206,'SegEnds_NonXtal_Prot#'!A:AL,22,FALSE)</f>
        <v>57</v>
      </c>
      <c r="AI206" s="1">
        <f>VLOOKUP(A206,'SegEnds_NonXtal_Prot#'!A:AL,31,FALSE)-VLOOKUP(A206,'SegEnds_NonXtal_Prot#'!A:AL,28,FALSE)</f>
        <v>55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73</v>
      </c>
      <c r="U207" s="1">
        <f t="array" ref="U207">INDEX(ICL3_classA!$H$2:$H$37,MATCH(MIN(ABS(AI207-ICL3_classA!$F$2:$F$37)),ABS(AI207-ICL3_classA!$F$2:$F$37),0))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57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63</v>
      </c>
      <c r="AI208" s="1">
        <f>VLOOKUP(A208,'SegEnds_NonXtal_Prot#'!A:AL,31,FALSE)-VLOOKUP(A208,'SegEnds_NonXtal_Prot#'!A:AL,28,FALSE)</f>
        <v>58</v>
      </c>
      <c r="AJ208" s="1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56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201</v>
      </c>
      <c r="B210" s="1" t="str">
        <f>VLOOKUP(A210,Xtal_Templ!A:B,2,FALSE)</f>
        <v>pd2r2_human</v>
      </c>
      <c r="C210" s="5">
        <f>VLOOKUP($B210&amp;"__wt",'SegEnds_Xtal_BW#'!$A:$Z,3,FALSE)</f>
        <v>32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26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64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27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37</v>
      </c>
      <c r="AH210" s="1">
        <f>VLOOKUP(A210,'SegEnds_NonXtal_Prot#'!A:AL,28,FALSE)-VLOOKUP(A210,'SegEnds_NonXtal_Prot#'!A:AL,22,FALSE)</f>
        <v>63</v>
      </c>
      <c r="AI210" s="1">
        <f>VLOOKUP(A210,'SegEnds_NonXtal_Prot#'!A:AL,31,FALSE)-VLOOKUP(A210,'SegEnds_NonXtal_Prot#'!A:AL,28,FALSE)</f>
        <v>43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26</v>
      </c>
      <c r="AH211" s="1">
        <f>VLOOKUP(A211,'SegEnds_NonXtal_Prot#'!A:AL,28,FALSE)-VLOOKUP(A211,'SegEnds_NonXtal_Prot#'!A:AL,22,FALSE)</f>
        <v>56</v>
      </c>
      <c r="AI211" s="1">
        <f>VLOOKUP(A211,'SegEnds_NonXtal_Prot#'!A:AL,31,FALSE)-VLOOKUP(A211,'SegEnds_NonXtal_Prot#'!A:AL,28,FALSE)</f>
        <v>54</v>
      </c>
      <c r="AJ211" s="1">
        <f>VLOOKUP(A211,'SegEnds_NonXtal_Prot#'!A:AL,34,FALSE)-VLOOKUP(A211,'SegEnds_NonXtal_Prot#'!A:AL,31,FALSE)</f>
        <v>42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250</v>
      </c>
      <c r="B212" s="1" t="str">
        <f>VLOOKUP(A212,Xtal_Templ!A:B,2,FALSE)</f>
        <v>oprd_mouse</v>
      </c>
      <c r="C212" s="5">
        <f>VLOOKUP($B212&amp;"__wt",'SegEnds_Xtal_BW#'!$A:$Z,3,FALSE)</f>
        <v>24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68</v>
      </c>
      <c r="U212" s="1">
        <f t="array" ref="U212">INDEX(ICL3_classA!$H$2:$H$37,MATCH(MIN(ABS(AI212-ICL3_classA!$F$2:$F$37)),ABS(AI212-ICL3_classA!$F$2:$F$37),0))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50</v>
      </c>
      <c r="AI212" s="1">
        <f>VLOOKUP(A212,'SegEnds_NonXtal_Prot#'!A:AL,31,FALSE)-VLOOKUP(A212,'SegEnds_NonXtal_Prot#'!A:AL,28,FALSE)</f>
        <v>48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30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19</v>
      </c>
      <c r="AE213" s="1">
        <f>VLOOKUP(A213,'SegEnds_NonXtal_Prot#'!A:AL,16,FALSE)-VLOOKUP(A213,'SegEnds_NonXtal_Prot#'!A:AL,10,FALSE)</f>
        <v>51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62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268</v>
      </c>
      <c r="B214" s="1" t="str">
        <f>VLOOKUP(A214,Xtal_Templ!A:B,2,FALSE)</f>
        <v>oprd_human</v>
      </c>
      <c r="C214" s="5">
        <f>VLOOKUP($B214&amp;"__wt",'SegEnds_Xtal_BW#'!$A:$Z,3,FALSE)</f>
        <v>22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68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60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56</v>
      </c>
      <c r="AF214" s="1">
        <f>VLOOKUP(A214,'SegEnds_NonXtal_Prot#'!A:AL,22,FALSE)-VLOOKUP(A214,'SegEnds_NonXtal_Prot#'!A:AL,19,FALSE)</f>
        <v>20</v>
      </c>
      <c r="AG214" s="1" t="e">
        <f>VLOOKUP(A214,'SegEnds_NonXtal_Prot#'!A:AL,28,FALSE)-VLOOKUP(A214,'SegEnds_NonXtal_Prot#'!A:AL,25,FALSE)</f>
        <v>#VALUE!</v>
      </c>
      <c r="AH214" s="1">
        <f>VLOOKUP(A214,'SegEnds_NonXtal_Prot#'!A:AL,28,FALSE)-VLOOKUP(A214,'SegEnds_NonXtal_Prot#'!A:AL,22,FALSE)</f>
        <v>53</v>
      </c>
      <c r="AI214" s="1">
        <f>VLOOKUP(A214,'SegEnds_NonXtal_Prot#'!A:AL,31,FALSE)-VLOOKUP(A214,'SegEnds_NonXtal_Prot#'!A:AL,28,FALSE)</f>
        <v>51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25</v>
      </c>
      <c r="AH215" s="1">
        <f>VLOOKUP(A215,'SegEnds_NonXtal_Prot#'!A:AL,28,FALSE)-VLOOKUP(A215,'SegEnds_NonXtal_Prot#'!A:AL,22,FALSE)</f>
        <v>49</v>
      </c>
      <c r="AI215" s="1">
        <f>VLOOKUP(A215,'SegEnds_NonXtal_Prot#'!A:AL,31,FALSE)-VLOOKUP(A215,'SegEnds_NonXtal_Prot#'!A:AL,28,FALSE)</f>
        <v>62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INDEX(ICL3_classA!$G$2:$G$37,MATCH(MIN(ABS(AI216-ICL3_classA!$F$2:$F$37)),ABS(AI216-ICL3_classA!$F$2:$F$37),0))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18</v>
      </c>
      <c r="AG216" s="1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58</v>
      </c>
      <c r="AI216" s="12">
        <f>VLOOKUP(A216,'SegEnds_NonXtal_Prot#'!A:AL,31,FALSE)-VLOOKUP(A216,'SegEnds_NonXtal_Prot#'!A:AL,28,FALSE)</f>
        <v>86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2" t="str">
        <f>IF(ISERROR(MATCH(A216,'SegEnds_Xtal_Prot#'!B:B, 0)), "NoXtal", "Xtal")</f>
        <v>Xtal</v>
      </c>
    </row>
    <row r="217" spans="1:38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INDEX(ICL3_classA!$G$2:$G$37,MATCH(MIN(ABS(AI217-ICL3_classA!$F$2:$F$37)),ABS(AI217-ICL3_classA!$F$2:$F$37),0))</f>
        <v>76</v>
      </c>
      <c r="U217" s="1">
        <v>20</v>
      </c>
      <c r="V217" s="1">
        <v>61</v>
      </c>
      <c r="W217" s="108">
        <v>27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18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58</v>
      </c>
      <c r="AI217" s="12">
        <f>VLOOKUP(A217,'SegEnds_NonXtal_Prot#'!A:AL,31,FALSE)-VLOOKUP(A217,'SegEnds_NonXtal_Prot#'!A:AL,28,FALSE)</f>
        <v>84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2" t="str">
        <f>IF(ISERROR(MATCH(A217,'SegEnds_Xtal_Prot#'!B:B, 0)), "NoXtal", "Xtal")</f>
        <v>Xtal</v>
      </c>
    </row>
    <row r="218" spans="1:38" x14ac:dyDescent="0.2">
      <c r="A218" s="1" t="s">
        <v>342</v>
      </c>
      <c r="B218" s="1" t="str">
        <f>VLOOKUP(A218,Xtal_Templ!A:B,2,FALSE)</f>
        <v>pd2r2_human</v>
      </c>
      <c r="C218" s="5">
        <f>VLOOKUP($B218&amp;"__wt",'SegEnds_Xtal_BW#'!$A:$Z,3,FALSE)</f>
        <v>32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26</v>
      </c>
      <c r="T218" s="1">
        <f t="array" ref="T218">INDEX(ICL3_classA!$G$2:$G$37,MATCH(MIN(ABS(AI218-ICL3_classA!$F$2:$F$37)),ABS(AI218-ICL3_classA!$F$2:$F$37),0))</f>
        <v>67</v>
      </c>
      <c r="U218" s="1">
        <f t="array" ref="U218">INDEX(ICL3_classA!$H$2:$H$37,MATCH(MIN(ABS(AI218-ICL3_classA!$F$2:$F$37)),ABS(AI218-ICL3_classA!$F$2:$F$37),0))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64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47</v>
      </c>
      <c r="AI218" s="1">
        <f>VLOOKUP(A218,'SegEnds_NonXtal_Prot#'!A:AL,31,FALSE)-VLOOKUP(A218,'SegEnds_NonXtal_Prot#'!A:AL,28,FALSE)</f>
        <v>46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29</v>
      </c>
      <c r="V219" s="108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29</v>
      </c>
      <c r="AC219" s="1">
        <f>VLOOKUP(A219,'SegEnds_NonXtal_Prot#'!A:AL,10,FALSE)-VLOOKUP(A219,'SegEnds_NonXtal_Prot#'!A:AL,7,FALSE)</f>
        <v>16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32</v>
      </c>
      <c r="AH219" s="1">
        <f>VLOOKUP(A219,'SegEnds_NonXtal_Prot#'!A:AL,28,FALSE)-VLOOKUP(A219,'SegEnds_NonXtal_Prot#'!A:AL,22,FALSE)</f>
        <v>59</v>
      </c>
      <c r="AI219" s="1">
        <f>VLOOKUP(A219,'SegEnds_NonXtal_Prot#'!A:AL,31,FALSE)-VLOOKUP(A219,'SegEnds_NonXtal_Prot#'!A:AL,28,FALSE)</f>
        <v>50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Xtal</v>
      </c>
    </row>
    <row r="220" spans="1:38" x14ac:dyDescent="0.2">
      <c r="A220" s="1" t="s">
        <v>202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">
        <v>24</v>
      </c>
      <c r="X220" s="108"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37</v>
      </c>
      <c r="AH220" s="1">
        <f>VLOOKUP(A220,'SegEnds_NonXtal_Prot#'!A:AL,28,FALSE)-VLOOKUP(A220,'SegEnds_NonXtal_Prot#'!A:AL,22,FALSE)</f>
        <v>63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43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203</v>
      </c>
      <c r="B221" s="1" t="str">
        <f>VLOOKUP(A221,Xtal_Templ!A:B,2,FALSE)</f>
        <v>pd2r2_human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67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26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30</v>
      </c>
      <c r="V221" s="1">
        <v>61</v>
      </c>
      <c r="W221" s="1">
        <v>24</v>
      </c>
      <c r="X221" s="108">
        <v>56</v>
      </c>
      <c r="Y221" s="1">
        <f>VLOOKUP($B221&amp;"__wt",'SegEnds_Xtal_BW#'!$A:$Z,25,FALSE)</f>
        <v>47</v>
      </c>
      <c r="Z221" s="1">
        <f>VLOOKUP($B221&amp;"__wt",'SegEnds_Xtal_BW#'!$A:$Z,26,FALSE)</f>
        <v>64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27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37</v>
      </c>
      <c r="AH221" s="1">
        <f>VLOOKUP(A221,'SegEnds_NonXtal_Prot#'!A:AL,28,FALSE)-VLOOKUP(A221,'SegEnds_NonXtal_Prot#'!A:AL,22,FALSE)</f>
        <v>63</v>
      </c>
      <c r="AI221" s="1">
        <f>VLOOKUP(A221,'SegEnds_NonXtal_Prot#'!A:AL,31,FALSE)-VLOOKUP(A221,'SegEnds_NonXtal_Prot#'!A:AL,28,FALSE)</f>
        <v>43</v>
      </c>
      <c r="AJ221" s="1">
        <f>VLOOKUP(A221,'SegEnds_NonXtal_Prot#'!A:AL,34,FALSE)-VLOOKUP(A221,'SegEnds_NonXtal_Prot#'!A:AL,31,FALSE)</f>
        <v>43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239</v>
      </c>
      <c r="B222" s="1" t="str">
        <f>VLOOKUP(A222,Xtal_Templ!A:B,2,FALSE)</f>
        <v>apj_human</v>
      </c>
      <c r="C222" s="5">
        <f>VLOOKUP($B222&amp;"__wt",'SegEnds_Xtal_BW#'!$A:$Z,3,FALSE)</f>
        <v>33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52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30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24</v>
      </c>
      <c r="AH222" s="1">
        <f>VLOOKUP(A222,'SegEnds_NonXtal_Prot#'!A:AL,28,FALSE)-VLOOKUP(A222,'SegEnds_NonXtal_Prot#'!A:AL,22,FALSE)</f>
        <v>49</v>
      </c>
      <c r="AI222" s="1">
        <f>VLOOKUP(A222,'SegEnds_NonXtal_Prot#'!A:AL,31,FALSE)-VLOOKUP(A222,'SegEnds_NonXtal_Prot#'!A:AL,28,FALSE)</f>
        <v>49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253</v>
      </c>
      <c r="B223" s="1" t="str">
        <f>VLOOKUP(A223,Xtal_Templ!A:B,2,FALSE)</f>
        <v>ptafr_human</v>
      </c>
      <c r="C223" s="5">
        <f>VLOOKUP($B223&amp;"__wt",'SegEnds_Xtal_BW#'!$A:$Z,3,FALSE)</f>
        <v>27</v>
      </c>
      <c r="D223" s="1">
        <f>VLOOKUP($B223&amp;"__wt",'SegEnds_Xtal_BW#'!$A:$Z,4,FALSE)</f>
        <v>61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33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24</v>
      </c>
      <c r="X223" s="1">
        <f>VLOOKUP($B223&amp;"__wt",'SegEnds_Xtal_BW#'!$A:$Z,24,FALSE)</f>
        <v>59</v>
      </c>
      <c r="Y223" s="1">
        <f>VLOOKUP($B223&amp;"__wt",'SegEnds_Xtal_BW#'!$A:$Z,25,FALSE)</f>
        <v>50</v>
      </c>
      <c r="Z223" s="1">
        <f>VLOOKUP($B223&amp;"__wt",'SegEnds_Xtal_BW#'!$A:$Z,26,FALSE)</f>
        <v>63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51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>
        <f>VLOOKUP(A225,'SegEnds_NonXtal_Prot#'!A:AL,10,FALSE)-VLOOKUP(A225,'SegEnds_NonXtal_Prot#'!A:AL,7,FALSE)</f>
        <v>18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>
        <f>VLOOKUP(A226,'SegEnds_NonXtal_Prot#'!A:AL,10,FALSE)-VLOOKUP(A226,'SegEnds_NonXtal_Prot#'!A:AL,7,FALSE)</f>
        <v>18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74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22</v>
      </c>
      <c r="AE227" s="1">
        <f>VLOOKUP(A227,'SegEnds_NonXtal_Prot#'!A:AL,16,FALSE)-VLOOKUP(A227,'SegEnds_NonXtal_Prot#'!A:AL,10,FALSE)</f>
        <v>54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24</v>
      </c>
      <c r="AH227" s="1">
        <f>VLOOKUP(A227,'SegEnds_NonXtal_Prot#'!A:AL,28,FALSE)-VLOOKUP(A227,'SegEnds_NonXtal_Prot#'!A:AL,22,FALSE)</f>
        <v>58</v>
      </c>
      <c r="AI227" s="1">
        <f>VLOOKUP(A227,'SegEnds_NonXtal_Prot#'!A:AL,31,FALSE)-VLOOKUP(A227,'SegEnds_NonXtal_Prot#'!A:AL,28,FALSE)</f>
        <v>94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52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INDEX(ICL3_classA!$G$2:$G$37,MATCH(MIN(ABS(AI229-ICL3_classA!$F$2:$F$37)),ABS(AI229-ICL3_classA!$F$2:$F$37),0))</f>
        <v>72</v>
      </c>
      <c r="U229" s="1">
        <f t="array" ref="U229">INDEX(ICL3_classA!$H$2:$H$37,MATCH(MIN(ABS(AI229-ICL3_classA!$F$2:$F$37)),ABS(AI229-ICL3_classA!$F$2:$F$37),0))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27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50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52</v>
      </c>
      <c r="AI230" s="1">
        <f>VLOOKUP(A230,'SegEnds_NonXtal_Prot#'!A:AL,31,FALSE)-VLOOKUP(A230,'SegEnds_NonXtal_Prot#'!A:AL,28,FALSE)</f>
        <v>48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371</v>
      </c>
      <c r="B231" s="1" t="str">
        <f>VLOOKUP(A231,Xtal_Templ!A:B,2,FALSE)</f>
        <v>ptafr_human</v>
      </c>
      <c r="C231" s="5">
        <f>VLOOKUP($B231&amp;"__wt",'SegEnds_Xtal_BW#'!$A:$Z,3,FALSE)</f>
        <v>27</v>
      </c>
      <c r="D231" s="1">
        <f>VLOOKUP($B231&amp;"__wt",'SegEnds_Xtal_BW#'!$A:$Z,4,FALSE)</f>
        <v>61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08">
        <v>36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08">
        <v>64</v>
      </c>
      <c r="W231" s="1">
        <v>24</v>
      </c>
      <c r="X231" s="1">
        <f>VLOOKUP($B231&amp;"__wt",'SegEnds_Xtal_BW#'!$A:$Z,24,FALSE)</f>
        <v>59</v>
      </c>
      <c r="Y231" s="1">
        <f>VLOOKUP($B231&amp;"__wt",'SegEnds_Xtal_BW#'!$A:$Z,25,FALSE)</f>
        <v>50</v>
      </c>
      <c r="Z231" s="1">
        <f>VLOOKUP($B231&amp;"__wt",'SegEnds_Xtal_BW#'!$A:$Z,26,FALSE)</f>
        <v>63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49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1452</v>
      </c>
      <c r="B232" s="1" t="s">
        <v>1452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1">
        <f>VLOOKUP(A232,'SegEnds_NonXtal_Prot#'!A:AL,31,FALSE)-VLOOKUP(A232,'SegEnds_NonXtal_Prot#'!A:AL,28,FALSE)</f>
        <v>43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143</v>
      </c>
      <c r="B233" s="1" t="str">
        <f>VLOOKUP(A233,Xtal_Templ!A:B,2,FALSE)</f>
        <v>ccr2_human</v>
      </c>
      <c r="C233" s="5">
        <f>VLOOKUP($B233&amp;"__wt",'SegEnds_Xtal_BW#'!$A:$Z,3,FALSE)</f>
        <v>27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08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58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50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43</v>
      </c>
      <c r="AJ233" s="1">
        <f>VLOOKUP(A233,'SegEnds_NonXtal_Prot#'!A:AL,34,FALSE)-VLOOKUP(A233,'SegEnds_NonXtal_Prot#'!A:AL,31,FALSE)</f>
        <v>44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158</v>
      </c>
      <c r="B234" s="1" t="str">
        <f>VLOOKUP(A234,Xtal_Templ!A:B,2,FALSE)</f>
        <v>agtr1_human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24</v>
      </c>
      <c r="V234" s="1">
        <v>64</v>
      </c>
      <c r="W234" s="1">
        <v>24</v>
      </c>
      <c r="X234" s="125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54</v>
      </c>
      <c r="AI234" s="1">
        <f>VLOOKUP(A234,'SegEnds_NonXtal_Prot#'!A:AL,31,FALSE)-VLOOKUP(A234,'SegEnds_NonXtal_Prot#'!A:AL,28,FALSE)</f>
        <v>48</v>
      </c>
      <c r="AJ234" s="1">
        <f>VLOOKUP(A234,'SegEnds_NonXtal_Prot#'!A:AL,34,FALSE)-VLOOKUP(A234,'SegEnds_NonXtal_Prot#'!A:AL,31,FALSE)</f>
        <v>44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159</v>
      </c>
      <c r="B235" s="1" t="str">
        <f>VLOOKUP(A235,Xtal_Templ!A:B,2,FALSE)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8">
        <v>38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56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19</v>
      </c>
      <c r="AG235" s="1">
        <f>VLOOKUP(A235,'SegEnds_NonXtal_Prot#'!A:AL,28,FALSE)-VLOOKUP(A235,'SegEnds_NonXtal_Prot#'!A:AL,25,FALSE)</f>
        <v>28</v>
      </c>
      <c r="AH235" s="1">
        <f>VLOOKUP(A235,'SegEnds_NonXtal_Prot#'!A:AL,28,FALSE)-VLOOKUP(A235,'SegEnds_NonXtal_Prot#'!A:AL,22,FALSE)</f>
        <v>55</v>
      </c>
      <c r="AI235" s="1">
        <f>VLOOKUP(A235,'SegEnds_NonXtal_Prot#'!A:AL,31,FALSE)-VLOOKUP(A235,'SegEnds_NonXtal_Prot#'!A:AL,28,FALSE)</f>
        <v>48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Xtal</v>
      </c>
    </row>
    <row r="236" spans="1:38" x14ac:dyDescent="0.2">
      <c r="A236" s="1" t="s">
        <v>161</v>
      </c>
      <c r="B236" s="1" t="str">
        <f>VLOOKUP(A236,Xtal_Templ!A:B,2,FALSE)</f>
        <v>agtr1_human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34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23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51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162</v>
      </c>
      <c r="B237" s="1" t="str">
        <f>VLOOKUP(A237,Xtal_Templ!A:B,2,FALSE)</f>
        <v>agtr2_human</v>
      </c>
      <c r="C237" s="5">
        <f>VLOOKUP($B237&amp;"__wt",'SegEnds_Xtal_BW#'!$A:$Z,3,FALSE)</f>
        <v>33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08"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24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25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49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168</v>
      </c>
      <c r="B238" s="1" t="str">
        <f>VLOOKUP(A238,Xtal_Templ!A:B,2,FALSE)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19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28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43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170</v>
      </c>
      <c r="B239" s="1" t="str">
        <f>VLOOKUP(A239,Xtal_Templ!A:B,2,FALSE)</f>
        <v>ccr2_human</v>
      </c>
      <c r="C239" s="5">
        <f>VLOOKUP($B239&amp;"__wt",'SegEnds_Xtal_BW#'!$A:$Z,3,FALSE)</f>
        <v>27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28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18</v>
      </c>
      <c r="AE239" s="1">
        <f>VLOOKUP(A239,'SegEnds_NonXtal_Prot#'!A:AL,16,FALSE)-VLOOKUP(A239,'SegEnds_NonXtal_Prot#'!A:AL,10,FALSE)</f>
        <v>50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49</v>
      </c>
      <c r="AI239" s="1">
        <f>VLOOKUP(A239,'SegEnds_NonXtal_Prot#'!A:AL,31,FALSE)-VLOOKUP(A239,'SegEnds_NonXtal_Prot#'!A:AL,28,FALSE)</f>
        <v>44</v>
      </c>
      <c r="AJ239" s="1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171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28</v>
      </c>
      <c r="AH240" s="1">
        <f>VLOOKUP(A240,'SegEnds_NonXtal_Prot#'!A:AL,28,FALSE)-VLOOKUP(A240,'SegEnds_NonXtal_Prot#'!A:AL,22,FALSE)</f>
        <v>53</v>
      </c>
      <c r="AI240" s="1">
        <f>VLOOKUP(A240,'SegEnds_NonXtal_Prot#'!A:AL,31,FALSE)-VLOOKUP(A240,'SegEnds_NonXtal_Prot#'!A:AL,28,FALSE)</f>
        <v>43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172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68</v>
      </c>
      <c r="U241" s="1">
        <f t="array" ref="U241">INDEX(ICL3_classA!$H$2:$H$37,MATCH(MIN(ABS(AI241-ICL3_classA!$F$2:$F$37)),ABS(AI241-ICL3_classA!$F$2:$F$37),0))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18</v>
      </c>
      <c r="AE241" s="1">
        <f>VLOOKUP(A241,'SegEnds_NonXtal_Prot#'!A:AL,16,FALSE)-VLOOKUP(A241,'SegEnds_NonXtal_Prot#'!A:AL,10,FALSE)</f>
        <v>50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27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173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INDEX(ICL3_classA!$G$2:$G$37,MATCH(MIN(ABS(AI242-ICL3_classA!$F$2:$F$37)),ABS(AI242-ICL3_classA!$F$2:$F$37),0))</f>
        <v>68</v>
      </c>
      <c r="U242" s="1">
        <f t="array" ref="U242">INDEX(ICL3_classA!$H$2:$H$37,MATCH(MIN(ABS(AI242-ICL3_classA!$F$2:$F$37)),ABS(AI242-ICL3_classA!$F$2:$F$37),0))</f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50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28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2" t="s">
        <v>174</v>
      </c>
      <c r="B243" s="12" t="str">
        <f>VLOOKUP(A243,Xtal_Templ!A:B,2,FALSE)</f>
        <v>ccr9_human</v>
      </c>
      <c r="C243" s="13">
        <f>VLOOKUP($B243&amp;"__wt",'SegEnds_Xtal_BW#'!$A:$Z,3,FALSE)</f>
        <v>27</v>
      </c>
      <c r="D243" s="12">
        <f>VLOOKUP($B243&amp;"__wt",'SegEnds_Xtal_BW#'!$A:$Z,4,FALSE)</f>
        <v>60</v>
      </c>
      <c r="E243" s="12">
        <f>VLOOKUP($B243&amp;"__wt",'SegEnds_Xtal_BW#'!$A:$Z,5,FALSE)</f>
        <v>48</v>
      </c>
      <c r="F243" s="12">
        <f>VLOOKUP($B243&amp;"__wt",'SegEnds_Xtal_BW#'!$A:$Z,6,FALSE)</f>
        <v>51</v>
      </c>
      <c r="G243" s="12">
        <v>37</v>
      </c>
      <c r="H243" s="12">
        <v>66</v>
      </c>
      <c r="I243" s="12">
        <f>VLOOKUP($B243&amp;"__wt",'SegEnds_Xtal_BW#'!$A:$Z,9,FALSE)</f>
        <v>49</v>
      </c>
      <c r="J243" s="12">
        <f>VLOOKUP($B243&amp;"__wt",'SegEnds_Xtal_BW#'!$A:$Z,10,FALSE)</f>
        <v>52</v>
      </c>
      <c r="K243" s="12">
        <v>21</v>
      </c>
      <c r="L243" s="12">
        <f>VLOOKUP($B243&amp;"__wt",'SegEnds_Xtal_BW#'!$A:$Z,12,FALSE)</f>
        <v>56</v>
      </c>
      <c r="M243" s="12">
        <f>VLOOKUP($B243&amp;"__wt",'SegEnds_Xtal_BW#'!$A:$Z,13,FALSE)</f>
        <v>50</v>
      </c>
      <c r="N243" s="12">
        <v>58</v>
      </c>
      <c r="O243" s="87">
        <v>38</v>
      </c>
      <c r="P243" s="12">
        <f>VLOOKUP($B243&amp;"__wt",'SegEnds_Xtal_BW#'!$A:$Z,16,FALSE)</f>
        <v>64</v>
      </c>
      <c r="Q243" s="12">
        <f>VLOOKUP($B243&amp;"__wt",'SegEnds_Xtal_BW#'!$A:$Z,17,FALSE)</f>
        <v>50</v>
      </c>
      <c r="R243" s="12">
        <f>VLOOKUP($B243&amp;"__wt",'SegEnds_Xtal_BW#'!$A:$Z,18,FALSE)</f>
        <v>52</v>
      </c>
      <c r="S243" s="12">
        <f>VLOOKUP($B243&amp;"__wt",'SegEnds_Xtal_BW#'!$A:$Z,19,FALSE)</f>
        <v>33</v>
      </c>
      <c r="T243" s="12">
        <f t="array" ref="T243">INDEX(ICL3_classA!$G$2:$G$37,MATCH(MIN(ABS(AI243-ICL3_classA!$F$2:$F$37)),ABS(AI243-ICL3_classA!$F$2:$F$37),0))</f>
        <v>68</v>
      </c>
      <c r="U243" s="12">
        <f t="array" ref="U243">INDEX(ICL3_classA!$H$2:$H$37,MATCH(MIN(ABS(AI243-ICL3_classA!$F$2:$F$37)),ABS(AI243-ICL3_classA!$F$2:$F$37),0))</f>
        <v>30</v>
      </c>
      <c r="V243" s="12">
        <v>65</v>
      </c>
      <c r="W243" s="12">
        <v>24</v>
      </c>
      <c r="X243" s="12">
        <f>VLOOKUP($B243&amp;"__wt",'SegEnds_Xtal_BW#'!$A:$Z,24,FALSE)</f>
        <v>56</v>
      </c>
      <c r="Y243" s="12">
        <f>VLOOKUP($B243&amp;"__wt",'SegEnds_Xtal_BW#'!$A:$Z,25,FALSE)</f>
        <v>47</v>
      </c>
      <c r="Z243" s="12">
        <f>VLOOKUP($B243&amp;"__wt",'SegEnds_Xtal_BW#'!$A:$Z,26,FALSE)</f>
        <v>67</v>
      </c>
      <c r="AA243" s="36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2">
        <f>VLOOKUP(A243,'SegEnds_NonXtal_Prot#'!A:AL,10,FALSE)-VLOOKUP(A243,'SegEnds_NonXtal_Prot#'!A:AL,7,FALSE)</f>
        <v>15</v>
      </c>
      <c r="AD243" s="12">
        <f>VLOOKUP(A243,'SegEnds_NonXtal_Prot#'!A:AL,13,FALSE)-VLOOKUP(A243,'SegEnds_NonXtal_Prot#'!A:AL,10,FALSE)</f>
        <v>19</v>
      </c>
      <c r="AE243" s="12">
        <f>VLOOKUP(A243,'SegEnds_NonXtal_Prot#'!A:AL,16,FALSE)-VLOOKUP(A243,'SegEnds_NonXtal_Prot#'!A:AL,10,FALSE)</f>
        <v>51</v>
      </c>
      <c r="AF243" s="1">
        <f>VLOOKUP(A243,'SegEnds_NonXtal_Prot#'!A:AL,22,FALSE)-VLOOKUP(A243,'SegEnds_NonXtal_Prot#'!A:AL,19,FALSE)</f>
        <v>22</v>
      </c>
      <c r="AG243" s="12">
        <f>VLOOKUP(A243,'SegEnds_NonXtal_Prot#'!A:AL,28,FALSE)-VLOOKUP(A243,'SegEnds_NonXtal_Prot#'!A:AL,25,FALSE)</f>
        <v>29</v>
      </c>
      <c r="AH243" s="1">
        <f>VLOOKUP(A243,'SegEnds_NonXtal_Prot#'!A:AL,28,FALSE)-VLOOKUP(A243,'SegEnds_NonXtal_Prot#'!A:AL,22,FALSE)</f>
        <v>54</v>
      </c>
      <c r="AI243" s="12">
        <f>VLOOKUP(A243,'SegEnds_NonXtal_Prot#'!A:AL,31,FALSE)-VLOOKUP(A243,'SegEnds_NonXtal_Prot#'!A:AL,28,FALSE)</f>
        <v>43</v>
      </c>
      <c r="AJ243" s="12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2" t="str">
        <f>IF(ISERROR(MATCH(A243,'SegEnds_Xtal_Prot#'!B:B, 0)), "NoXtal", "Xtal")</f>
        <v>NoXtal</v>
      </c>
    </row>
    <row r="244" spans="1:38" x14ac:dyDescent="0.2">
      <c r="A244" s="1" t="s">
        <v>176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30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50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27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43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178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63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08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58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INDEX(ICL3_classA!$G$2:$G$37,MATCH(MIN(ABS(AI245-ICL3_classA!$F$2:$F$37)),ABS(AI245-ICL3_classA!$F$2:$F$37),0))</f>
        <v>67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 t="e">
        <f>VLOOKUP(A245,'SegEnds_NonXtal_Prot#'!A:AL,13,FALSE)-VLOOKUP(A245,'SegEnds_NonXtal_Prot#'!A:AL,10,FALSE)</f>
        <v>#VALUE!</v>
      </c>
      <c r="AE245" s="1">
        <f>VLOOKUP(A245,'SegEnds_NonXtal_Prot#'!A:AL,16,FALSE)-VLOOKUP(A245,'SegEnds_NonXtal_Prot#'!A:AL,10,FALSE)</f>
        <v>44</v>
      </c>
      <c r="AF245" s="1">
        <f>VLOOKUP(A245,'SegEnds_NonXtal_Prot#'!A:AL,22,FALSE)-VLOOKUP(A245,'SegEnds_NonXtal_Prot#'!A:AL,19,FALSE)</f>
        <v>21</v>
      </c>
      <c r="AG245" s="1">
        <f>VLOOKUP(A245,'SegEnds_NonXtal_Prot#'!A:AL,28,FALSE)-VLOOKUP(A245,'SegEnds_NonXtal_Prot#'!A:AL,25,FALSE)</f>
        <v>31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41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179</v>
      </c>
      <c r="B246" s="1" t="str">
        <f>VLOOKUP(A246,Xtal_Templ!A:B,2,FALSE)</f>
        <v>ptafr_human</v>
      </c>
      <c r="C246" s="5">
        <f>VLOOKUP($B246&amp;"__wt",'SegEnds_Xtal_BW#'!$A:$Z,3,FALSE)</f>
        <v>27</v>
      </c>
      <c r="D246" s="1">
        <f>VLOOKUP($B246&amp;"__wt",'SegEnds_Xtal_BW#'!$A:$Z,4,FALSE)</f>
        <v>61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INDEX(ICL3_classA!$G$2:$G$37,MATCH(MIN(ABS(AI246-ICL3_classA!$F$2:$F$37)),ABS(AI246-ICL3_classA!$F$2:$F$37),0))</f>
        <v>67</v>
      </c>
      <c r="U246" s="1">
        <f t="array" ref="U246">INDEX(ICL3_classA!$H$2:$H$37,MATCH(MIN(ABS(AI246-ICL3_classA!$F$2:$F$37)),ABS(AI246-ICL3_classA!$F$2:$F$37),0))</f>
        <v>26</v>
      </c>
      <c r="V246" s="1">
        <v>64</v>
      </c>
      <c r="W246" s="1">
        <v>24</v>
      </c>
      <c r="X246" s="1">
        <f>VLOOKUP($B246&amp;"__wt",'SegEnds_Xtal_BW#'!$A:$Z,24,FALSE)</f>
        <v>59</v>
      </c>
      <c r="Y246" s="1">
        <f>VLOOKUP($B246&amp;"__wt",'SegEnds_Xtal_BW#'!$A:$Z,25,FALSE)</f>
        <v>50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28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47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184</v>
      </c>
      <c r="B247" s="1" t="str">
        <f>VLOOKUP(A247,Xtal_Templ!A:B,2,FALSE)</f>
        <v>ccr2_human</v>
      </c>
      <c r="C247" s="5">
        <f>VLOOKUP($B247&amp;"__wt",'SegEnds_Xtal_BW#'!$A:$Z,3,FALSE)</f>
        <v>27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24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31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 t="e">
        <f>VLOOKUP(A247,'SegEnds_NonXtal_Prot#'!A:AL,13,FALSE)-VLOOKUP(A247,'SegEnds_NonXtal_Prot#'!A:AL,10,FALSE)</f>
        <v>#VALUE!</v>
      </c>
      <c r="AE247" s="1">
        <f>VLOOKUP(A247,'SegEnds_NonXtal_Prot#'!A:AL,16,FALSE)-VLOOKUP(A247,'SegEnds_NonXtal_Prot#'!A:AL,10,FALSE)</f>
        <v>50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28</v>
      </c>
      <c r="AH247" s="1">
        <f>VLOOKUP(A247,'SegEnds_NonXtal_Prot#'!A:AL,28,FALSE)-VLOOKUP(A247,'SegEnds_NonXtal_Prot#'!A:AL,22,FALSE)</f>
        <v>49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229</v>
      </c>
      <c r="B248" s="1" t="str">
        <f>VLOOKUP(A248,Xtal_Templ!A:B,2,FALSE)</f>
        <v>p2y12_human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26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 t="e">
        <f>VLOOKUP(A248,'SegEnds_NonXtal_Prot#'!A:AL,13,FALSE)-VLOOKUP(A248,'SegEnds_NonXtal_Prot#'!A:AL,10,FALSE)</f>
        <v>#VALUE!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52</v>
      </c>
      <c r="AI248" s="1">
        <f>VLOOKUP(A248,'SegEnds_NonXtal_Prot#'!A:AL,31,FALSE)-VLOOKUP(A248,'SegEnds_NonXtal_Prot#'!A:AL,28,FALSE)</f>
        <v>47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231</v>
      </c>
      <c r="B249" s="1" t="str">
        <f>VLOOKUP(A249,Xtal_Templ!A:B,2,FALSE)</f>
        <v>p2ry1_human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08">
        <v>56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19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19</v>
      </c>
      <c r="AG249" s="1">
        <f>VLOOKUP(A249,'SegEnds_NonXtal_Prot#'!A:AL,28,FALSE)-VLOOKUP(A249,'SegEnds_NonXtal_Prot#'!A:AL,25,FALSE)</f>
        <v>29</v>
      </c>
      <c r="AH249" s="1">
        <f>VLOOKUP(A249,'SegEnds_NonXtal_Prot#'!A:AL,28,FALSE)-VLOOKUP(A249,'SegEnds_NonXtal_Prot#'!A:AL,22,FALSE)</f>
        <v>55</v>
      </c>
      <c r="AI249" s="1">
        <f>VLOOKUP(A249,'SegEnds_NonXtal_Prot#'!A:AL,31,FALSE)-VLOOKUP(A249,'SegEnds_NonXtal_Prot#'!A:AL,28,FALSE)</f>
        <v>48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233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28</v>
      </c>
      <c r="AH250" s="1">
        <f>VLOOKUP(A250,'SegEnds_NonXtal_Prot#'!A:AL,28,FALSE)-VLOOKUP(A250,'SegEnds_NonXtal_Prot#'!A:AL,22,FALSE)</f>
        <v>52</v>
      </c>
      <c r="AI250" s="1">
        <f>VLOOKUP(A250,'SegEnds_NonXtal_Prot#'!A:AL,31,FALSE)-VLOOKUP(A250,'SegEnds_NonXtal_Prot#'!A:AL,28,FALSE)</f>
        <v>43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240</v>
      </c>
      <c r="B251" s="1" t="str">
        <f>VLOOKUP(A251,Xtal_Templ!A:B,2,FALSE)</f>
        <v>apj_human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52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INDEX(ICL3_classA!$G$2:$G$37,MATCH(MIN(ABS(AI251-ICL3_classA!$F$2:$F$37)),ABS(AI251-ICL3_classA!$F$2:$F$37),0))</f>
        <v>67</v>
      </c>
      <c r="U251" s="1">
        <f t="array" ref="U251">INDEX(ICL3_classA!$H$2:$H$37,MATCH(MIN(ABS(AI251-ICL3_classA!$F$2:$F$37)),ABS(AI251-ICL3_classA!$F$2:$F$37),0))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 t="e">
        <f>VLOOKUP(A251,'SegEnds_NonXtal_Prot#'!A:AL,10,FALSE)-VLOOKUP(A251,'SegEnds_NonXtal_Prot#'!A:AL,7,FALSE)</f>
        <v>#VALUE!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23</v>
      </c>
      <c r="AH251" s="1">
        <f>VLOOKUP(A251,'SegEnds_NonXtal_Prot#'!A:AL,28,FALSE)-VLOOKUP(A251,'SegEnds_NonXtal_Prot#'!A:AL,22,FALSE)</f>
        <v>48</v>
      </c>
      <c r="AI251" s="1">
        <f>VLOOKUP(A251,'SegEnds_NonXtal_Prot#'!A:AL,31,FALSE)-VLOOKUP(A251,'SegEnds_NonXtal_Prot#'!A:AL,28,FALSE)</f>
        <v>46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257</v>
      </c>
      <c r="B252" s="1" t="str">
        <f>VLOOKUP(A252,Xtal_Templ!A:B,2,FALSE)</f>
        <v>ptafr_human</v>
      </c>
      <c r="C252" s="5">
        <f>VLOOKUP($B252&amp;"__wt",'SegEnds_Xtal_BW#'!$A:$Z,3,FALSE)</f>
        <v>27</v>
      </c>
      <c r="D252" s="1">
        <f>VLOOKUP($B252&amp;"__wt",'SegEnds_Xtal_BW#'!$A:$Z,4,FALSE)</f>
        <v>61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33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26</v>
      </c>
      <c r="V252" s="1">
        <v>64</v>
      </c>
      <c r="W252" s="1">
        <v>24</v>
      </c>
      <c r="X252" s="1">
        <f>VLOOKUP($B252&amp;"__wt",'SegEnds_Xtal_BW#'!$A:$Z,24,FALSE)</f>
        <v>59</v>
      </c>
      <c r="Y252" s="1">
        <f>VLOOKUP($B252&amp;"__wt",'SegEnds_Xtal_BW#'!$A:$Z,25,FALSE)</f>
        <v>50</v>
      </c>
      <c r="Z252" s="1">
        <f>VLOOKUP($B252&amp;"__wt",'SegEnds_Xtal_BW#'!$A:$Z,26,FALSE)</f>
        <v>63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25</v>
      </c>
      <c r="AH252" s="1">
        <f>VLOOKUP(A252,'SegEnds_NonXtal_Prot#'!A:AL,28,FALSE)-VLOOKUP(A252,'SegEnds_NonXtal_Prot#'!A:AL,22,FALSE)</f>
        <v>51</v>
      </c>
      <c r="AI252" s="1">
        <f>VLOOKUP(A252,'SegEnds_NonXtal_Prot#'!A:AL,31,FALSE)-VLOOKUP(A252,'SegEnds_NonXtal_Prot#'!A:AL,28,FALSE)</f>
        <v>46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261</v>
      </c>
      <c r="B253" s="1" t="str">
        <f>VLOOKUP(A253,Xtal_Templ!A:B,2,FALSE)</f>
        <v>oprk_human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24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INDEX(ICL3_classA!$G$2:$G$37,MATCH(MIN(ABS(AI253-ICL3_classA!$F$2:$F$37)),ABS(AI253-ICL3_classA!$F$2:$F$37),0))</f>
        <v>68</v>
      </c>
      <c r="U253" s="1">
        <f t="array" ref="U253">INDEX(ICL3_classA!$H$2:$H$37,MATCH(MIN(ABS(AI253-ICL3_classA!$F$2:$F$37)),ABS(AI253-ICL3_classA!$F$2:$F$37),0))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32</v>
      </c>
      <c r="AC253" s="1" t="e">
        <f>VLOOKUP(A253,'SegEnds_NonXtal_Prot#'!A:AL,10,FALSE)-VLOOKUP(A253,'SegEnds_NonXtal_Prot#'!A:AL,7,FALSE)</f>
        <v>#VALUE!</v>
      </c>
      <c r="AD253" s="1" t="e">
        <f>VLOOKUP(A253,'SegEnds_NonXtal_Prot#'!A:AL,13,FALSE)-VLOOKUP(A253,'SegEnds_NonXtal_Prot#'!A:AL,10,FALSE)</f>
        <v>#VALUE!</v>
      </c>
      <c r="AE253" s="1">
        <f>VLOOKUP(A253,'SegEnds_NonXtal_Prot#'!A:AL,16,FALSE)-VLOOKUP(A253,'SegEnds_NonXtal_Prot#'!A:AL,10,FALSE)</f>
        <v>49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47</v>
      </c>
      <c r="AI253" s="1">
        <f>VLOOKUP(A253,'SegEnds_NonXtal_Prot#'!A:AL,31,FALSE)-VLOOKUP(A253,'SegEnds_NonXtal_Prot#'!A:AL,28,FALSE)</f>
        <v>48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272</v>
      </c>
      <c r="B254" s="1" t="str">
        <f>VLOOKUP(A254,Xtal_Templ!A:B,2,FALSE)</f>
        <v>p2y12_human</v>
      </c>
      <c r="C254" s="5">
        <f>VLOOKUP($B254&amp;"__wt",'SegEnds_Xtal_BW#'!$A:$Z,3,FALSE)</f>
        <v>28</v>
      </c>
      <c r="D254" s="1">
        <f>VLOOKUP($B254&amp;"__wt",'SegEnds_Xtal_BW#'!$A:$Z,4,FALSE)</f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66</v>
      </c>
      <c r="I254" s="1" t="str">
        <f>VLOOKUP($B254&amp;"__wt",'SegEnds_Xtal_BW#'!$A:$Z,9,FALSE)</f>
        <v>-</v>
      </c>
      <c r="J254" s="1" t="str">
        <f>VLOOKUP($B254&amp;"__wt",'SegEnds_Xtal_BW#'!$A:$Z,10,FALSE)</f>
        <v>-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57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27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26</v>
      </c>
      <c r="AH254" s="1">
        <f>VLOOKUP(A254,'SegEnds_NonXtal_Prot#'!A:AL,28,FALSE)-VLOOKUP(A254,'SegEnds_NonXtal_Prot#'!A:AL,22,FALSE)</f>
        <v>52</v>
      </c>
      <c r="AI254" s="1">
        <f>VLOOKUP(A254,'SegEnds_NonXtal_Prot#'!A:AL,31,FALSE)-VLOOKUP(A254,'SegEnds_NonXtal_Prot#'!A:AL,28,FALSE)</f>
        <v>49</v>
      </c>
      <c r="AJ254" s="1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288</v>
      </c>
      <c r="B255" s="1" t="str">
        <f>VLOOKUP(A255,Xtal_Templ!A:B,2,FALSE)</f>
        <v>oprk_human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INDEX(ICL3_classA!$G$2:$G$37,MATCH(MIN(ABS(AI255-ICL3_classA!$F$2:$F$37)),ABS(AI255-ICL3_classA!$F$2:$F$37),0))</f>
        <v>68</v>
      </c>
      <c r="U255" s="1">
        <f t="array" ref="U255">INDEX(ICL3_classA!$H$2:$H$37,MATCH(MIN(ABS(AI255-ICL3_classA!$F$2:$F$37)),ABS(AI255-ICL3_classA!$F$2:$F$37),0))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51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28</v>
      </c>
      <c r="AH255" s="1">
        <f>VLOOKUP(A255,'SegEnds_NonXtal_Prot#'!A:AL,28,FALSE)-VLOOKUP(A255,'SegEnds_NonXtal_Prot#'!A:AL,22,FALSE)</f>
        <v>53</v>
      </c>
      <c r="AI255" s="1">
        <f>VLOOKUP(A255,'SegEnds_NonXtal_Prot#'!A:AL,31,FALSE)-VLOOKUP(A255,'SegEnds_NonXtal_Prot#'!A:AL,28,FALSE)</f>
        <v>48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290</v>
      </c>
      <c r="B256" s="1" t="str">
        <f>VLOOKUP(A256,Xtal_Templ!A:B,2,FALSE)</f>
        <v>ptafr_human</v>
      </c>
      <c r="C256" s="5">
        <f>VLOOKUP($B256&amp;"__wt",'SegEnds_Xtal_BW#'!$A:$Z,3,FALSE)</f>
        <v>27</v>
      </c>
      <c r="D256" s="108"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19</v>
      </c>
      <c r="AE256" s="1">
        <f>VLOOKUP(A256,'SegEnds_NonXtal_Prot#'!A:AL,16,FALSE)-VLOOKUP(A256,'SegEnds_NonXtal_Prot#'!A:AL,10,FALSE)</f>
        <v>51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28</v>
      </c>
      <c r="AH256" s="1">
        <f>VLOOKUP(A256,'SegEnds_NonXtal_Prot#'!A:AL,28,FALSE)-VLOOKUP(A256,'SegEnds_NonXtal_Prot#'!A:AL,22,FALSE)</f>
        <v>55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348</v>
      </c>
      <c r="B257" s="1" t="str">
        <f>VLOOKUP(A257,Xtal_Templ!A:B,2,FALSE)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21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4" t="s">
        <v>350</v>
      </c>
      <c r="B258" s="4" t="str">
        <f>VLOOKUP(A258,Xtal_Templ!A:B,2,FALSE)</f>
        <v>ptafr_human</v>
      </c>
      <c r="C258" s="5">
        <f>VLOOKUP($B258&amp;"__wt",'SegEnds_Xtal_BW#'!$A:$Z,3,FALSE)</f>
        <v>27</v>
      </c>
      <c r="D258" s="4">
        <f>VLOOKUP($B258&amp;"__wt",'SegEnds_Xtal_BW#'!$A:$Z,4,FALSE)</f>
        <v>61</v>
      </c>
      <c r="E258" s="4" t="str">
        <f>VLOOKUP($B258&amp;"__wt",'SegEnds_Xtal_BW#'!$A:$Z,5,FALSE)</f>
        <v>-</v>
      </c>
      <c r="F258" s="4" t="str">
        <f>VLOOKUP($B258&amp;"__wt",'SegEnds_Xtal_BW#'!$A:$Z,6,FALSE)</f>
        <v>-</v>
      </c>
      <c r="G258" s="4">
        <v>37</v>
      </c>
      <c r="H258" s="11">
        <v>66</v>
      </c>
      <c r="I258" s="4">
        <f>VLOOKUP($B258&amp;"__wt",'SegEnds_Xtal_BW#'!$A:$Z,9,FALSE)</f>
        <v>49</v>
      </c>
      <c r="J258" s="4">
        <f>VLOOKUP($B258&amp;"__wt",'SegEnds_Xtal_BW#'!$A:$Z,10,FALSE)</f>
        <v>52</v>
      </c>
      <c r="K258" s="11">
        <v>21</v>
      </c>
      <c r="L258" s="4">
        <f>VLOOKUP($B258&amp;"__wt",'SegEnds_Xtal_BW#'!$A:$Z,12,FALSE)</f>
        <v>56</v>
      </c>
      <c r="M258" s="4">
        <f>VLOOKUP($B258&amp;"__wt",'SegEnds_Xtal_BW#'!$A:$Z,13,FALSE)</f>
        <v>50</v>
      </c>
      <c r="N258" s="108">
        <v>56</v>
      </c>
      <c r="O258" s="87">
        <f>VLOOKUP($B258&amp;"__wt",'SegEnds_Xtal_BW#'!$A:$Z,15,FALSE)</f>
        <v>38</v>
      </c>
      <c r="P258" s="4">
        <f>VLOOKUP($B258&amp;"__wt",'SegEnds_Xtal_BW#'!$A:$Z,16,FALSE)</f>
        <v>63</v>
      </c>
      <c r="Q258" s="4">
        <f>VLOOKUP($B258&amp;"__wt",'SegEnds_Xtal_BW#'!$A:$Z,17,FALSE)</f>
        <v>50</v>
      </c>
      <c r="R258" s="4">
        <f>VLOOKUP($B258&amp;"__wt",'SegEnds_Xtal_BW#'!$A:$Z,18,FALSE)</f>
        <v>52</v>
      </c>
      <c r="S258" s="4">
        <f>VLOOKUP($B258&amp;"__wt",'SegEnds_Xtal_BW#'!$A:$Z,19,FALSE)</f>
        <v>33</v>
      </c>
      <c r="T258" s="4">
        <f t="array" ref="T258">INDEX(ICL3_classA!$G$2:$G$37,MATCH(MIN(ABS(AI258-ICL3_classA!$F$2:$F$37)),ABS(AI258-ICL3_classA!$F$2:$F$37),0))</f>
        <v>68</v>
      </c>
      <c r="U258" s="4">
        <f t="array" ref="U258">INDEX(ICL3_classA!$H$2:$H$37,MATCH(MIN(ABS(AI258-ICL3_classA!$F$2:$F$37)),ABS(AI258-ICL3_classA!$F$2:$F$37),0))</f>
        <v>24</v>
      </c>
      <c r="V258" s="4">
        <v>64</v>
      </c>
      <c r="W258" s="4">
        <v>24</v>
      </c>
      <c r="X258" s="4">
        <f>VLOOKUP($B258&amp;"__wt",'SegEnds_Xtal_BW#'!$A:$Z,24,FALSE)</f>
        <v>59</v>
      </c>
      <c r="Y258" s="4">
        <f>VLOOKUP($B258&amp;"__wt",'SegEnds_Xtal_BW#'!$A:$Z,25,FALSE)</f>
        <v>50</v>
      </c>
      <c r="Z258" s="4">
        <f>VLOOKUP($B258&amp;"__wt",'SegEnds_Xtal_BW#'!$A:$Z,26,FALSE)</f>
        <v>63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4" t="e">
        <f>VLOOKUP(A258,'SegEnds_NonXtal_Prot#'!A:AL,10,FALSE)-VLOOKUP(A258,'SegEnds_NonXtal_Prot#'!A:AL,7,FALSE)</f>
        <v>#VALUE!</v>
      </c>
      <c r="AD258" s="4">
        <f>VLOOKUP(A258,'SegEnds_NonXtal_Prot#'!A:AL,13,FALSE)-VLOOKUP(A258,'SegEnds_NonXtal_Prot#'!A:AL,10,FALSE)</f>
        <v>19</v>
      </c>
      <c r="AE258" s="4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19</v>
      </c>
      <c r="AG258" s="4">
        <f>VLOOKUP(A258,'SegEnds_NonXtal_Prot#'!A:AL,28,FALSE)-VLOOKUP(A258,'SegEnds_NonXtal_Prot#'!A:AL,25,FALSE)</f>
        <v>29</v>
      </c>
      <c r="AH258" s="1">
        <f>VLOOKUP(A258,'SegEnds_NonXtal_Prot#'!A:AL,28,FALSE)-VLOOKUP(A258,'SegEnds_NonXtal_Prot#'!A:AL,22,FALSE)</f>
        <v>53</v>
      </c>
      <c r="AI258" s="4">
        <f>VLOOKUP(A258,'SegEnds_NonXtal_Prot#'!A:AL,31,FALSE)-VLOOKUP(A258,'SegEnds_NonXtal_Prot#'!A:AL,28,FALSE)</f>
        <v>48</v>
      </c>
      <c r="AJ258" s="4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352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INDEX(ICL3_classA!$G$2:$G$37,MATCH(MIN(ABS(AI259-ICL3_classA!$F$2:$F$37)),ABS(AI259-ICL3_classA!$F$2:$F$37),0))</f>
        <v>72</v>
      </c>
      <c r="U259" s="1">
        <f t="array" ref="U259">INDEX(ICL3_classA!$H$2:$H$37,MATCH(MIN(ABS(AI259-ICL3_classA!$F$2:$F$37)),ABS(AI259-ICL3_classA!$F$2:$F$37),0))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27</v>
      </c>
      <c r="AC259" s="1" t="e">
        <f>VLOOKUP(A259,'SegEnds_NonXtal_Prot#'!A:AL,10,FALSE)-VLOOKUP(A259,'SegEnds_NonXtal_Prot#'!A:AL,7,FALSE)</f>
        <v>#VALUE!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26</v>
      </c>
      <c r="AH259" s="1">
        <f>VLOOKUP(A259,'SegEnds_NonXtal_Prot#'!A:AL,28,FALSE)-VLOOKUP(A259,'SegEnds_NonXtal_Prot#'!A:AL,22,FALSE)</f>
        <v>52</v>
      </c>
      <c r="AI259" s="1">
        <f>VLOOKUP(A259,'SegEnds_NonXtal_Prot#'!A:AL,31,FALSE)-VLOOKUP(A259,'SegEnds_NonXtal_Prot#'!A:AL,28,FALSE)</f>
        <v>50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353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INDEX(ICL3_classA!$G$2:$G$37,MATCH(MIN(ABS(AI260-ICL3_classA!$F$2:$F$37)),ABS(AI260-ICL3_classA!$F$2:$F$37),0))</f>
        <v>72</v>
      </c>
      <c r="U260" s="1">
        <f t="array" ref="U260">INDEX(ICL3_classA!$H$2:$H$37,MATCH(MIN(ABS(AI260-ICL3_classA!$F$2:$F$37)),ABS(AI260-ICL3_classA!$F$2:$F$37),0))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27</v>
      </c>
      <c r="AC260" s="1" t="e">
        <f>VLOOKUP(A260,'SegEnds_NonXtal_Prot#'!A:AL,10,FALSE)-VLOOKUP(A260,'SegEnds_NonXtal_Prot#'!A:AL,7,FALSE)</f>
        <v>#VALUE!</v>
      </c>
      <c r="AD260" s="1" t="e">
        <f>VLOOKUP(A260,'SegEnds_NonXtal_Prot#'!A:AL,13,FALSE)-VLOOKUP(A260,'SegEnds_NonXtal_Prot#'!A:AL,10,FALSE)</f>
        <v>#VALUE!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26</v>
      </c>
      <c r="AH260" s="1">
        <f>VLOOKUP(A260,'SegEnds_NonXtal_Prot#'!A:AL,28,FALSE)-VLOOKUP(A260,'SegEnds_NonXtal_Prot#'!A:AL,22,FALSE)</f>
        <v>52</v>
      </c>
      <c r="AI260" s="1">
        <f>VLOOKUP(A260,'SegEnds_NonXtal_Prot#'!A:AL,31,FALSE)-VLOOKUP(A260,'SegEnds_NonXtal_Prot#'!A:AL,28,FALSE)</f>
        <v>50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354</v>
      </c>
      <c r="B261" s="1" t="str">
        <f>VLOOKUP(A261,Xtal_Templ!A:B,2,FALSE)</f>
        <v>p2y12_human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INDEX(ICL3_classA!$G$2:$G$37,MATCH(MIN(ABS(AI261-ICL3_classA!$F$2:$F$37)),ABS(AI261-ICL3_classA!$F$2:$F$37),0))</f>
        <v>72</v>
      </c>
      <c r="U261" s="1">
        <f t="array" ref="U261">INDEX(ICL3_classA!$H$2:$H$37,MATCH(MIN(ABS(AI261-ICL3_classA!$F$2:$F$37)),ABS(AI261-ICL3_classA!$F$2:$F$37),0))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57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26</v>
      </c>
      <c r="AH261" s="1">
        <f>VLOOKUP(A261,'SegEnds_NonXtal_Prot#'!A:AL,28,FALSE)-VLOOKUP(A261,'SegEnds_NonXtal_Prot#'!A:AL,22,FALSE)</f>
        <v>52</v>
      </c>
      <c r="AI261" s="1">
        <f>VLOOKUP(A261,'SegEnds_NonXtal_Prot#'!A:AL,31,FALSE)-VLOOKUP(A261,'SegEnds_NonXtal_Prot#'!A:AL,28,FALSE)</f>
        <v>50</v>
      </c>
      <c r="AJ261" s="1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1441</v>
      </c>
      <c r="B262" s="1" t="str">
        <f>VLOOKUP(A262,Xtal_Templ!A:B,2,FALSE)</f>
        <v>q08bg4_danre</v>
      </c>
      <c r="C262" s="5">
        <f>VLOOKUP($B262&amp;"__wt",'SegEnds_Xtal_BW#'!$A:$Z,3,FALSE)</f>
        <v>31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f>VLOOKUP($B262&amp;"__wt",'SegEnds_Xtal_BW#'!$A:$Z,11,FALSE)</f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08">
        <f>VLOOKUP($B262&amp;"__wt",'SegEnds_Xtal_BW#'!$A:$Z,14,FALSE)</f>
        <v>57</v>
      </c>
      <c r="O262" s="108">
        <f>VLOOKUP($B262&amp;"__wt",'SegEnds_Xtal_BW#'!$A:$Z,15,FALSE)</f>
        <v>38</v>
      </c>
      <c r="P262" s="1">
        <f>VLOOKUP($B262&amp;"__wt",'SegEnds_Xtal_BW#'!$A:$Z,16,FALSE)</f>
        <v>65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31</v>
      </c>
      <c r="T262" s="1">
        <f t="array" ref="T262">INDEX(ICL3_classA!$G$2:$G$37,MATCH(MIN(ABS(AI262-ICL3_classA!$F$2:$F$37)),ABS(AI262-ICL3_classA!$F$2:$F$37),0))</f>
        <v>68</v>
      </c>
      <c r="U262" s="1">
        <f t="array" ref="U262">INDEX(ICL3_classA!$H$2:$H$37,MATCH(MIN(ABS(AI262-ICL3_classA!$F$2:$F$37)),ABS(AI262-ICL3_classA!$F$2:$F$37),0))</f>
        <v>24</v>
      </c>
      <c r="V262" s="108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19</v>
      </c>
      <c r="AE262" s="1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28</v>
      </c>
      <c r="AH262" s="1">
        <f>VLOOKUP(A262,'SegEnds_NonXtal_Prot#'!A:AL,28,FALSE)-VLOOKUP(A262,'SegEnds_NonXtal_Prot#'!A:AL,22,FALSE)</f>
        <v>55</v>
      </c>
      <c r="AI262" s="1">
        <f>VLOOKUP(A262,'SegEnds_NonXtal_Prot#'!A:AL,31,FALSE)-VLOOKUP(A262,'SegEnds_NonXtal_Prot#'!A:AL,28,FALSE)</f>
        <v>49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400</v>
      </c>
      <c r="B263" s="1" t="str">
        <f>VLOOKUP(A263,Xtal_Templ!A:B,2,FALSE)</f>
        <v>ccr5_human</v>
      </c>
      <c r="C263" s="5">
        <f>VLOOKUP($B263&amp;"__wt",'SegEnds_Xtal_BW#'!$A:$Z,3,FALSE)</f>
        <v>24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24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68</v>
      </c>
      <c r="U263" s="1">
        <f t="array" ref="U263">INDEX(ICL3_classA!$H$2:$H$37,MATCH(MIN(ABS(AI263-ICL3_classA!$F$2:$F$37)),ABS(AI263-ICL3_classA!$F$2:$F$37),0))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18</v>
      </c>
      <c r="AE263" s="1">
        <f>VLOOKUP(A263,'SegEnds_NonXtal_Prot#'!A:AL,16,FALSE)-VLOOKUP(A263,'SegEnds_NonXtal_Prot#'!A:AL,10,FALSE)</f>
        <v>50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22</v>
      </c>
      <c r="AH263" s="1">
        <f>VLOOKUP(A263,'SegEnds_NonXtal_Prot#'!A:AL,28,FALSE)-VLOOKUP(A263,'SegEnds_NonXtal_Prot#'!A:AL,22,FALSE)</f>
        <v>43</v>
      </c>
      <c r="AI263" s="1">
        <f>VLOOKUP(A263,'SegEnds_NonXtal_Prot#'!A:AL,31,FALSE)-VLOOKUP(A263,'SegEnds_NonXtal_Prot#'!A:AL,28,FALSE)</f>
        <v>43</v>
      </c>
      <c r="AJ263" s="1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144</v>
      </c>
      <c r="B264" s="1" t="str">
        <f>VLOOKUP(A264,Xtal_Templ!A:B,2,FALSE)</f>
        <v>agtr1_human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 t="e">
        <f>VLOOKUP(A264,'SegEnds_NonXtal_Prot#'!A:AL,22,FALSE)-VLOOKUP(A264,'SegEnds_NonXtal_Prot#'!A:AL,19,FALSE)</f>
        <v>#VALUE!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145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08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18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50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169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2" t="s">
        <v>175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v>58</v>
      </c>
      <c r="O267" s="87">
        <v>38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INDEX(ICL3_classA!$G$2:$G$37,MATCH(MIN(ABS(AI267-ICL3_classA!$F$2:$F$37)),ABS(AI267-ICL3_classA!$F$2:$F$37),0))</f>
        <v>68</v>
      </c>
      <c r="U267" s="12">
        <f t="array" ref="U267">INDEX(ICL3_classA!$H$2:$H$37,MATCH(MIN(ABS(AI267-ICL3_classA!$F$2:$F$37)),ABS(AI267-ICL3_classA!$F$2:$F$37),0))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6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2">
        <f>VLOOKUP(A267,'SegEnds_NonXtal_Prot#'!A:AL,10,FALSE)-VLOOKUP(A267,'SegEnds_NonXtal_Prot#'!A:AL,7,FALSE)</f>
        <v>15</v>
      </c>
      <c r="AD267" s="12">
        <f>VLOOKUP(A267,'SegEnds_NonXtal_Prot#'!A:AL,13,FALSE)-VLOOKUP(A267,'SegEnds_NonXtal_Prot#'!A:AL,10,FALSE)</f>
        <v>18</v>
      </c>
      <c r="AE267" s="12">
        <f>VLOOKUP(A267,'SegEnds_NonXtal_Prot#'!A:AL,16,FALSE)-VLOOKUP(A267,'SegEnds_NonXtal_Prot#'!A:AL,10,FALSE)</f>
        <v>50</v>
      </c>
      <c r="AF267" s="1">
        <f>VLOOKUP(A267,'SegEnds_NonXtal_Prot#'!A:AL,22,FALSE)-VLOOKUP(A267,'SegEnds_NonXtal_Prot#'!A:AL,19,FALSE)</f>
        <v>22</v>
      </c>
      <c r="AG267" s="12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52</v>
      </c>
      <c r="AI267" s="12">
        <f>VLOOKUP(A267,'SegEnds_NonXtal_Prot#'!A:AL,31,FALSE)-VLOOKUP(A267,'SegEnds_NonXtal_Prot#'!A:AL,28,FALSE)</f>
        <v>43</v>
      </c>
      <c r="AJ267" s="12">
        <f>VLOOKUP(A267,'SegEnds_NonXtal_Prot#'!A:AL,34,FALSE)-VLOOKUP(A267,'SegEnds_NonXtal_Prot#'!A:AL,31,FALSE)</f>
        <v>45</v>
      </c>
      <c r="AK267" s="1">
        <f>VLOOKUP(A267,'SegEnds_NonXtal_Prot#'!A:AL,37,FALSE)-VLOOKUP(A267,'SegEnds_NonXtal_Prot#'!A:AL,34,FALSE)</f>
        <v>10</v>
      </c>
      <c r="AL267" s="12" t="str">
        <f>IF(ISERROR(MATCH(A267,'SegEnds_Xtal_Prot#'!B:B, 0)), "NoXtal", "Xtal")</f>
        <v>NoXtal</v>
      </c>
    </row>
    <row r="268" spans="1:38" x14ac:dyDescent="0.2">
      <c r="A268" s="12" t="s">
        <v>177</v>
      </c>
      <c r="B268" s="12" t="str">
        <f>VLOOKUP(A268,Xtal_Templ!A:B,2,FALSE)</f>
        <v>ccr9_human</v>
      </c>
      <c r="C268" s="13">
        <f>VLOOKUP($B268&amp;"__wt",'SegEnds_Xtal_BW#'!$A:$Z,3,FALSE)</f>
        <v>27</v>
      </c>
      <c r="D268" s="12">
        <f>VLOOKUP($B268&amp;"__wt",'SegEnds_Xtal_BW#'!$A:$Z,4,FALSE)</f>
        <v>60</v>
      </c>
      <c r="E268" s="12">
        <f>VLOOKUP($B268&amp;"__wt",'SegEnds_Xtal_BW#'!$A:$Z,5,FALSE)</f>
        <v>48</v>
      </c>
      <c r="F268" s="12">
        <f>VLOOKUP($B268&amp;"__wt",'SegEnds_Xtal_BW#'!$A:$Z,6,FALSE)</f>
        <v>51</v>
      </c>
      <c r="G268" s="12">
        <v>37</v>
      </c>
      <c r="H268" s="12">
        <v>66</v>
      </c>
      <c r="I268" s="12">
        <f>VLOOKUP($B268&amp;"__wt",'SegEnds_Xtal_BW#'!$A:$Z,9,FALSE)</f>
        <v>49</v>
      </c>
      <c r="J268" s="12">
        <f>VLOOKUP($B268&amp;"__wt",'SegEnds_Xtal_BW#'!$A:$Z,10,FALSE)</f>
        <v>52</v>
      </c>
      <c r="K268" s="12">
        <v>24</v>
      </c>
      <c r="L268" s="12">
        <f>VLOOKUP($B268&amp;"__wt",'SegEnds_Xtal_BW#'!$A:$Z,12,FALSE)</f>
        <v>56</v>
      </c>
      <c r="M268" s="12">
        <f>VLOOKUP($B268&amp;"__wt",'SegEnds_Xtal_BW#'!$A:$Z,13,FALSE)</f>
        <v>50</v>
      </c>
      <c r="N268" s="12">
        <f>VLOOKUP($B268&amp;"__wt",'SegEnds_Xtal_BW#'!$A:$Z,14,FALSE)</f>
        <v>56</v>
      </c>
      <c r="O268" s="87">
        <f>VLOOKUP($B268&amp;"__wt",'SegEnds_Xtal_BW#'!$A:$Z,15,FALSE)</f>
        <v>35</v>
      </c>
      <c r="P268" s="12">
        <f>VLOOKUP($B268&amp;"__wt",'SegEnds_Xtal_BW#'!$A:$Z,16,FALSE)</f>
        <v>64</v>
      </c>
      <c r="Q268" s="12">
        <f>VLOOKUP($B268&amp;"__wt",'SegEnds_Xtal_BW#'!$A:$Z,17,FALSE)</f>
        <v>50</v>
      </c>
      <c r="R268" s="12">
        <f>VLOOKUP($B268&amp;"__wt",'SegEnds_Xtal_BW#'!$A:$Z,18,FALSE)</f>
        <v>52</v>
      </c>
      <c r="S268" s="12">
        <f>VLOOKUP($B268&amp;"__wt",'SegEnds_Xtal_BW#'!$A:$Z,19,FALSE)</f>
        <v>33</v>
      </c>
      <c r="T268" s="12">
        <f t="array" ref="T268">INDEX(ICL3_classA!$G$2:$G$37,MATCH(MIN(ABS(AI268-ICL3_classA!$F$2:$F$37)),ABS(AI268-ICL3_classA!$F$2:$F$37),0))</f>
        <v>68</v>
      </c>
      <c r="U268" s="12">
        <f t="array" ref="U268">INDEX(ICL3_classA!$H$2:$H$37,MATCH(MIN(ABS(AI268-ICL3_classA!$F$2:$F$37)),ABS(AI268-ICL3_classA!$F$2:$F$37),0))</f>
        <v>30</v>
      </c>
      <c r="V268" s="12">
        <v>65</v>
      </c>
      <c r="W268" s="12">
        <v>24</v>
      </c>
      <c r="X268" s="12">
        <f>VLOOKUP($B268&amp;"__wt",'SegEnds_Xtal_BW#'!$A:$Z,24,FALSE)</f>
        <v>56</v>
      </c>
      <c r="Y268" s="12">
        <f>VLOOKUP($B268&amp;"__wt",'SegEnds_Xtal_BW#'!$A:$Z,25,FALSE)</f>
        <v>47</v>
      </c>
      <c r="Z268" s="12">
        <f>VLOOKUP($B268&amp;"__wt",'SegEnds_Xtal_BW#'!$A:$Z,26,FALSE)</f>
        <v>67</v>
      </c>
      <c r="AA268" s="36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2">
        <f>VLOOKUP(A268,'SegEnds_NonXtal_Prot#'!A:AL,10,FALSE)-VLOOKUP(A268,'SegEnds_NonXtal_Prot#'!A:AL,7,FALSE)</f>
        <v>15</v>
      </c>
      <c r="AD268" s="12">
        <f>VLOOKUP(A268,'SegEnds_NonXtal_Prot#'!A:AL,13,FALSE)-VLOOKUP(A268,'SegEnds_NonXtal_Prot#'!A:AL,10,FALSE)</f>
        <v>18</v>
      </c>
      <c r="AE268" s="12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22</v>
      </c>
      <c r="AG268" s="12">
        <f>VLOOKUP(A268,'SegEnds_NonXtal_Prot#'!A:AL,28,FALSE)-VLOOKUP(A268,'SegEnds_NonXtal_Prot#'!A:AL,25,FALSE)</f>
        <v>28</v>
      </c>
      <c r="AH268" s="1">
        <f>VLOOKUP(A268,'SegEnds_NonXtal_Prot#'!A:AL,28,FALSE)-VLOOKUP(A268,'SegEnds_NonXtal_Prot#'!A:AL,22,FALSE)</f>
        <v>53</v>
      </c>
      <c r="AI268" s="12">
        <f>VLOOKUP(A268,'SegEnds_NonXtal_Prot#'!A:AL,31,FALSE)-VLOOKUP(A268,'SegEnds_NonXtal_Prot#'!A:AL,28,FALSE)</f>
        <v>43</v>
      </c>
      <c r="AJ268" s="12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2" t="str">
        <f>IF(ISERROR(MATCH(A268,'SegEnds_Xtal_Prot#'!B:B, 0)), "NoXtal", "Xtal")</f>
        <v>Xtal</v>
      </c>
    </row>
    <row r="269" spans="1:38" x14ac:dyDescent="0.2">
      <c r="A269" s="1" t="s">
        <v>185</v>
      </c>
      <c r="B269" s="1" t="str">
        <f>VLOOKUP(A269,Xtal_Templ!A:B,2,FALSE)</f>
        <v>ccr2_human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08">
        <v>56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50</v>
      </c>
      <c r="AF269" s="1">
        <f>VLOOKUP(A269,'SegEnds_NonXtal_Prot#'!A:AL,22,FALSE)-VLOOKUP(A269,'SegEnds_NonXtal_Prot#'!A:AL,19,FALSE)</f>
        <v>19</v>
      </c>
      <c r="AG269" s="1">
        <f>VLOOKUP(A269,'SegEnds_NonXtal_Prot#'!A:AL,28,FALSE)-VLOOKUP(A269,'SegEnds_NonXtal_Prot#'!A:AL,25,FALSE)</f>
        <v>27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43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186</v>
      </c>
      <c r="B270" s="1" t="str">
        <f>VLOOKUP(A270,Xtal_Templ!A:B,2,FALSE)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08">
        <v>56</v>
      </c>
      <c r="O270" s="108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>
        <f>VLOOKUP(A270,'SegEnds_NonXtal_Prot#'!A:AL,22,FALSE)-VLOOKUP(A270,'SegEnds_NonXtal_Prot#'!A:AL,19,FALSE)</f>
        <v>19</v>
      </c>
      <c r="AG270" s="1">
        <f>VLOOKUP(A270,'SegEnds_NonXtal_Prot#'!A:AL,28,FALSE)-VLOOKUP(A270,'SegEnds_NonXtal_Prot#'!A:AL,25,FALSE)</f>
        <v>27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187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51</v>
      </c>
      <c r="AI271" s="1">
        <f>VLOOKUP(A271,'SegEnds_NonXtal_Prot#'!A:AL,31,FALSE)-VLOOKUP(A271,'SegEnds_NonXtal_Prot#'!A:AL,28,FALSE)</f>
        <v>43</v>
      </c>
      <c r="AJ271" s="1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1172</v>
      </c>
      <c r="B272" s="1" t="str">
        <f>VLOOKUP(A272,Xtal_Templ!A:B,2,FALSE)</f>
        <v>cxcr4_human</v>
      </c>
      <c r="C272" s="5">
        <f>VLOOKUP($B272&amp;"__wt",'SegEnds_Xtal_BW#'!$A:$Z,3,FALSE)</f>
        <v>24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68</v>
      </c>
      <c r="U272" s="1">
        <f t="array" ref="U272">INDEX(ICL3_classA!$H$2:$H$37,MATCH(MIN(ABS(AI272-ICL3_classA!$F$2:$F$37)),ABS(AI272-ICL3_classA!$F$2:$F$37),0))</f>
        <v>30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50</v>
      </c>
      <c r="AI272" s="1">
        <f>VLOOKUP(A272,'SegEnds_NonXtal_Prot#'!A:AL,31,FALSE)-VLOOKUP(A272,'SegEnds_NonXtal_Prot#'!A:AL,28,FALSE)</f>
        <v>43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188</v>
      </c>
      <c r="B273" s="1" t="str">
        <f>VLOOKUP(A273,Xtal_Templ!A:B,2,FALSE)</f>
        <v>cxcr4_human</v>
      </c>
      <c r="C273" s="5">
        <f>VLOOKUP($B273&amp;"__wt",'SegEnds_Xtal_BW#'!$A:$Z,3,FALSE)</f>
        <v>24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28</v>
      </c>
      <c r="V273" s="1">
        <v>64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28</v>
      </c>
      <c r="AH273" s="1">
        <f>VLOOKUP(A273,'SegEnds_NonXtal_Prot#'!A:AL,28,FALSE)-VLOOKUP(A273,'SegEnds_NonXtal_Prot#'!A:AL,22,FALSE)</f>
        <v>56</v>
      </c>
      <c r="AI273" s="1">
        <f>VLOOKUP(A273,'SegEnds_NonXtal_Prot#'!A:AL,31,FALSE)-VLOOKUP(A273,'SegEnds_NonXtal_Prot#'!A:AL,28,FALSE)</f>
        <v>44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194</v>
      </c>
      <c r="B274" s="1" t="str">
        <f>VLOOKUP(A274,Xtal_Templ!A:B,2,FALSE)</f>
        <v>adrb2_human</v>
      </c>
      <c r="C274" s="5">
        <f>VLOOKUP($B274&amp;"__wt",'SegEnds_Xtal_BW#'!$A:$Z,3,FALSE)</f>
        <v>25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64</v>
      </c>
      <c r="W274" s="1">
        <v>24</v>
      </c>
      <c r="X274" s="126"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29</v>
      </c>
      <c r="AC274" s="1">
        <f>VLOOKUP(A274,'SegEnds_NonXtal_Prot#'!A:AL,10,FALSE)-VLOOKUP(A274,'SegEnds_NonXtal_Prot#'!A:AL,7,FALSE)</f>
        <v>16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51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20</v>
      </c>
      <c r="AH274" s="1">
        <f>VLOOKUP(A274,'SegEnds_NonXtal_Prot#'!A:AL,28,FALSE)-VLOOKUP(A274,'SegEnds_NonXtal_Prot#'!A:AL,22,FALSE)</f>
        <v>72</v>
      </c>
      <c r="AI274" s="1">
        <f>VLOOKUP(A274,'SegEnds_NonXtal_Prot#'!A:AL,31,FALSE)-VLOOKUP(A274,'SegEnds_NonXtal_Prot#'!A:AL,28,FALSE)</f>
        <v>74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195</v>
      </c>
      <c r="B275" s="1" t="str">
        <f>VLOOKUP(A275,Xtal_Templ!A:B,2,FALSE)</f>
        <v>ednrb_human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52</v>
      </c>
      <c r="G275" s="1">
        <v>38</v>
      </c>
      <c r="H275" s="12"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9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28</v>
      </c>
      <c r="T275" s="1">
        <f t="array" ref="T275">INDEX(ICL3_classA!$G$2:$G$37,MATCH(MIN(ABS(AI275-ICL3_classA!$F$2:$F$37)),ABS(AI275-ICL3_classA!$F$2:$F$37),0))</f>
        <v>72</v>
      </c>
      <c r="U275" s="1">
        <f t="array" ref="U275">INDEX(ICL3_classA!$H$2:$H$37,MATCH(MIN(ABS(AI275-ICL3_classA!$F$2:$F$37)),ABS(AI275-ICL3_classA!$F$2:$F$37),0))</f>
        <v>24</v>
      </c>
      <c r="V275" s="1">
        <v>62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57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28</v>
      </c>
      <c r="AH275" s="1">
        <f>VLOOKUP(A275,'SegEnds_NonXtal_Prot#'!A:AL,28,FALSE)-VLOOKUP(A275,'SegEnds_NonXtal_Prot#'!A:AL,22,FALSE)</f>
        <v>57</v>
      </c>
      <c r="AI275" s="1">
        <f>VLOOKUP(A275,'SegEnds_NonXtal_Prot#'!A:AL,31,FALSE)-VLOOKUP(A275,'SegEnds_NonXtal_Prot#'!A:AL,28,FALSE)</f>
        <v>54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196</v>
      </c>
      <c r="B276" s="1" t="str">
        <f>VLOOKUP(A276,Xtal_Templ!A:B,2,FALSE)</f>
        <v>ednrb_human</v>
      </c>
      <c r="C276" s="5">
        <f>VLOOKUP($B276&amp;"__wt",'SegEnds_Xtal_BW#'!$A:$Z,3,FALSE)</f>
        <v>22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52</v>
      </c>
      <c r="G276" s="1">
        <v>38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28</v>
      </c>
      <c r="T276" s="1">
        <f t="array" ref="T276">INDEX(ICL3_classA!$G$2:$G$37,MATCH(MIN(ABS(AI276-ICL3_classA!$F$2:$F$37)),ABS(AI276-ICL3_classA!$F$2:$F$37),0))</f>
        <v>72</v>
      </c>
      <c r="U276" s="1">
        <f t="array" ref="U276">INDEX(ICL3_classA!$H$2:$H$37,MATCH(MIN(ABS(AI276-ICL3_classA!$F$2:$F$37)),ABS(AI276-ICL3_classA!$F$2:$F$37),0))</f>
        <v>24</v>
      </c>
      <c r="V276" s="1">
        <v>62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60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30</v>
      </c>
      <c r="AH276" s="1">
        <f>VLOOKUP(A276,'SegEnds_NonXtal_Prot#'!A:AL,28,FALSE)-VLOOKUP(A276,'SegEnds_NonXtal_Prot#'!A:AL,22,FALSE)</f>
        <v>59</v>
      </c>
      <c r="AI276" s="1">
        <f>VLOOKUP(A276,'SegEnds_NonXtal_Prot#'!A:AL,31,FALSE)-VLOOKUP(A276,'SegEnds_NonXtal_Prot#'!A:AL,28,FALSE)</f>
        <v>53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Xtal</v>
      </c>
    </row>
    <row r="277" spans="1:38" s="12" customFormat="1" x14ac:dyDescent="0.2">
      <c r="A277" s="1" t="s">
        <v>219</v>
      </c>
      <c r="B277" s="1" t="str">
        <f>VLOOKUP(A277,Xtal_Templ!A:B,2,FALSE)</f>
        <v>agtr1_human</v>
      </c>
      <c r="C277" s="5">
        <f>VLOOKUP($B277&amp;"__wt",'SegEnds_Xtal_BW#'!$A:$Z,3,FALSE)</f>
        <v>28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63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56</v>
      </c>
      <c r="O277" s="87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24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33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17</v>
      </c>
      <c r="AE277" s="1">
        <f>VLOOKUP(A277,'SegEnds_NonXtal_Prot#'!A:AL,16,FALSE)-VLOOKUP(A277,'SegEnds_NonXtal_Prot#'!A:AL,10,FALSE)</f>
        <v>49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47</v>
      </c>
      <c r="AI277" s="1">
        <f>VLOOKUP(A277,'SegEnds_NonXtal_Prot#'!A:AL,31,FALSE)-VLOOKUP(A277,'SegEnds_NonXtal_Prot#'!A:AL,28,FALSE)</f>
        <v>49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246</v>
      </c>
      <c r="B278" s="1" t="str">
        <f>VLOOKUP(A278,Xtal_Templ!A:B,2,FALSE)</f>
        <v>agtr1_human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34</v>
      </c>
      <c r="T278" s="1">
        <f t="array" ref="T278">INDEX(ICL3_classA!$G$2:$G$37,MATCH(MIN(ABS(AI278-ICL3_classA!$F$2:$F$37)),ABS(AI278-ICL3_classA!$F$2:$F$37),0))</f>
        <v>67</v>
      </c>
      <c r="U278" s="1">
        <f t="array" ref="U278">INDEX(ICL3_classA!$H$2:$H$37,MATCH(MIN(ABS(AI278-ICL3_classA!$F$2:$F$37)),ABS(AI278-ICL3_classA!$F$2:$F$37),0))</f>
        <v>28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23</v>
      </c>
      <c r="AH278" s="1">
        <f>VLOOKUP(A278,'SegEnds_NonXtal_Prot#'!A:AL,28,FALSE)-VLOOKUP(A278,'SegEnds_NonXtal_Prot#'!A:AL,22,FALSE)</f>
        <v>50</v>
      </c>
      <c r="AI278" s="1">
        <f>VLOOKUP(A278,'SegEnds_NonXtal_Prot#'!A:AL,31,FALSE)-VLOOKUP(A278,'SegEnds_NonXtal_Prot#'!A:AL,28,FALSE)</f>
        <v>45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276</v>
      </c>
      <c r="B279" s="1" t="str">
        <f>VLOOKUP(A279,Xtal_Templ!A:B,2,FALSE)</f>
        <v>oprk_human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23</v>
      </c>
      <c r="AH279" s="1">
        <f>VLOOKUP(A279,'SegEnds_NonXtal_Prot#'!A:AL,28,FALSE)-VLOOKUP(A279,'SegEnds_NonXtal_Prot#'!A:AL,22,FALSE)</f>
        <v>48</v>
      </c>
      <c r="AI279" s="1">
        <f>VLOOKUP(A279,'SegEnds_NonXtal_Prot#'!A:AL,31,FALSE)-VLOOKUP(A279,'SegEnds_NonXtal_Prot#'!A:AL,28,FALSE)</f>
        <v>46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277</v>
      </c>
      <c r="B280" s="1" t="str">
        <f>VLOOKUP(A280,Xtal_Templ!A:B,2,FALSE)</f>
        <v>p2ry1_human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 t="e">
        <f>VLOOKUP(A280,'SegEnds_NonXtal_Prot#'!A:AL,10,FALSE)-VLOOKUP(A280,'SegEnds_NonXtal_Prot#'!A:AL,7,FALSE)</f>
        <v>#VALUE!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23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46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289</v>
      </c>
      <c r="B281" s="1" t="str">
        <f>VLOOKUP(A281,Xtal_Templ!A:B,2,FALSE)</f>
        <v>par2_human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66</v>
      </c>
      <c r="I281" s="1">
        <f>VLOOKUP($B281&amp;"__wt",'SegEnds_Xtal_BW#'!$A:$Z,9,FALSE)</f>
        <v>47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v>38</v>
      </c>
      <c r="P281" s="1">
        <f>VLOOKUP($B281&amp;"__wt",'SegEnds_Xtal_BW#'!$A:$Z,16,FALSE)</f>
        <v>62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INDEX(ICL3_classA!$G$2:$G$37,MATCH(MIN(ABS(AI281-ICL3_classA!$F$2:$F$37)),ABS(AI281-ICL3_classA!$F$2:$F$37),0))</f>
        <v>67</v>
      </c>
      <c r="U281" s="1">
        <f t="array" ref="U281">INDEX(ICL3_classA!$H$2:$H$37,MATCH(MIN(ABS(AI281-ICL3_classA!$F$2:$F$37)),ABS(AI281-ICL3_classA!$F$2:$F$37),0))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28</v>
      </c>
      <c r="AH281" s="1">
        <f>VLOOKUP(A281,'SegEnds_NonXtal_Prot#'!A:AL,28,FALSE)-VLOOKUP(A281,'SegEnds_NonXtal_Prot#'!A:AL,22,FALSE)</f>
        <v>57</v>
      </c>
      <c r="AI281" s="1">
        <f>VLOOKUP(A281,'SegEnds_NonXtal_Prot#'!A:AL,31,FALSE)-VLOOKUP(A281,'SegEnds_NonXtal_Prot#'!A:AL,28,FALSE)</f>
        <v>46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1508</v>
      </c>
      <c r="B282" s="1" t="str">
        <f>VLOOKUP(A282,Xtal_Templ!A:B,2,FALSE)</f>
        <v>q80km9_hcmv</v>
      </c>
      <c r="C282" s="5">
        <f>VLOOKUP($B282&amp;"__wt",'SegEnds_Xtal_BW#'!$A:$Z,3,FALSE)</f>
        <v>24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 t="str">
        <f>VLOOKUP($B282&amp;"__wt",'SegEnds_Xtal_BW#'!$A:$Z,9,FALSE)</f>
        <v>-</v>
      </c>
      <c r="J282" s="1" t="str">
        <f>VLOOKUP($B282&amp;"__wt",'SegEnds_Xtal_BW#'!$A:$Z,10,FALSE)</f>
        <v>-</v>
      </c>
      <c r="K282" s="108">
        <v>21</v>
      </c>
      <c r="L282" s="1">
        <f>VLOOKUP($B282&amp;"__wt",'SegEnds_Xtal_BW#'!$A:$Z,12,FALSE)</f>
        <v>55</v>
      </c>
      <c r="M282" s="1" t="str">
        <f>VLOOKUP($B282&amp;"__wt",'SegEnds_Xtal_BW#'!$A:$Z,13,FALSE)</f>
        <v>-</v>
      </c>
      <c r="N282" s="12" t="str">
        <f>VLOOKUP($B282&amp;"__wt",'SegEnds_Xtal_BW#'!$A:$Z,14,FALSE)</f>
        <v>-</v>
      </c>
      <c r="O282" s="87">
        <f>VLOOKUP($B282&amp;"__wt",'SegEnds_Xtal_BW#'!$A:$Z,15,FALSE)</f>
        <v>38</v>
      </c>
      <c r="P282" s="1">
        <f>VLOOKUP($B282&amp;"__wt",'SegEnds_Xtal_BW#'!$A:$Z,16,FALSE)</f>
        <v>62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33</v>
      </c>
      <c r="T282" s="1">
        <f t="array" ref="T282">INDEX(ICL3_classA!$G$2:$G$37,MATCH(MIN(ABS(AI282-ICL3_classA!$F$2:$F$37)),ABS(AI282-ICL3_classA!$F$2:$F$37),0))</f>
        <v>68</v>
      </c>
      <c r="U282" s="1">
        <v>29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62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 t="e">
        <f>VLOOKUP(A282,'SegEnds_NonXtal_Prot#'!A:AL,13,FALSE)-VLOOKUP(A282,'SegEnds_NonXtal_Prot#'!A:AL,10,FALSE)</f>
        <v>#VALUE!</v>
      </c>
      <c r="AE282" s="1">
        <f>VLOOKUP(A282,'SegEnds_NonXtal_Prot#'!A:AL,16,FALSE)-VLOOKUP(A282,'SegEnds_NonXtal_Prot#'!A:AL,10,FALSE)</f>
        <v>50</v>
      </c>
      <c r="AF282" s="1" t="e">
        <f>VLOOKUP(A282,'SegEnds_NonXtal_Prot#'!A:AL,22,FALSE)-VLOOKUP(A282,'SegEnds_NonXtal_Prot#'!A:AL,19,FALSE)</f>
        <v>#VALUE!</v>
      </c>
      <c r="AG282" s="1">
        <f>VLOOKUP(A282,'SegEnds_NonXtal_Prot#'!A:AL,28,FALSE)-VLOOKUP(A282,'SegEnds_NonXtal_Prot#'!A:AL,25,FALSE)</f>
        <v>27</v>
      </c>
      <c r="AH282" s="1">
        <f>VLOOKUP(A282,'SegEnds_NonXtal_Prot#'!A:AL,28,FALSE)-VLOOKUP(A282,'SegEnds_NonXtal_Prot#'!A:AL,22,FALSE)</f>
        <v>48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373</v>
      </c>
      <c r="B283" s="1" t="str">
        <f>VLOOKUP(A283,Xtal_Templ!A:B,2,FALSE)</f>
        <v>agtr1_human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58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INDEX(ICL3_classA!$G$2:$G$37,MATCH(MIN(ABS(AI283-ICL3_classA!$F$2:$F$37)),ABS(AI283-ICL3_classA!$F$2:$F$37),0))</f>
        <v>74</v>
      </c>
      <c r="U283" s="1">
        <f t="array" ref="U283">INDEX(ICL3_classA!$H$2:$H$37,MATCH(MIN(ABS(AI283-ICL3_classA!$F$2:$F$37)),ABS(AI283-ICL3_classA!$F$2:$F$37),0))</f>
        <v>21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29</v>
      </c>
      <c r="AC283" s="1">
        <f>VLOOKUP(A283,'SegEnds_NonXtal_Prot#'!A:AL,10,FALSE)-VLOOKUP(A283,'SegEnds_NonXtal_Prot#'!A:AL,7,FALSE)</f>
        <v>16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 t="e">
        <f>VLOOKUP(A283,'SegEnds_NonXtal_Prot#'!A:AL,22,FALSE)-VLOOKUP(A283,'SegEnds_NonXtal_Prot#'!A:AL,19,FALSE)</f>
        <v>#VALUE!</v>
      </c>
      <c r="AG283" s="1">
        <f>VLOOKUP(A283,'SegEnds_NonXtal_Prot#'!A:AL,28,FALSE)-VLOOKUP(A283,'SegEnds_NonXtal_Prot#'!A:AL,25,FALSE)</f>
        <v>32</v>
      </c>
      <c r="AH283" s="1">
        <f>VLOOKUP(A283,'SegEnds_NonXtal_Prot#'!A:AL,28,FALSE)-VLOOKUP(A283,'SegEnds_NonXtal_Prot#'!A:AL,22,FALSE)</f>
        <v>57</v>
      </c>
      <c r="AI283" s="1">
        <f>VLOOKUP(A283,'SegEnds_NonXtal_Prot#'!A:AL,31,FALSE)-VLOOKUP(A283,'SegEnds_NonXtal_Prot#'!A:AL,28,FALSE)</f>
        <v>62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374</v>
      </c>
      <c r="B284" s="1" t="str">
        <f>VLOOKUP(A284,Xtal_Templ!A:B,2,FALSE)</f>
        <v>oprd_human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67</v>
      </c>
      <c r="U284" s="1">
        <f t="array" ref="U284">INDEX(ICL3_classA!$H$2:$H$37,MATCH(MIN(ABS(AI284-ICL3_classA!$F$2:$F$37)),ABS(AI284-ICL3_classA!$F$2:$F$37),0))</f>
        <v>28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30</v>
      </c>
      <c r="AC284" s="1">
        <f>VLOOKUP(A284,'SegEnds_NonXtal_Prot#'!A:AL,10,FALSE)-VLOOKUP(A284,'SegEnds_NonXtal_Prot#'!A:AL,7,FALSE)</f>
        <v>16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50</v>
      </c>
      <c r="AI284" s="1">
        <f>VLOOKUP(A284,'SegEnds_NonXtal_Prot#'!A:AL,31,FALSE)-VLOOKUP(A284,'SegEnds_NonXtal_Prot#'!A:AL,28,FALSE)</f>
        <v>45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386</v>
      </c>
      <c r="B285" s="1" t="str">
        <f>VLOOKUP(A285,Xtal_Templ!A:B,2,FALSE)</f>
        <v>p2ry1_human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INDEX(ICL3_classA!$G$2:$G$37,MATCH(MIN(ABS(AI285-ICL3_classA!$F$2:$F$37)),ABS(AI285-ICL3_classA!$F$2:$F$37),0))</f>
        <v>68</v>
      </c>
      <c r="U285" s="1">
        <f t="array" ref="U285">INDEX(ICL3_classA!$H$2:$H$37,MATCH(MIN(ABS(AI285-ICL3_classA!$F$2:$F$37)),ABS(AI285-ICL3_classA!$F$2:$F$37),0))</f>
        <v>24</v>
      </c>
      <c r="V285" s="1">
        <v>64</v>
      </c>
      <c r="W285" s="1">
        <v>24</v>
      </c>
      <c r="X285" s="125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19</v>
      </c>
      <c r="AE285" s="1">
        <f>VLOOKUP(A285,'SegEnds_NonXtal_Prot#'!A:AL,16,FALSE)-VLOOKUP(A285,'SegEnds_NonXtal_Prot#'!A:AL,10,FALSE)</f>
        <v>51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27</v>
      </c>
      <c r="AH285" s="1">
        <f>VLOOKUP(A285,'SegEnds_NonXtal_Prot#'!A:AL,28,FALSE)-VLOOKUP(A285,'SegEnds_NonXtal_Prot#'!A:AL,22,FALSE)</f>
        <v>52</v>
      </c>
      <c r="AI285" s="1">
        <f>VLOOKUP(A285,'SegEnds_NonXtal_Prot#'!A:AL,31,FALSE)-VLOOKUP(A285,'SegEnds_NonXtal_Prot#'!A:AL,28,FALSE)</f>
        <v>48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473</v>
      </c>
      <c r="B286" s="1" t="str">
        <f>VLOOKUP(A286,Xtal_Templ!A:B,2,FALSE)</f>
        <v>ta2r_human</v>
      </c>
      <c r="C286" s="5">
        <f>VLOOKUP($B286&amp;"__wt",'SegEnds_Xtal_BW#'!$A:$Z,3,FALSE)</f>
        <v>35</v>
      </c>
      <c r="D286" s="1">
        <f>VLOOKUP($B286&amp;"__wt",'SegEnds_Xtal_BW#'!$A:$Z,4,FALSE)</f>
        <v>62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67</v>
      </c>
      <c r="I286" s="1">
        <f>VLOOKUP($B286&amp;"__wt",'SegEnds_Xtal_BW#'!$A:$Z,9,FALSE)</f>
        <v>49</v>
      </c>
      <c r="J286" s="1">
        <f>VLOOKUP($B286&amp;"__wt",'SegEnds_Xtal_BW#'!$A:$Z,10,FALSE)</f>
        <v>53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33</v>
      </c>
      <c r="T286" s="1">
        <f t="array" ref="T286">INDEX(ICL3_classA!$G$2:$G$37,MATCH(MIN(ABS(AI286-ICL3_classA!$F$2:$F$37)),ABS(AI286-ICL3_classA!$F$2:$F$37),0))</f>
        <v>72</v>
      </c>
      <c r="U286" s="1">
        <f t="array" ref="U286">INDEX(ICL3_classA!$H$2:$H$37,MATCH(MIN(ABS(AI286-ICL3_classA!$F$2:$F$37)),ABS(AI286-ICL3_classA!$F$2:$F$37),0))</f>
        <v>24</v>
      </c>
      <c r="V286" s="108">
        <v>61</v>
      </c>
      <c r="W286" s="108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66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32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21</v>
      </c>
      <c r="AE286" s="1">
        <f>VLOOKUP(A286,'SegEnds_NonXtal_Prot#'!A:AL,16,FALSE)-VLOOKUP(A286,'SegEnds_NonXtal_Prot#'!A:AL,10,FALSE)</f>
        <v>56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24</v>
      </c>
      <c r="AH286" s="1">
        <f>VLOOKUP(A286,'SegEnds_NonXtal_Prot#'!A:AL,28,FALSE)-VLOOKUP(A286,'SegEnds_NonXtal_Prot#'!A:AL,22,FALSE)</f>
        <v>50</v>
      </c>
      <c r="AI286" s="1">
        <f>VLOOKUP(A286,'SegEnds_NonXtal_Prot#'!A:AL,31,FALSE)-VLOOKUP(A286,'SegEnds_NonXtal_Prot#'!A:AL,28,FALSE)</f>
        <v>53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924</v>
      </c>
      <c r="B287" s="1" t="str">
        <f>VLOOKUP(A287,Xtal_Templ!A:B,2,FALSE)</f>
        <v>us28_hcmva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48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142</v>
      </c>
      <c r="B288" s="1" t="str">
        <f>VLOOKUP(A288,Xtal_Templ!A:B,2,FALSE)</f>
        <v>c5ar1_human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f>VLOOKUP($B288&amp;"__wt",'SegEnds_Xtal_BW#'!$A:$Z,14,FALSE)</f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INDEX(ICL3_classA!$G$2:$G$37,MATCH(MIN(ABS(AI288-ICL3_classA!$F$2:$F$37)),ABS(AI288-ICL3_classA!$F$2:$F$37),0))</f>
        <v>64</v>
      </c>
      <c r="U288" s="1">
        <f t="array" ref="U288">INDEX(ICL3_classA!$H$2:$H$37,MATCH(MIN(ABS(AI288-ICL3_classA!$F$2:$F$37)),ABS(AI288-ICL3_classA!$F$2:$F$37),0))</f>
        <v>34</v>
      </c>
      <c r="V288" s="1">
        <v>64</v>
      </c>
      <c r="W288" s="1">
        <v>24</v>
      </c>
      <c r="X288" s="108">
        <v>56</v>
      </c>
      <c r="Y288" s="1">
        <f>VLOOKUP($B288&amp;"__wt",'SegEnds_Xtal_BW#'!$A:$Z,25,FALSE)</f>
        <v>47</v>
      </c>
      <c r="Z288" s="1">
        <f>VLOOKUP($B288&amp;"__wt",'SegEnds_Xtal_BW#'!$A:$Z,26,FALSE)</f>
        <v>56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30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48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23</v>
      </c>
      <c r="AH288" s="1">
        <f>VLOOKUP(A288,'SegEnds_NonXtal_Prot#'!A:AL,28,FALSE)-VLOOKUP(A288,'SegEnds_NonXtal_Prot#'!A:AL,22,FALSE)</f>
        <v>44</v>
      </c>
      <c r="AI288" s="1">
        <f>VLOOKUP(A288,'SegEnds_NonXtal_Prot#'!A:AL,31,FALSE)-VLOOKUP(A288,'SegEnds_NonXtal_Prot#'!A:AL,28,FALSE)</f>
        <v>37</v>
      </c>
      <c r="AJ288" s="1">
        <f>VLOOKUP(A288,'SegEnds_NonXtal_Prot#'!A:AL,34,FALSE)-VLOOKUP(A288,'SegEnds_NonXtal_Prot#'!A:AL,31,FALSE)</f>
        <v>46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234</v>
      </c>
      <c r="B289" s="1" t="str">
        <f>VLOOKUP(A289,Xtal_Templ!A:B,2,FALSE)</f>
        <v>oprk_human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23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27</v>
      </c>
      <c r="AH289" s="1">
        <f>VLOOKUP(A289,'SegEnds_NonXtal_Prot#'!A:AL,28,FALSE)-VLOOKUP(A289,'SegEnds_NonXtal_Prot#'!A:AL,22,FALSE)</f>
        <v>52</v>
      </c>
      <c r="AI289" s="1">
        <f>VLOOKUP(A289,'SegEnds_NonXtal_Prot#'!A:AL,31,FALSE)-VLOOKUP(A289,'SegEnds_NonXtal_Prot#'!A:AL,28,FALSE)</f>
        <v>51</v>
      </c>
      <c r="AJ289" s="1">
        <f>VLOOKUP(A289,'SegEnds_NonXtal_Prot#'!A:AL,34,FALSE)-VLOOKUP(A289,'SegEnds_NonXtal_Prot#'!A:AL,31,FALSE)</f>
        <v>46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292</v>
      </c>
      <c r="B290" s="1" t="str">
        <f>VLOOKUP(A290,Xtal_Templ!A:B,2,FALSE)</f>
        <v>pd2r2_human</v>
      </c>
      <c r="C290" s="5">
        <f>VLOOKUP($B290&amp;"__wt",'SegEnds_Xtal_BW#'!$A:$Z,3,FALSE)</f>
        <v>32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08">
        <v>29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30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64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51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46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293</v>
      </c>
      <c r="B291" s="1" t="str">
        <f>VLOOKUP(A291,Xtal_Templ!A:B,2,FALSE)</f>
        <v>pd2r2_human</v>
      </c>
      <c r="C291" s="5">
        <f>VLOOKUP($B291&amp;"__wt",'SegEnds_Xtal_BW#'!$A:$Z,3,FALSE)</f>
        <v>32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67</v>
      </c>
      <c r="U291" s="1">
        <f t="array" ref="U291">INDEX(ICL3_classA!$H$2:$H$37,MATCH(MIN(ABS(AI291-ICL3_classA!$F$2:$F$37)),ABS(AI291-ICL3_classA!$F$2:$F$37),0))</f>
        <v>26</v>
      </c>
      <c r="V291" s="1">
        <v>64</v>
      </c>
      <c r="W291" s="1">
        <v>24</v>
      </c>
      <c r="X291" s="108">
        <v>56</v>
      </c>
      <c r="Y291" s="1">
        <f>VLOOKUP($B291&amp;"__wt",'SegEnds_Xtal_BW#'!$A:$Z,25,FALSE)</f>
        <v>47</v>
      </c>
      <c r="Z291" s="1">
        <f>VLOOKUP($B291&amp;"__wt",'SegEnds_Xtal_BW#'!$A:$Z,26,FALSE)</f>
        <v>64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30</v>
      </c>
      <c r="AC291" s="1">
        <f>VLOOKUP(A291,'SegEnds_NonXtal_Prot#'!A:AL,10,FALSE)-VLOOKUP(A291,'SegEnds_NonXtal_Prot#'!A:AL,7,FALSE)</f>
        <v>17</v>
      </c>
      <c r="AD291" s="1">
        <f>VLOOKUP(A291,'SegEnds_NonXtal_Prot#'!A:AL,13,FALSE)-VLOOKUP(A291,'SegEnds_NonXtal_Prot#'!A:AL,10,FALSE)</f>
        <v>19</v>
      </c>
      <c r="AE291" s="1">
        <f>VLOOKUP(A291,'SegEnds_NonXtal_Prot#'!A:AL,16,FALSE)-VLOOKUP(A291,'SegEnds_NonXtal_Prot#'!A:AL,10,FALSE)</f>
        <v>51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46</v>
      </c>
      <c r="AJ291" s="1">
        <f>VLOOKUP(A291,'SegEnds_NonXtal_Prot#'!A:AL,34,FALSE)-VLOOKUP(A291,'SegEnds_NonXtal_Prot#'!A:AL,31,FALSE)</f>
        <v>46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345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v>68</v>
      </c>
      <c r="U292" s="1">
        <v>28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 t="e">
        <f>VLOOKUP(A292,'SegEnds_NonXtal_Prot#'!A:AL,10,FALSE)-VLOOKUP(A292,'SegEnds_NonXtal_Prot#'!A:AL,7,FALSE)</f>
        <v>#VALUE!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27</v>
      </c>
      <c r="AH292" s="1">
        <f>VLOOKUP(A292,'SegEnds_NonXtal_Prot#'!A:AL,28,FALSE)-VLOOKUP(A292,'SegEnds_NonXtal_Prot#'!A:AL,22,FALSE)</f>
        <v>53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363</v>
      </c>
      <c r="B293" s="1" t="str">
        <f>VLOOKUP(A293,Xtal_Templ!A:B,2,FALSE)</f>
        <v>pe2r3_human</v>
      </c>
      <c r="C293" s="5">
        <f>VLOOKUP($B293&amp;"__wt",'SegEnds_Xtal_BW#'!$A:$Z,3,FALSE)</f>
        <v>36</v>
      </c>
      <c r="D293" s="1">
        <f>VLOOKUP($B293&amp;"__wt",'SegEnds_Xtal_BW#'!$A:$Z,4,FALSE)</f>
        <v>62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68</v>
      </c>
      <c r="I293" s="1">
        <v>49</v>
      </c>
      <c r="J293" s="1">
        <f>VLOOKUP($B293&amp;"__wt",'SegEnds_Xtal_BW#'!$A:$Z,10,FALSE)</f>
        <v>56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INDEX(ICL3_classA!$G$2:$G$37,MATCH(MIN(ABS(AI293-ICL3_classA!$F$2:$F$37)),ABS(AI293-ICL3_classA!$F$2:$F$37),0))</f>
        <v>73</v>
      </c>
      <c r="U293" s="1">
        <f t="array" ref="U293">INDEX(ICL3_classA!$H$2:$H$37,MATCH(MIN(ABS(AI293-ICL3_classA!$F$2:$F$37)),ABS(AI293-ICL3_classA!$F$2:$F$37),0))</f>
        <v>22</v>
      </c>
      <c r="V293" s="1">
        <v>64</v>
      </c>
      <c r="W293" s="1">
        <v>24</v>
      </c>
      <c r="X293" s="1">
        <f>VLOOKUP($B293&amp;"__wt",'SegEnds_Xtal_BW#'!$A:$Z,24,FALSE)</f>
        <v>53</v>
      </c>
      <c r="Y293" s="1">
        <f>VLOOKUP($B293&amp;"__wt",'SegEnds_Xtal_BW#'!$A:$Z,25,FALSE)</f>
        <v>44</v>
      </c>
      <c r="Z293" s="1">
        <f>VLOOKUP($B293&amp;"__wt",'SegEnds_Xtal_BW#'!$A:$Z,26,FALSE)</f>
        <v>66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33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21</v>
      </c>
      <c r="AE293" s="1">
        <f>VLOOKUP(A293,'SegEnds_NonXtal_Prot#'!A:AL,16,FALSE)-VLOOKUP(A293,'SegEnds_NonXtal_Prot#'!A:AL,10,FALSE)</f>
        <v>56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33</v>
      </c>
      <c r="AH293" s="1">
        <f>VLOOKUP(A293,'SegEnds_NonXtal_Prot#'!A:AL,28,FALSE)-VLOOKUP(A293,'SegEnds_NonXtal_Prot#'!A:AL,22,FALSE)</f>
        <v>59</v>
      </c>
      <c r="AI293" s="1">
        <f>VLOOKUP(A293,'SegEnds_NonXtal_Prot#'!A:AL,31,FALSE)-VLOOKUP(A293,'SegEnds_NonXtal_Prot#'!A:AL,28,FALSE)</f>
        <v>56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370</v>
      </c>
      <c r="B294" s="1" t="str">
        <f>VLOOKUP(A294,Xtal_Templ!A:B,2,FALSE)</f>
        <v>ptafr_human</v>
      </c>
      <c r="C294" s="5">
        <f>VLOOKUP($B294&amp;"__wt",'SegEnds_Xtal_BW#'!$A:$Z,3,FALSE)</f>
        <v>27</v>
      </c>
      <c r="D294" s="1">
        <f>VLOOKUP($B294&amp;"__wt",'SegEnds_Xtal_BW#'!$A:$Z,4,FALSE)</f>
        <v>61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33</v>
      </c>
      <c r="T294" s="1">
        <f t="array" ref="T294">INDEX(ICL3_classA!$G$2:$G$37,MATCH(MIN(ABS(AI294-ICL3_classA!$F$2:$F$37)),ABS(AI294-ICL3_classA!$F$2:$F$37),0))</f>
        <v>67</v>
      </c>
      <c r="U294" s="1">
        <f t="array" ref="U294">INDEX(ICL3_classA!$H$2:$H$37,MATCH(MIN(ABS(AI294-ICL3_classA!$F$2:$F$37)),ABS(AI294-ICL3_classA!$F$2:$F$37),0))</f>
        <v>26</v>
      </c>
      <c r="V294" s="1">
        <v>64</v>
      </c>
      <c r="W294" s="1">
        <v>24</v>
      </c>
      <c r="X294" s="1">
        <f>VLOOKUP($B294&amp;"__wt",'SegEnds_Xtal_BW#'!$A:$Z,24,FALSE)</f>
        <v>59</v>
      </c>
      <c r="Y294" s="1">
        <f>VLOOKUP($B294&amp;"__wt",'SegEnds_Xtal_BW#'!$A:$Z,25,FALSE)</f>
        <v>50</v>
      </c>
      <c r="Z294" s="1">
        <f>VLOOKUP($B294&amp;"__wt",'SegEnds_Xtal_BW#'!$A:$Z,26,FALSE)</f>
        <v>63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25</v>
      </c>
      <c r="AH294" s="1">
        <f>VLOOKUP(A294,'SegEnds_NonXtal_Prot#'!A:AL,28,FALSE)-VLOOKUP(A294,'SegEnds_NonXtal_Prot#'!A:AL,22,FALSE)</f>
        <v>56</v>
      </c>
      <c r="AI294" s="1">
        <f>VLOOKUP(A294,'SegEnds_NonXtal_Prot#'!A:AL,31,FALSE)-VLOOKUP(A294,'SegEnds_NonXtal_Prot#'!A:AL,28,FALSE)</f>
        <v>46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236</v>
      </c>
      <c r="B295" s="1" t="str">
        <f>VLOOKUP(A295,Xtal_Templ!A:B,2,FALSE)</f>
        <v>ccr5_human</v>
      </c>
      <c r="C295" s="5">
        <f>VLOOKUP($B295&amp;"__wt",'SegEnds_Xtal_BW#'!$A:$Z,3,FALSE)</f>
        <v>24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24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34</v>
      </c>
      <c r="T295" s="1">
        <f t="array" ref="T295">INDEX(ICL3_classA!$G$2:$G$37,MATCH(MIN(ABS(AI295-ICL3_classA!$F$2:$F$37)),ABS(AI295-ICL3_classA!$F$2:$F$37),0))</f>
        <v>68</v>
      </c>
      <c r="U295" s="1">
        <f t="array" ref="U295">INDEX(ICL3_classA!$H$2:$H$37,MATCH(MIN(ABS(AI295-ICL3_classA!$F$2:$F$37)),ABS(AI295-ICL3_classA!$F$2:$F$37),0))</f>
        <v>24</v>
      </c>
      <c r="V295" s="1">
        <v>64</v>
      </c>
      <c r="W295" s="1">
        <v>24</v>
      </c>
      <c r="X295" s="125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50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21</v>
      </c>
      <c r="AH295" s="1">
        <f>VLOOKUP(A295,'SegEnds_NonXtal_Prot#'!A:AL,28,FALSE)-VLOOKUP(A295,'SegEnds_NonXtal_Prot#'!A:AL,22,FALSE)</f>
        <v>44</v>
      </c>
      <c r="AI295" s="1">
        <f>VLOOKUP(A295,'SegEnds_NonXtal_Prot#'!A:AL,31,FALSE)-VLOOKUP(A295,'SegEnds_NonXtal_Prot#'!A:AL,28,FALSE)</f>
        <v>48</v>
      </c>
      <c r="AJ295" s="1">
        <f>VLOOKUP(A295,'SegEnds_NonXtal_Prot#'!A:AL,34,FALSE)-VLOOKUP(A295,'SegEnds_NonXtal_Prot#'!A:AL,31,FALSE)</f>
        <v>47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214</v>
      </c>
      <c r="B296" s="1" t="str">
        <f>VLOOKUP(A296,Xtal_Templ!A:B,2,FALSE)</f>
        <v>par2_human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f>VLOOKUP($B296&amp;"__wt",'SegEnds_Xtal_BW#'!$A:$Z,8,FALSE)</f>
        <v>66</v>
      </c>
      <c r="I296" s="1">
        <f>VLOOKUP($B296&amp;"__wt",'SegEnds_Xtal_BW#'!$A:$Z,9,FALSE)</f>
        <v>47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56</v>
      </c>
      <c r="O296" s="87">
        <f>VLOOKUP($B296&amp;"__wt",'SegEnds_Xtal_BW#'!$A:$Z,15,FALSE)</f>
        <v>38</v>
      </c>
      <c r="P296" s="1">
        <f>VLOOKUP($B296&amp;"__wt",'SegEnds_Xtal_BW#'!$A:$Z,16,FALSE)</f>
        <v>62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31</v>
      </c>
      <c r="T296" s="1">
        <f t="array" ref="T296">INDEX(ICL3_classA!$G$2:$G$37,MATCH(MIN(ABS(AI296-ICL3_classA!$F$2:$F$37)),ABS(AI296-ICL3_classA!$F$2:$F$37),0))</f>
        <v>67</v>
      </c>
      <c r="U296" s="1">
        <f t="array" ref="U296">INDEX(ICL3_classA!$H$2:$H$37,MATCH(MIN(ABS(AI296-ICL3_classA!$F$2:$F$37)),ABS(AI296-ICL3_classA!$F$2:$F$37),0))</f>
        <v>26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61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 t="e">
        <f>VLOOKUP(A296,'SegEnds_NonXtal_Prot#'!A:AL,10,FALSE)-VLOOKUP(A296,'SegEnds_NonXtal_Prot#'!A:AL,7,FALSE)</f>
        <v>#VALUE!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25</v>
      </c>
      <c r="AH296" s="1">
        <f>VLOOKUP(A296,'SegEnds_NonXtal_Prot#'!A:AL,28,FALSE)-VLOOKUP(A296,'SegEnds_NonXtal_Prot#'!A:AL,22,FALSE)</f>
        <v>44</v>
      </c>
      <c r="AI296" s="1">
        <f>VLOOKUP(A296,'SegEnds_NonXtal_Prot#'!A:AL,31,FALSE)-VLOOKUP(A296,'SegEnds_NonXtal_Prot#'!A:AL,28,FALSE)</f>
        <v>46</v>
      </c>
      <c r="AJ296" s="1">
        <f>VLOOKUP(A296,'SegEnds_NonXtal_Prot#'!A:AL,34,FALSE)-VLOOKUP(A296,'SegEnds_NonXtal_Prot#'!A:AL,31,FALSE)</f>
        <v>48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351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67</v>
      </c>
      <c r="U297" s="1">
        <f t="array" ref="U297">INDEX(ICL3_classA!$H$2:$H$37,MATCH(MIN(ABS(AI297-ICL3_classA!$F$2:$F$37)),ABS(AI297-ICL3_classA!$F$2:$F$37),0))</f>
        <v>26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26</v>
      </c>
      <c r="AH297" s="1">
        <f>VLOOKUP(A297,'SegEnds_NonXtal_Prot#'!A:AL,28,FALSE)-VLOOKUP(A297,'SegEnds_NonXtal_Prot#'!A:AL,22,FALSE)</f>
        <v>63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55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329</v>
      </c>
      <c r="B298" s="1" t="str">
        <f>VLOOKUP(A298,Xtal_Templ!A:B,2,FALSE)</f>
        <v>npy1r_human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31</v>
      </c>
      <c r="T298" s="1">
        <f t="array" ref="T298">INDEX(ICL3_classA!$G$2:$G$37,MATCH(MIN(ABS(AI298-ICL3_classA!$F$2:$F$37)),ABS(AI298-ICL3_classA!$F$2:$F$37),0))</f>
        <v>73</v>
      </c>
      <c r="U298" s="1">
        <f t="array" ref="U298">INDEX(ICL3_classA!$H$2:$H$37,MATCH(MIN(ABS(AI298-ICL3_classA!$F$2:$F$37)),ABS(AI298-ICL3_classA!$F$2:$F$37),0))</f>
        <v>22</v>
      </c>
      <c r="V298" s="1">
        <v>61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 t="e">
        <f>VLOOKUP(A298,'SegEnds_NonXtal_Prot#'!A:AL,22,FALSE)-VLOOKUP(A298,'SegEnds_NonXtal_Prot#'!A:AL,19,FALSE)</f>
        <v>#VALUE!</v>
      </c>
      <c r="AG298" s="1" t="e">
        <f>VLOOKUP(A298,'SegEnds_NonXtal_Prot#'!A:AL,28,FALSE)-VLOOKUP(A298,'SegEnds_NonXtal_Prot#'!A:AL,25,FALSE)</f>
        <v>#VALUE!</v>
      </c>
      <c r="AH298" s="1">
        <f>VLOOKUP(A298,'SegEnds_NonXtal_Prot#'!A:AL,28,FALSE)-VLOOKUP(A298,'SegEnds_NonXtal_Prot#'!A:AL,22,FALSE)</f>
        <v>62</v>
      </c>
      <c r="AI298" s="1">
        <f>VLOOKUP(A298,'SegEnds_NonXtal_Prot#'!A:AL,31,FALSE)-VLOOKUP(A298,'SegEnds_NonXtal_Prot#'!A:AL,28,FALSE)</f>
        <v>55</v>
      </c>
      <c r="AJ298" s="1" t="e">
        <f>VLOOKUP(A298,'SegEnds_NonXtal_Prot#'!A:AL,34,FALSE)-VLOOKUP(A298,'SegEnds_NonXtal_Prot#'!A:AL,31,FALSE)</f>
        <v>#VALUE!</v>
      </c>
      <c r="AK298" s="1" t="e">
        <f>VLOOKUP(A298,'SegEnds_NonXtal_Prot#'!A:AL,37,FALSE)-VLOOKUP(A298,'SegEnds_NonXtal_Prot#'!A:AL,34,FALSE)</f>
        <v>#VALUE!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411</v>
      </c>
      <c r="B299" s="42" t="str">
        <f>VLOOKUP(A299,Xtal_Templ!A:B,2,FALSE)</f>
        <v>glp1r_human</v>
      </c>
      <c r="C299" s="43">
        <f>VLOOKUP($B299&amp;"__wt",'SegEnds_Xtal_BW#'!$A:$Z,3,FALSE)</f>
        <v>29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38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39</v>
      </c>
      <c r="T299" s="42">
        <v>69</v>
      </c>
      <c r="U299" s="42">
        <v>25</v>
      </c>
      <c r="V299" s="4">
        <f>VLOOKUP($B299&amp;"__wt",'SegEnds_Xtal_BW#'!$A:$Z,22,FALSE)</f>
        <v>53</v>
      </c>
      <c r="W299" s="42">
        <v>31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55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20</v>
      </c>
      <c r="AH299" s="1">
        <f>VLOOKUP(A299,'SegEnds_NonXtal_Prot#'!A:AL,28,FALSE)-VLOOKUP(A299,'SegEnds_NonXtal_Prot#'!A:AL,22,FALSE)</f>
        <v>42</v>
      </c>
      <c r="AI299" s="42">
        <f>VLOOKUP(A299,'SegEnds_NonXtal_Prot#'!A:AL,31,FALSE)-VLOOKUP(A299,'SegEnds_NonXtal_Prot#'!A:AL,28,FALSE)</f>
        <v>52</v>
      </c>
      <c r="AJ299" s="42">
        <f>VLOOKUP(A299,'SegEnds_NonXtal_Prot#'!A:AL,34,FALSE)-VLOOKUP(A299,'SegEnds_NonXtal_Prot#'!A:AL,31,FALSE)</f>
        <v>28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4" t="s">
        <v>404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5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5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8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8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">
        <f>VLOOKUP(A300,'SegEnds_NonXtal_Prot#'!A:AL,10,FALSE)-VLOOKUP(A300,'SegEnds_NonXtal_Prot#'!A:AL,7,FALSE)</f>
        <v>15</v>
      </c>
      <c r="AD300" s="4" t="e">
        <f>VLOOKUP(A300,'SegEnds_NonXtal_Prot#'!A:AL,13,FALSE)-VLOOKUP(A300,'SegEnds_NonXtal_Prot#'!A:AL,10,FALSE)</f>
        <v>#VALUE!</v>
      </c>
      <c r="AE300" s="4">
        <f>VLOOKUP(A300,'SegEnds_NonXtal_Prot#'!A:AL,16,FALSE)-VLOOKUP(A300,'SegEnds_NonXtal_Prot#'!A:AL,10,FALSE)</f>
        <v>55</v>
      </c>
      <c r="AF300" s="1" t="e">
        <f>VLOOKUP(A300,'SegEnds_NonXtal_Prot#'!A:AL,22,FALSE)-VLOOKUP(A300,'SegEnds_NonXtal_Prot#'!A:AL,19,FALSE)</f>
        <v>#VALUE!</v>
      </c>
      <c r="AG300" s="4">
        <f>VLOOKUP(A300,'SegEnds_NonXtal_Prot#'!A:AL,28,FALSE)-VLOOKUP(A300,'SegEnds_NonXtal_Prot#'!A:AL,25,FALSE)</f>
        <v>20</v>
      </c>
      <c r="AH300" s="1">
        <f>VLOOKUP(A300,'SegEnds_NonXtal_Prot#'!A:AL,28,FALSE)-VLOOKUP(A300,'SegEnds_NonXtal_Prot#'!A:AL,22,FALSE)</f>
        <v>42</v>
      </c>
      <c r="AI300" s="4">
        <f>VLOOKUP(A300,'SegEnds_NonXtal_Prot#'!A:AL,31,FALSE)-VLOOKUP(A300,'SegEnds_NonXtal_Prot#'!A:AL,28,FALSE)</f>
        <v>52</v>
      </c>
      <c r="AJ300" s="4">
        <f>VLOOKUP(A300,'SegEnds_NonXtal_Prot#'!A:AL,34,FALSE)-VLOOKUP(A300,'SegEnds_NonXtal_Prot#'!A:AL,31,FALSE)</f>
        <v>29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408</v>
      </c>
      <c r="B301" s="1" t="str">
        <f>VLOOKUP(A301,Xtal_Templ!A:B,2,FALSE)</f>
        <v>pth1r_human</v>
      </c>
      <c r="C301" s="5">
        <f>VLOOKUP($B301&amp;"__wt",'SegEnds_Xtal_BW#'!$A:$Z,3,FALSE)</f>
        <v>21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5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8">
        <v>23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7">
        <f>VLOOKUP($B301&amp;"__wt",'SegEnds_Xtal_BW#'!$A:$Z,15,FALSE)</f>
        <v>37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8">
        <v>39</v>
      </c>
      <c r="T301" s="1">
        <v>69</v>
      </c>
      <c r="U301" s="1">
        <v>25</v>
      </c>
      <c r="V301" s="1">
        <f>VLOOKUP($B301&amp;"__wt",'SegEnds_Xtal_BW#'!$A:$Z,22,FALSE)</f>
        <v>54</v>
      </c>
      <c r="W301" s="1"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55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20</v>
      </c>
      <c r="AH301" s="1">
        <f>VLOOKUP(A301,'SegEnds_NonXtal_Prot#'!A:AL,28,FALSE)-VLOOKUP(A301,'SegEnds_NonXtal_Prot#'!A:AL,22,FALSE)</f>
        <v>42</v>
      </c>
      <c r="AI301" s="1">
        <f>VLOOKUP(A301,'SegEnds_NonXtal_Prot#'!A:AL,31,FALSE)-VLOOKUP(A301,'SegEnds_NonXtal_Prot#'!A:AL,28,FALSE)</f>
        <v>52</v>
      </c>
      <c r="AJ301" s="1">
        <f>VLOOKUP(A301,'SegEnds_NonXtal_Prot#'!A:AL,34,FALSE)-VLOOKUP(A301,'SegEnds_NonXtal_Prot#'!A:AL,31,FALSE)</f>
        <v>29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4" t="s">
        <v>412</v>
      </c>
      <c r="B302" s="4" t="str">
        <f>VLOOKUP(A302,Xtal_Templ!A:B,2,FALSE)</f>
        <v>pth1r_human</v>
      </c>
      <c r="C302" s="5">
        <f>VLOOKUP($B302&amp;"__wt",'SegEnds_Xtal_BW#'!$A:$Z,3,FALSE)</f>
        <v>21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5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8">
        <v>39</v>
      </c>
      <c r="T302" s="4">
        <v>69</v>
      </c>
      <c r="U302" s="4">
        <v>25</v>
      </c>
      <c r="V302" s="1">
        <f>VLOOKUP($B302&amp;"__wt",'SegEnds_Xtal_BW#'!$A:$Z,22,FALSE)</f>
        <v>54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55</v>
      </c>
      <c r="AF302" s="1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19</v>
      </c>
      <c r="AH302" s="1">
        <f>VLOOKUP(A302,'SegEnds_NonXtal_Prot#'!A:AL,28,FALSE)-VLOOKUP(A302,'SegEnds_NonXtal_Prot#'!A:AL,22,FALSE)</f>
        <v>41</v>
      </c>
      <c r="AI302" s="4">
        <f>VLOOKUP(A302,'SegEnds_NonXtal_Prot#'!A:AL,31,FALSE)-VLOOKUP(A302,'SegEnds_NonXtal_Prot#'!A:AL,28,FALSE)</f>
        <v>52</v>
      </c>
      <c r="AJ302" s="4">
        <f>VLOOKUP(A302,'SegEnds_NonXtal_Prot#'!A:AL,34,FALSE)-VLOOKUP(A302,'SegEnds_NonXtal_Prot#'!A:AL,31,FALSE)</f>
        <v>29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413</v>
      </c>
      <c r="B303" s="4" t="str">
        <f>VLOOKUP(A303,Xtal_Templ!A:B,2,FALSE)</f>
        <v>pth1r_human</v>
      </c>
      <c r="C303" s="5">
        <f>VLOOKUP($B303&amp;"__wt",'SegEnds_Xtal_BW#'!$A:$Z,3,FALSE)</f>
        <v>21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v>69</v>
      </c>
      <c r="U303" s="4">
        <v>25</v>
      </c>
      <c r="V303" s="4">
        <f>VLOOKUP($B303&amp;"__wt",'SegEnds_Xtal_BW#'!$A:$Z,22,FALSE)</f>
        <v>54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58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NoXtal</v>
      </c>
    </row>
    <row r="304" spans="1:38" x14ac:dyDescent="0.2">
      <c r="A304" s="4" t="s">
        <v>401</v>
      </c>
      <c r="B304" s="4" t="str">
        <f>VLOOKUP(A304,Xtal_Templ!A:B,2,FALSE)</f>
        <v>calcr_human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41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5">
        <v>40</v>
      </c>
      <c r="T304" s="4">
        <f>VLOOKUP($B304&amp;"__wt",'SegEnds_Xtal_BW#'!$A:$Z,20,FALSE)</f>
        <v>70</v>
      </c>
      <c r="U304" s="4">
        <f>VLOOKUP($B304&amp;"__wt",'SegEnds_Xtal_BW#'!$A:$Z,21,FALSE)</f>
        <v>30</v>
      </c>
      <c r="V304" s="4">
        <f>VLOOKUP($B304&amp;"__wt",'SegEnds_Xtal_BW#'!$A:$Z,22,FALSE)</f>
        <v>53</v>
      </c>
      <c r="W304" s="115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1" t="s">
        <v>402</v>
      </c>
      <c r="B305" s="1" t="str">
        <f>VLOOKUP(A305,Xtal_Templ!A:B,2,FALSE)</f>
        <v>calrl_human</v>
      </c>
      <c r="C305" s="5">
        <f>VLOOKUP($B305&amp;"__wt",'SegEnds_Xtal_BW#'!$A:$Z,3,FALSE)</f>
        <v>24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5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41</v>
      </c>
      <c r="P305" s="1">
        <f>VLOOKUP($B305&amp;"__wt",'SegEnds_Xtal_BW#'!$A:$Z,16,FALSE)</f>
        <v>67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70</v>
      </c>
      <c r="U305" s="1">
        <f>VLOOKUP($B305&amp;"__wt",'SegEnds_Xtal_BW#'!$A:$Z,21,FALSE)</f>
        <v>30</v>
      </c>
      <c r="V305" s="1">
        <f>VLOOKUP($B305&amp;"__wt",'SegEnds_Xtal_BW#'!$A:$Z,22,FALSE)</f>
        <v>53</v>
      </c>
      <c r="W305" s="108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38</v>
      </c>
      <c r="B306" s="4" t="str">
        <f>VLOOKUP(A306,Xtal_Templ!A:B,2,FALSE)</f>
        <v>crfr1_human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">
        <v>63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22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5">
        <v>39</v>
      </c>
      <c r="T306" s="4">
        <f>VLOOKUP($B306&amp;"__wt",'SegEnds_Xtal_BW#'!$A:$Z,20,FALSE)</f>
        <v>69</v>
      </c>
      <c r="U306" s="4">
        <f>VLOOKUP($B306&amp;"__wt",'SegEnds_Xtal_BW#'!$A:$Z,21,FALSE)</f>
        <v>25</v>
      </c>
      <c r="V306" s="4">
        <f>VLOOKUP($B306&amp;"__wt",'SegEnds_Xtal_BW#'!$A:$Z,22,FALSE)</f>
        <v>53</v>
      </c>
      <c r="W306" s="4">
        <v>29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51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21</v>
      </c>
      <c r="AH306" s="4">
        <f>VLOOKUP(A306,'SegEnds_NonXtal_Prot#'!A:AL,28,FALSE)-VLOOKUP(A306,'SegEnds_NonXtal_Prot#'!A:AL,22,FALSE)</f>
        <v>43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31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Xtal</v>
      </c>
    </row>
    <row r="307" spans="1:38" x14ac:dyDescent="0.2">
      <c r="A307" s="4" t="s">
        <v>403</v>
      </c>
      <c r="B307" s="4" t="str">
        <f>VLOOKUP(A307,Xtal_Templ!A:B,2,FALSE)</f>
        <v>crfr1_human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">
        <v>63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5">
        <v>39</v>
      </c>
      <c r="T307" s="4">
        <f>VLOOKUP($B307&amp;"__wt",'SegEnds_Xtal_BW#'!$A:$Z,20,FALSE)</f>
        <v>69</v>
      </c>
      <c r="U307" s="4">
        <f>VLOOKUP($B307&amp;"__wt",'SegEnds_Xtal_BW#'!$A:$Z,21,FALSE)</f>
        <v>25</v>
      </c>
      <c r="V307" s="4">
        <f>VLOOKUP($B307&amp;"__wt",'SegEnds_Xtal_BW#'!$A:$Z,22,FALSE)</f>
        <v>53</v>
      </c>
      <c r="W307" s="4">
        <v>29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50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21</v>
      </c>
      <c r="AH307" s="4">
        <f>VLOOKUP(A307,'SegEnds_NonXtal_Prot#'!A:AL,28,FALSE)-VLOOKUP(A307,'SegEnds_NonXtal_Prot#'!A:AL,22,FALSE)</f>
        <v>43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31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NoXtal</v>
      </c>
    </row>
    <row r="308" spans="1:38" x14ac:dyDescent="0.2">
      <c r="A308" s="4" t="s">
        <v>410</v>
      </c>
      <c r="B308" s="4" t="str">
        <f>VLOOKUP(A308,Xtal_Templ!A:B,2,FALSE)</f>
        <v>pth1r_human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5">
        <v>39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74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19</v>
      </c>
      <c r="AH308" s="4">
        <f>VLOOKUP(A308,'SegEnds_NonXtal_Prot#'!A:AL,28,FALSE)-VLOOKUP(A308,'SegEnds_NonXtal_Prot#'!A:AL,22,FALSE)</f>
        <v>41</v>
      </c>
      <c r="AI308" s="4">
        <f>VLOOKUP(A308,'SegEnds_NonXtal_Prot#'!A:AL,31,FALSE)-VLOOKUP(A308,'SegEnds_NonXtal_Prot#'!A:AL,28,FALSE)</f>
        <v>53</v>
      </c>
      <c r="AJ308" s="4">
        <f>VLOOKUP(A308,'SegEnds_NonXtal_Prot#'!A:AL,34,FALSE)-VLOOKUP(A308,'SegEnds_NonXtal_Prot#'!A:AL,31,FALSE)</f>
        <v>32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NoXtal</v>
      </c>
    </row>
    <row r="309" spans="1:38" x14ac:dyDescent="0.2">
      <c r="A309" s="4" t="s">
        <v>1421</v>
      </c>
      <c r="B309" s="4" t="str">
        <f>VLOOKUP(A309,Xtal_Templ!A:B,2,FALSE)</f>
        <v>g1sgd4_rabit</v>
      </c>
      <c r="C309" s="5">
        <f>VLOOKUP($B309&amp;"__wt",'SegEnds_Xtal_BW#'!$A:$Z,3,FALSE)</f>
        <v>28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74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5">
        <v>39</v>
      </c>
      <c r="T309" s="4">
        <f>VLOOKUP($B309&amp;"__wt",'SegEnds_Xtal_BW#'!$A:$Z,20,FALSE)</f>
        <v>71</v>
      </c>
      <c r="U309" s="4">
        <f>VLOOKUP($B309&amp;"__wt",'SegEnds_Xtal_BW#'!$A:$Z,21,FALSE)</f>
        <v>30</v>
      </c>
      <c r="V309" s="4">
        <f>VLOOKUP($B309&amp;"__wt",'SegEnds_Xtal_BW#'!$A:$Z,22,FALSE)</f>
        <v>53</v>
      </c>
      <c r="W309" s="115">
        <v>30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64</v>
      </c>
      <c r="AF309" s="4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4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4" t="str">
        <f>IF(ISERROR(MATCH(A309,'SegEnds_Xtal_Prot#'!B:B, 0)), "NoXtal", "Xtal")</f>
        <v>Xtal</v>
      </c>
    </row>
    <row r="310" spans="1:38" x14ac:dyDescent="0.2">
      <c r="A310" s="4" t="s">
        <v>405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8">
        <v>39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61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1" t="s">
        <v>406</v>
      </c>
      <c r="B311" s="1" t="str">
        <f>VLOOKUP(A311,Xtal_Templ!A:B,2,FALSE)</f>
        <v>glp1r_human</v>
      </c>
      <c r="C311" s="5">
        <f>VLOOKUP($B311&amp;"__wt",'SegEnds_Xtal_BW#'!$A:$Z,3,FALSE)</f>
        <v>29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08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08">
        <v>39</v>
      </c>
      <c r="T311" s="1">
        <f>VLOOKUP($B311&amp;"__wt",'SegEnds_Xtal_BW#'!$A:$Z,20,FALSE)</f>
        <v>71</v>
      </c>
      <c r="U311" s="1">
        <f>VLOOKUP($B311&amp;"__wt",'SegEnds_Xtal_BW#'!$A:$Z,21,FALSE)</f>
        <v>28</v>
      </c>
      <c r="V311" s="1">
        <f>VLOOKUP($B311&amp;"__wt",'SegEnds_Xtal_BW#'!$A:$Z,22,FALSE)</f>
        <v>53</v>
      </c>
      <c r="W311" s="1">
        <v>28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50</v>
      </c>
      <c r="AJ311" s="1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Xtal</v>
      </c>
    </row>
    <row r="312" spans="1:38" x14ac:dyDescent="0.2">
      <c r="A312" s="4" t="s">
        <v>407</v>
      </c>
      <c r="B312" s="4" t="str">
        <f>VLOOKUP(A312,Xtal_Templ!A:B,2,FALSE)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08">
        <v>39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32</v>
      </c>
      <c r="B313" s="4" t="str">
        <f>VLOOKUP(A313,Xtal_Templ!A:B,2,FALSE)</f>
        <v>glr_human</v>
      </c>
      <c r="C313" s="4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v>36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s="45" customFormat="1" x14ac:dyDescent="0.2">
      <c r="A314" s="45" t="s">
        <v>409</v>
      </c>
      <c r="B314" s="45" t="str">
        <f>VLOOKUP(A314,Xtal_Templ!A:B,2,FALSE)</f>
        <v>pth1r_human</v>
      </c>
      <c r="C314" s="46">
        <f>VLOOKUP($B314&amp;"__wt",'SegEnds_Xtal_BW#'!$A:$Z,3,FALSE)</f>
        <v>21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76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Xtal</v>
      </c>
    </row>
    <row r="315" spans="1:38" x14ac:dyDescent="0.2">
      <c r="A315" s="1" t="s">
        <v>1183</v>
      </c>
      <c r="B315" s="1" t="str">
        <f>VLOOKUP(A315,Xtal_Templ!A:B,2,FALSE)</f>
        <v>glp1r_human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33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28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45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43</v>
      </c>
      <c r="AI315" s="1">
        <f>VLOOKUP(A315,'SegEnds_NonXtal_Prot#'!A:AL,31,FALSE)-VLOOKUP(A315,'SegEnds_NonXtal_Prot#'!A:AL,28,FALSE)</f>
        <v>66</v>
      </c>
      <c r="AJ315" s="1">
        <f>VLOOKUP(A315,'SegEnds_NonXtal_Prot#'!A:AL,34,FALSE)-VLOOKUP(A315,'SegEnds_NonXtal_Prot#'!A:AL,31,FALSE)</f>
        <v>20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1189</v>
      </c>
      <c r="B316" s="1" t="str">
        <f>VLOOKUP(A316,Xtal_Templ!A:B,2,FALSE)</f>
        <v>calrl_human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41</v>
      </c>
      <c r="P316" s="1">
        <f>VLOOKUP($B316&amp;"__wt",'SegEnds_Xtal_BW#'!$A:$Z,16,FALSE)</f>
        <v>67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08">
        <v>50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31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51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46</v>
      </c>
      <c r="AI316" s="1">
        <f>VLOOKUP(A316,'SegEnds_NonXtal_Prot#'!A:AL,31,FALSE)-VLOOKUP(A316,'SegEnds_NonXtal_Prot#'!A:AL,28,FALSE)</f>
        <v>57</v>
      </c>
      <c r="AJ316" s="1">
        <f>VLOOKUP(A316,'SegEnds_NonXtal_Prot#'!A:AL,34,FALSE)-VLOOKUP(A316,'SegEnds_NonXtal_Prot#'!A:AL,31,FALSE)</f>
        <v>23</v>
      </c>
      <c r="AK316" s="1" t="e">
        <f>VLOOKUP(A316,'SegEnds_NonXtal_Prot#'!A:AL,37,FALSE)-VLOOKUP(A316,'SegEnds_NonXtal_Prot#'!A:AL,34,FALSE)</f>
        <v>#VALUE!</v>
      </c>
      <c r="AL316" s="1" t="str">
        <f>IF(ISERROR(MATCH(A316,'SegEnds_Xtal_Prot#'!B:B, 0)), "NoXtal", "Xtal")</f>
        <v>NoXtal</v>
      </c>
    </row>
    <row r="317" spans="1:38" x14ac:dyDescent="0.2">
      <c r="A317" s="1" t="s">
        <v>1195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33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51</v>
      </c>
      <c r="AI317" s="1">
        <f>VLOOKUP(A317,'SegEnds_NonXtal_Prot#'!A:AL,31,FALSE)-VLOOKUP(A317,'SegEnds_NonXtal_Prot#'!A:AL,28,FALSE)</f>
        <v>54</v>
      </c>
      <c r="AJ317" s="1">
        <f>VLOOKUP(A317,'SegEnds_NonXtal_Prot#'!A:AL,34,FALSE)-VLOOKUP(A317,'SegEnds_NonXtal_Prot#'!A:AL,31,FALSE)</f>
        <v>26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1182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31</v>
      </c>
      <c r="AC318" s="1">
        <f>VLOOKUP(A318,'SegEnds_NonXtal_Prot#'!A:AL,10,FALSE)-VLOOKUP(A318,'SegEnds_NonXtal_Prot#'!A:AL,7,FALSE)</f>
        <v>18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52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4" t="s">
        <v>1184</v>
      </c>
      <c r="B319" s="4" t="str">
        <f>VLOOKUP(A319,Xtal_Templ!A:B,2,FALSE)</f>
        <v>pth1r_human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37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54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4" t="e">
        <f>VLOOKUP(A319,'SegEnds_NonXtal_Prot#'!A:AL,10,FALSE)-VLOOKUP(A319,'SegEnds_NonXtal_Prot#'!A:AL,7,FALSE)</f>
        <v>#VALUE!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4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4">
        <f>VLOOKUP(A319,'SegEnds_NonXtal_Prot#'!A:AL,31,FALSE)-VLOOKUP(A319,'SegEnds_NonXtal_Prot#'!A:AL,28,FALSE)</f>
        <v>52</v>
      </c>
      <c r="AJ319" s="4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1185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>
        <f>VLOOKUP(A320,'SegEnds_NonXtal_Prot#'!A:AL,10,FALSE)-VLOOKUP(A320,'SegEnds_NonXtal_Prot#'!A:AL,7,FALSE)</f>
        <v>15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1186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1194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54</v>
      </c>
      <c r="AI322" s="4">
        <f>VLOOKUP(A322,'SegEnds_NonXtal_Prot#'!A:AL,31,FALSE)-VLOOKUP(A322,'SegEnds_NonXtal_Prot#'!A:AL,28,FALSE)</f>
        <v>51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1196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29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47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47</v>
      </c>
      <c r="AI323" s="4">
        <f>VLOOKUP(A323,'SegEnds_NonXtal_Prot#'!A:AL,31,FALSE)-VLOOKUP(A323,'SegEnds_NonXtal_Prot#'!A:AL,28,FALSE)</f>
        <v>50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1414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1199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1200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1201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1202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417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418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419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420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442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26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54</v>
      </c>
      <c r="AI334" s="1">
        <f>VLOOKUP(A334,'SegEnds_NonXtal_Prot#'!A:AL,31,FALSE)-VLOOKUP(A334,'SegEnds_NonXtal_Prot#'!A:AL,28,FALSE)</f>
        <v>49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1180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1181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83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1188</v>
      </c>
      <c r="B337" s="1" t="str">
        <f>VLOOKUP(A337,Xtal_Templ!A:B,2,FALSE)</f>
        <v>pth1r_human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37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31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51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21</v>
      </c>
      <c r="AH337" s="1">
        <f>VLOOKUP(A337,'SegEnds_NonXtal_Prot#'!A:AL,28,FALSE)-VLOOKUP(A337,'SegEnds_NonXtal_Prot#'!A:AL,22,FALSE)</f>
        <v>47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29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1190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1191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51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20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51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1192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17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53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414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44</v>
      </c>
      <c r="AI341" s="1">
        <f>VLOOKUP(A341,'SegEnds_NonXtal_Prot#'!A:AL,31,FALSE)-VLOOKUP(A341,'SegEnds_NonXtal_Prot#'!A:AL,28,FALSE)</f>
        <v>50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1193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115">
        <v>28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35</v>
      </c>
      <c r="AC342" s="4">
        <f>VLOOKUP(A342,'SegEnds_NonXtal_Prot#'!A:AL,10,FALSE)-VLOOKUP(A342,'SegEnds_NonXtal_Prot#'!A:AL,7,FALSE)</f>
        <v>21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57</v>
      </c>
      <c r="AI342" s="4">
        <f>VLOOKUP(A342,'SegEnds_NonXtal_Prot#'!A:AL,31,FALSE)-VLOOKUP(A342,'SegEnds_NonXtal_Prot#'!A:AL,28,FALSE)</f>
        <v>44</v>
      </c>
      <c r="AJ342" s="4">
        <f>VLOOKUP(A342,'SegEnds_NonXtal_Prot#'!A:AL,34,FALSE)-VLOOKUP(A342,'SegEnds_NonXtal_Prot#'!A:AL,31,FALSE)</f>
        <v>30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1177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26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18</v>
      </c>
      <c r="AH343" s="1">
        <f>VLOOKUP(A343,'SegEnds_NonXtal_Prot#'!A:AL,28,FALSE)-VLOOKUP(A343,'SegEnds_NonXtal_Prot#'!A:AL,22,FALSE)</f>
        <v>46</v>
      </c>
      <c r="AI343" s="1">
        <f>VLOOKUP(A343,'SegEnds_NonXtal_Prot#'!A:AL,31,FALSE)-VLOOKUP(A343,'SegEnds_NonXtal_Prot#'!A:AL,28,FALSE)</f>
        <v>86</v>
      </c>
      <c r="AJ343" s="1">
        <f>VLOOKUP(A343,'SegEnds_NonXtal_Prot#'!A:AL,34,FALSE)-VLOOKUP(A343,'SegEnds_NonXtal_Prot#'!A:AL,31,FALSE)</f>
        <v>31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1178</v>
      </c>
      <c r="B344" s="4" t="str">
        <f>VLOOKUP(A344,Xtal_Templ!A:B,2,FALSE)</f>
        <v>crfr1_human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40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29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18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100</v>
      </c>
      <c r="AJ344" s="4">
        <f>VLOOKUP(A344,'SegEnds_NonXtal_Prot#'!A:AL,34,FALSE)-VLOOKUP(A344,'SegEnds_NonXtal_Prot#'!A:AL,31,FALSE)</f>
        <v>31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1198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73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26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1187</v>
      </c>
      <c r="B347" s="1" t="str">
        <f>VLOOKUP(A347,Xtal_Templ!A:B,2,FALSE)</f>
        <v>glp1r_human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38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28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28</v>
      </c>
      <c r="AC347" s="1">
        <f>VLOOKUP(A347,'SegEnds_NonXtal_Prot#'!A:AL,10,FALSE)-VLOOKUP(A347,'SegEnds_NonXtal_Prot#'!A:AL,7,FALSE)</f>
        <v>15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45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42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32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40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17</v>
      </c>
      <c r="AH348" s="1">
        <f>VLOOKUP(A348,'SegEnds_NonXtal_Prot#'!A:AL,28,FALSE)-VLOOKUP(A348,'SegEnds_NonXtal_Prot#'!A:AL,22,FALSE)</f>
        <v>49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27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Xtal</v>
      </c>
    </row>
    <row r="349" spans="1:38" x14ac:dyDescent="0.2">
      <c r="A349" s="1" t="s">
        <v>41</v>
      </c>
      <c r="B349" s="1" t="str">
        <f>VLOOKUP(A349,Xtal_Templ!A:B,2,FALSE)</f>
        <v>grm5_human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21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1">
        <f>VLOOKUP(A349,'SegEnds_NonXtal_Prot#'!A:AL,10,FALSE)-VLOOKUP(A349,'SegEnds_NonXtal_Prot#'!A:AL,7,FALSE)</f>
        <v>15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49</v>
      </c>
      <c r="AI349" s="1">
        <f>VLOOKUP(A349,'SegEnds_NonXtal_Prot#'!A:AL,31,FALSE)-VLOOKUP(A349,'SegEnds_NonXtal_Prot#'!A:AL,28,FALSE)</f>
        <v>37</v>
      </c>
      <c r="AJ349" s="1">
        <f>VLOOKUP(A349,'SegEnds_NonXtal_Prot#'!A:AL,34,FALSE)-VLOOKUP(A349,'SegEnds_NonXtal_Prot#'!A:AL,31,FALSE)</f>
        <v>27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Xtal</v>
      </c>
    </row>
    <row r="350" spans="1:38" x14ac:dyDescent="0.2">
      <c r="A350" s="4" t="s">
        <v>105</v>
      </c>
      <c r="B350" s="4" t="str">
        <f>VLOOKUP(A350,Xtal_Templ!A:B,2,FALSE)</f>
        <v>grm5_human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21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18</v>
      </c>
      <c r="AH350" s="1">
        <f>VLOOKUP(A350,'SegEnds_NonXtal_Prot#'!A:AL,28,FALSE)-VLOOKUP(A350,'SegEnds_NonXtal_Prot#'!A:AL,22,FALSE)</f>
        <v>51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4" t="s">
        <v>114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32</v>
      </c>
      <c r="AC351" s="4">
        <f>VLOOKUP(A351,'SegEnds_NonXtal_Prot#'!A:AL,10,FALSE)-VLOOKUP(A351,'SegEnds_NonXtal_Prot#'!A:AL,7,FALSE)</f>
        <v>16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18</v>
      </c>
      <c r="AH351" s="1">
        <f>VLOOKUP(A351,'SegEnds_NonXtal_Prot#'!A:AL,28,FALSE)-VLOOKUP(A351,'SegEnds_NonXtal_Prot#'!A:AL,22,FALSE)</f>
        <v>50</v>
      </c>
      <c r="AI351" s="4">
        <f>VLOOKUP(A351,'SegEnds_NonXtal_Prot#'!A:AL,31,FALSE)-VLOOKUP(A351,'SegEnds_NonXtal_Prot#'!A:AL,28,FALSE)</f>
        <v>35</v>
      </c>
      <c r="AJ351" s="4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1" t="s">
        <v>122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51</v>
      </c>
      <c r="AI352" s="1">
        <f>VLOOKUP(A352,'SegEnds_NonXtal_Prot#'!A:AL,31,FALSE)-VLOOKUP(A352,'SegEnds_NonXtal_Prot#'!A:AL,28,FALSE)</f>
        <v>37</v>
      </c>
      <c r="AJ352" s="1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123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52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124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108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50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19</v>
      </c>
      <c r="AH355" s="1">
        <f>VLOOKUP(A355,'SegEnds_NonXtal_Prot#'!A:AL,28,FALSE)-VLOOKUP(A355,'SegEnds_NonXtal_Prot#'!A:AL,22,FALSE)</f>
        <v>62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30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106</v>
      </c>
      <c r="B356" s="4" t="str">
        <f>VLOOKUP(A356,Xtal_Templ!A:B,2,FALSE)</f>
        <v>grm5_human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21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4">
        <f>VLOOKUP(A356,'SegEnds_NonXtal_Prot#'!A:AL,10,FALSE)-VLOOKUP(A356,'SegEnds_NonXtal_Prot#'!A:AL,7,FALSE)</f>
        <v>15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51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19</v>
      </c>
      <c r="AH356" s="1">
        <f>VLOOKUP(A356,'SegEnds_NonXtal_Prot#'!A:AL,28,FALSE)-VLOOKUP(A356,'SegEnds_NonXtal_Prot#'!A:AL,22,FALSE)</f>
        <v>62</v>
      </c>
      <c r="AI356" s="4">
        <f>VLOOKUP(A356,'SegEnds_NonXtal_Prot#'!A:AL,31,FALSE)-VLOOKUP(A356,'SegEnds_NonXtal_Prot#'!A:AL,28,FALSE)</f>
        <v>38</v>
      </c>
      <c r="AJ356" s="4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107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51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19</v>
      </c>
      <c r="AH357" s="1">
        <f>VLOOKUP(A357,'SegEnds_NonXtal_Prot#'!A:AL,28,FALSE)-VLOOKUP(A357,'SegEnds_NonXtal_Prot#'!A:AL,22,FALSE)</f>
        <v>62</v>
      </c>
      <c r="AI357" s="1">
        <f>VLOOKUP(A357,'SegEnds_NonXtal_Prot#'!A:AL,31,FALSE)-VLOOKUP(A357,'SegEnds_NonXtal_Prot#'!A:AL,28,FALSE)</f>
        <v>38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115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51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31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116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121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33</v>
      </c>
      <c r="AC360" s="1">
        <f>VLOOKUP(A360,'SegEnds_NonXtal_Prot#'!A:AL,10,FALSE)-VLOOKUP(A360,'SegEnds_NonXtal_Prot#'!A:AL,7,FALSE)</f>
        <v>19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 t="e">
        <f>VLOOKUP(A360,'SegEnds_NonXtal_Prot#'!A:AL,28,FALSE)-VLOOKUP(A360,'SegEnds_NonXtal_Prot#'!A:AL,25,FALSE)</f>
        <v>#VALUE!</v>
      </c>
      <c r="AH360" s="1">
        <f>VLOOKUP(A360,'SegEnds_NonXtal_Prot#'!A:AL,28,FALSE)-VLOOKUP(A360,'SegEnds_NonXtal_Prot#'!A:AL,22,FALSE)</f>
        <v>45</v>
      </c>
      <c r="AI360" s="1">
        <f>VLOOKUP(A360,'SegEnds_NonXtal_Prot#'!A:AL,31,FALSE)-VLOOKUP(A360,'SegEnds_NonXtal_Prot#'!A:AL,28,FALSE)</f>
        <v>39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21</v>
      </c>
      <c r="AL360" s="1" t="str">
        <f>IF(ISERROR(MATCH(A360,'SegEnds_Xtal_Prot#'!B:B, 0)), "NoXtal", "Xtal")</f>
        <v>NoXtal</v>
      </c>
    </row>
    <row r="361" spans="1:38" x14ac:dyDescent="0.2">
      <c r="A361" s="4" t="s">
        <v>109</v>
      </c>
      <c r="B361" s="4" t="str">
        <f>VLOOKUP(A361,Xtal_Templ!A:B,2,FALSE)</f>
        <v>grm1_human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36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4">
        <f>VLOOKUP(A361,'SegEnds_NonXtal_Prot#'!A:AL,28,FALSE)-VLOOKUP(A361,'SegEnds_NonXtal_Prot#'!A:AL,25,FALSE)</f>
        <v>16</v>
      </c>
      <c r="AH361" s="1">
        <f>VLOOKUP(A361,'SegEnds_NonXtal_Prot#'!A:AL,28,FALSE)-VLOOKUP(A361,'SegEnds_NonXtal_Prot#'!A:AL,22,FALSE)</f>
        <v>65</v>
      </c>
      <c r="AI361" s="4">
        <f>VLOOKUP(A361,'SegEnds_NonXtal_Prot#'!A:AL,31,FALSE)-VLOOKUP(A361,'SegEnds_NonXtal_Prot#'!A:AL,28,FALSE)</f>
        <v>37</v>
      </c>
      <c r="AJ361" s="4">
        <f>VLOOKUP(A361,'SegEnds_NonXtal_Prot#'!A:AL,34,FALSE)-VLOOKUP(A361,'SegEnds_NonXtal_Prot#'!A:AL,31,FALSE)</f>
        <v>33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110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16</v>
      </c>
      <c r="AH362" s="1">
        <f>VLOOKUP(A362,'SegEnds_NonXtal_Prot#'!A:AL,28,FALSE)-VLOOKUP(A362,'SegEnds_NonXtal_Prot#'!A:AL,22,FALSE)</f>
        <v>65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33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33</v>
      </c>
      <c r="AC363" s="1">
        <f>VLOOKUP(A363,'SegEnds_NonXtal_Prot#'!A:AL,10,FALSE)-VLOOKUP(A363,'SegEnds_NonXtal_Prot#'!A:AL,7,FALSE)</f>
        <v>19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55</v>
      </c>
      <c r="AI363" s="1">
        <f>VLOOKUP(A363,'SegEnds_NonXtal_Prot#'!A:AL,31,FALSE)-VLOOKUP(A363,'SegEnds_NonXtal_Prot#'!A:AL,28,FALSE)</f>
        <v>39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20</v>
      </c>
      <c r="AL363" s="1" t="str">
        <f>IF(ISERROR(MATCH(A363,'SegEnds_Xtal_Prot#'!B:B, 0)), "NoXtal", "Xtal")</f>
        <v>NoXtal</v>
      </c>
    </row>
    <row r="364" spans="1:38" x14ac:dyDescent="0.2">
      <c r="A364" s="1" t="s">
        <v>117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4" t="s">
        <v>111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40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20</v>
      </c>
      <c r="AL368" s="1" t="str">
        <f>IF(ISERROR(MATCH(A368,'SegEnds_Xtal_Prot#'!B:B, 0)), "NoXtal", "Xtal")</f>
        <v>NoXtal</v>
      </c>
    </row>
    <row r="369" spans="1:38" x14ac:dyDescent="0.2">
      <c r="A369" s="4" t="s">
        <v>113</v>
      </c>
      <c r="B369" s="4" t="str">
        <f>VLOOKUP(A369,Xtal_Templ!A:B,2,FALSE)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4">
        <f>VLOOKUP(A369,'SegEnds_NonXtal_Prot#'!A:AL,10,FALSE)-VLOOKUP(A369,'SegEnds_NonXtal_Prot#'!A:AL,7,FALSE)</f>
        <v>19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16</v>
      </c>
      <c r="AH369" s="1">
        <f>VLOOKUP(A369,'SegEnds_NonXtal_Prot#'!A:AL,28,FALSE)-VLOOKUP(A369,'SegEnds_NonXtal_Prot#'!A:AL,22,FALSE)</f>
        <v>43</v>
      </c>
      <c r="AI369" s="4">
        <f>VLOOKUP(A369,'SegEnds_NonXtal_Prot#'!A:AL,31,FALSE)-VLOOKUP(A369,'SegEnds_NonXtal_Prot#'!A:AL,28,FALSE)</f>
        <v>39</v>
      </c>
      <c r="AJ369" s="4">
        <f>VLOOKUP(A369,'SegEnds_NonXtal_Prot#'!A:AL,34,FALSE)-VLOOKUP(A369,'SegEnds_NonXtal_Prot#'!A:AL,31,FALSE)</f>
        <v>35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450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">
        <f>VLOOKUP($B370&amp;"__wt",'SegEnds_Xtal_BW#'!$A:$Z,22,FALSE)</f>
        <v>58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36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Xtal</v>
      </c>
    </row>
    <row r="371" spans="1:38" x14ac:dyDescent="0.2">
      <c r="A371" s="1" t="s">
        <v>451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49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454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103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57</v>
      </c>
      <c r="AJ372" s="1">
        <f>VLOOKUP(A372,'SegEnds_NonXtal_Prot#'!A:AL,34,FALSE)-VLOOKUP(A372,'SegEnds_NonXtal_Prot#'!A:AL,31,FALSE)</f>
        <v>49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448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449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68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452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68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447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56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446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62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1496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56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28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484</v>
      </c>
      <c r="B383" s="1" t="str">
        <f>VLOOKUP(A383,Xtal_Templ!A:B,2,FALSE)</f>
        <v>pe2r4_human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08">
        <v>61</v>
      </c>
      <c r="Q383" s="1" t="s">
        <v>23</v>
      </c>
      <c r="R383" s="1" t="s">
        <v>23</v>
      </c>
      <c r="S383" s="108">
        <v>40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32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45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25</v>
      </c>
      <c r="AI383" s="1">
        <f>VLOOKUP(A383,'SegEnds_NonXtal_Prot#'!A:AL,31,FALSE)-VLOOKUP(A383,'SegEnds_NonXtal_Prot#'!A:AL,28,FALSE)</f>
        <v>76</v>
      </c>
      <c r="AJ383" s="1">
        <f>VLOOKUP(A383,'SegEnds_NonXtal_Prot#'!A:AL,34,FALSE)-VLOOKUP(A383,'SegEnds_NonXtal_Prot#'!A:AL,31,FALSE)</f>
        <v>36</v>
      </c>
      <c r="AK383" s="1">
        <f>VLOOKUP(A383,'SegEnds_NonXtal_Prot#'!A:AL,37,FALSE)-VLOOKUP(A383,'SegEnds_NonXtal_Prot#'!A:AL,34,FALSE)</f>
        <v>24</v>
      </c>
      <c r="AL383" s="1" t="str">
        <f>IF(ISERROR(MATCH(A383,'SegEnds_Xtal_Prot#'!B:B, 0)), "NoXtal", "Xtal")</f>
        <v>NoXtal</v>
      </c>
    </row>
    <row r="384" spans="1:38" x14ac:dyDescent="0.2">
      <c r="A384" s="1" t="s">
        <v>482</v>
      </c>
      <c r="B384" s="1" t="str">
        <f>VLOOKUP(A384,Xtal_Templ!A:B,2,FALSE)</f>
        <v>ccr9_human</v>
      </c>
      <c r="C384" s="5">
        <f>VLOOKUP($B384&amp;"__wt",'SegEnds_Xtal_BW#'!$A:$Z,3,FALSE)</f>
        <v>27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49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74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81</v>
      </c>
      <c r="AI384" s="1">
        <f>VLOOKUP(A384,'SegEnds_NonXtal_Prot#'!A:AL,31,FALSE)-VLOOKUP(A384,'SegEnds_NonXtal_Prot#'!A:AL,28,FALSE)</f>
        <v>37</v>
      </c>
      <c r="AJ384" s="1">
        <f>VLOOKUP(A384,'SegEnds_NonXtal_Prot#'!A:AL,34,FALSE)-VLOOKUP(A384,'SegEnds_NonXtal_Prot#'!A:AL,31,FALSE)</f>
        <v>44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4" t="s">
        <v>485</v>
      </c>
      <c r="B386" s="4" t="str">
        <f>VLOOKUP(A386,Xtal_Templ!A:B,2,FALSE)</f>
        <v>aa2ar_human</v>
      </c>
      <c r="C386" s="5">
        <f>VLOOKUP($B386&amp;"__wt",'SegEnds_Xtal_BW#'!$A:$Z,3,FALSE)</f>
        <v>27</v>
      </c>
      <c r="D386" s="4">
        <v>60</v>
      </c>
      <c r="E386" s="4" t="s">
        <v>23</v>
      </c>
      <c r="F386" s="4" t="s">
        <v>23</v>
      </c>
      <c r="G386" s="4">
        <v>39</v>
      </c>
      <c r="H386" s="11">
        <v>63</v>
      </c>
      <c r="I386" s="4" t="s">
        <v>23</v>
      </c>
      <c r="J386" s="4" t="s">
        <v>23</v>
      </c>
      <c r="K386" s="11">
        <v>23</v>
      </c>
      <c r="L386" s="4">
        <v>56</v>
      </c>
      <c r="M386" s="4" t="s">
        <v>23</v>
      </c>
      <c r="N386" s="11" t="s">
        <v>23</v>
      </c>
      <c r="O386" s="88">
        <v>40</v>
      </c>
      <c r="P386" s="4">
        <v>64</v>
      </c>
      <c r="Q386" s="4" t="s">
        <v>23</v>
      </c>
      <c r="R386" s="4" t="s">
        <v>23</v>
      </c>
      <c r="S386" s="4">
        <v>39</v>
      </c>
      <c r="T386" s="4">
        <v>61</v>
      </c>
      <c r="U386" s="4">
        <v>29</v>
      </c>
      <c r="V386" s="4">
        <v>53</v>
      </c>
      <c r="W386" s="4">
        <v>35</v>
      </c>
      <c r="X386" s="4">
        <v>56</v>
      </c>
      <c r="Y386" s="4">
        <v>47</v>
      </c>
      <c r="Z386" s="4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36</v>
      </c>
      <c r="AC386" s="4" t="e">
        <f>VLOOKUP(A386,'SegEnds_NonXtal_Prot#'!A:AL,10,FALSE)-VLOOKUP(A386,'SegEnds_NonXtal_Prot#'!A:AL,7,FALSE)</f>
        <v>#VALUE!</v>
      </c>
      <c r="AD386" s="4" t="e">
        <f>VLOOKUP(A386,'SegEnds_NonXtal_Prot#'!A:AL,13,FALSE)-VLOOKUP(A386,'SegEnds_NonXtal_Prot#'!A:AL,10,FALSE)</f>
        <v>#VALUE!</v>
      </c>
      <c r="AE386" s="4">
        <f>VLOOKUP(A386,'SegEnds_NonXtal_Prot#'!A:AL,16,FALSE)-VLOOKUP(A386,'SegEnds_NonXtal_Prot#'!A:AL,10,FALSE)</f>
        <v>63</v>
      </c>
      <c r="AF386" s="1" t="e">
        <f>VLOOKUP(A386,'SegEnds_NonXtal_Prot#'!A:AL,22,FALSE)-VLOOKUP(A386,'SegEnds_NonXtal_Prot#'!A:AL,19,FALSE)</f>
        <v>#VALUE!</v>
      </c>
      <c r="AG386" s="4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39</v>
      </c>
      <c r="AI386" s="4">
        <f>VLOOKUP(A386,'SegEnds_NonXtal_Prot#'!A:AL,31,FALSE)-VLOOKUP(A386,'SegEnds_NonXtal_Prot#'!A:AL,28,FALSE)</f>
        <v>58</v>
      </c>
      <c r="AJ386" s="4">
        <f>VLOOKUP(A386,'SegEnds_NonXtal_Prot#'!A:AL,34,FALSE)-VLOOKUP(A386,'SegEnds_NonXtal_Prot#'!A:AL,31,FALSE)</f>
        <v>49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930</v>
      </c>
      <c r="B387" s="1" t="str">
        <f>VLOOKUP(A387,Xtal_Templ!A:B,2,FALSE)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8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33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51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52</v>
      </c>
      <c r="AI387" s="1">
        <f>VLOOKUP(A387,'SegEnds_NonXtal_Prot#'!A:AL,31,FALSE)-VLOOKUP(A387,'SegEnds_NonXtal_Prot#'!A:AL,28,FALSE)</f>
        <v>56</v>
      </c>
      <c r="AJ387" s="1">
        <f>VLOOKUP(A387,'SegEnds_NonXtal_Prot#'!A:AL,34,FALSE)-VLOOKUP(A387,'SegEnds_NonXtal_Prot#'!A:AL,31,FALSE)</f>
        <v>33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5ht2a_human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465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52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56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35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466</v>
      </c>
      <c r="B392" s="1" t="str">
        <f>VLOOKUP(A392,Xtal_Templ!A:B,2,FALSE)</f>
        <v>5ht2a_human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52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57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467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472</v>
      </c>
      <c r="B394" s="1" t="str">
        <f>VLOOKUP(A394,Xtal_Templ!A:B,2,FALSE)</f>
        <v>oprk_human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58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4" t="s">
        <v>474</v>
      </c>
      <c r="B395" s="4" t="str">
        <f>VLOOKUP(A395,Xtal_Templ!A:B,2,FALSE)</f>
        <v>cxcr4_human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88">
        <v>38</v>
      </c>
      <c r="P395" s="4">
        <f>VLOOKUP($B395&amp;"__wt",'SegEnds_Xtal_BW#'!$A:$Z,16,FALSE)</f>
        <v>64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4">
        <f>VLOOKUP(A395,'SegEnds_NonXtal_Prot#'!A:AL,10,FALSE)-VLOOKUP(A395,'SegEnds_NonXtal_Prot#'!A:AL,7,FALSE)</f>
        <v>16</v>
      </c>
      <c r="AD395" s="4" t="e">
        <f>VLOOKUP(A395,'SegEnds_NonXtal_Prot#'!A:AL,13,FALSE)-VLOOKUP(A395,'SegEnds_NonXtal_Prot#'!A:AL,10,FALSE)</f>
        <v>#VALUE!</v>
      </c>
      <c r="AE395" s="4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4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54</v>
      </c>
      <c r="AI395" s="4">
        <f>VLOOKUP(A395,'SegEnds_NonXtal_Prot#'!A:AL,31,FALSE)-VLOOKUP(A395,'SegEnds_NonXtal_Prot#'!A:AL,28,FALSE)</f>
        <v>53</v>
      </c>
      <c r="AJ395" s="4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f>VLOOKUP($B396&amp;"__wt",'SegEnds_Xtal_BW#'!$A:$Z,14,FALSE)</f>
        <v>58</v>
      </c>
      <c r="O396" s="88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30</v>
      </c>
      <c r="AC396" s="1">
        <f>VLOOKUP(A396,'SegEnds_NonXtal_Prot#'!A:AL,10,FALSE)-VLOOKUP(A396,'SegEnds_NonXtal_Prot#'!A:AL,7,FALSE)</f>
        <v>15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50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460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461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462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463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464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53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59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468</v>
      </c>
      <c r="B402" s="1" t="str">
        <f>VLOOKUP(A402,Xtal_Templ!A:B,2,FALSE)</f>
        <v>hrh1_human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56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469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470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52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471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J2:AJ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" activePane="bottomLeft" state="frozenSplit"/>
      <selection pane="bottomLeft" activeCell="M224" sqref="M224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1306</v>
      </c>
      <c r="BB1" s="26" t="s">
        <v>1241</v>
      </c>
      <c r="BC1" s="99" t="s">
        <v>1276</v>
      </c>
      <c r="BD1" s="8" t="s">
        <v>1241</v>
      </c>
      <c r="BE1" s="8" t="s">
        <v>1243</v>
      </c>
      <c r="BF1" s="8" t="s">
        <v>1240</v>
      </c>
      <c r="BG1" s="8" t="s">
        <v>1307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mtr1b_human</v>
      </c>
      <c r="C37" s="3">
        <f>VLOOKUP($A37,'SegEnds_NonXtal_BW#'!$A:$Z,3,FALSE)+D37-50</f>
        <v>32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196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316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8</v>
      </c>
      <c r="AX37" s="3">
        <f t="shared" si="10"/>
        <v>33</v>
      </c>
      <c r="AY37" s="3">
        <f t="shared" si="11"/>
        <v>9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20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298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5ht2a_human</v>
      </c>
      <c r="C134" s="3">
        <f>VLOOKUP($A134,'SegEnds_NonXtal_BW#'!$A:$Z,3,FALSE)+D134-50</f>
        <v>23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mtr1a_human</v>
      </c>
      <c r="C166" s="3">
        <f>VLOOKUP($A166,'SegEnds_NonXtal_BW#'!$A:$Z,3,FALSE)+D166-50</f>
        <v>557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847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120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8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1308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mtr1b_human</v>
      </c>
      <c r="C250" s="3">
        <f>VLOOKUP($A250,'SegEnds_NonXtal_BW#'!$A:$Z,3,FALSE)+D250-50</f>
        <v>35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202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345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8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26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11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375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15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par2_human</v>
      </c>
      <c r="C267" s="3">
        <f>VLOOKUP($A267,'SegEnds_NonXtal_BW#'!$A:$Z,3,FALSE)+D267-50</f>
        <v>38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179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192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7</v>
      </c>
      <c r="AW267" s="3">
        <f t="shared" si="159"/>
        <v>4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54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mtr1a_human</v>
      </c>
      <c r="C268" s="3">
        <f>VLOOKUP($A268,'SegEnds_NonXtal_BW#'!$A:$Z,3,FALSE)+D268-50</f>
        <v>99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365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407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10</v>
      </c>
      <c r="AX268" s="3">
        <f t="shared" si="160"/>
        <v>6</v>
      </c>
      <c r="AY268" s="3">
        <f t="shared" si="161"/>
        <v>8</v>
      </c>
      <c r="AZ268" s="3">
        <f t="shared" si="162"/>
        <v>1</v>
      </c>
      <c r="BA268" s="3">
        <f>IF(ISERROR(LEN(VLOOKUP(A268,Seqs!A:E,2,FALSE))-AL268),"-",LEN(VLOOKUP(A268,Seqs!A:E,2,FALSE))-AL268)</f>
        <v>87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323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2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drd2_human</v>
      </c>
      <c r="C277" s="3">
        <f>VLOOKUP($A277,'SegEnds_NonXtal_BW#'!$A:$Z,3,FALSE)+D277-50</f>
        <v>78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215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349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387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14</v>
      </c>
      <c r="AW277" s="3">
        <f t="shared" si="159"/>
        <v>8</v>
      </c>
      <c r="AX277" s="3">
        <f t="shared" si="160"/>
        <v>23</v>
      </c>
      <c r="AY277" s="3">
        <f t="shared" si="161"/>
        <v>9</v>
      </c>
      <c r="AZ277" s="3">
        <f t="shared" si="162"/>
        <v>1</v>
      </c>
      <c r="BA277" s="3">
        <f>IF(ISERROR(LEN(VLOOKUP(A277,Seqs!A:E,2,FALSE))-AL277),"-",LEN(VLOOKUP(A277,Seqs!A:E,2,FALSE))-AL277)</f>
        <v>32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1307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1508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1421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139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173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130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112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1307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1414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6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659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1496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196" activePane="bottomLeft" state="frozenSplit"/>
      <selection pane="bottomLeft" activeCell="H216" sqref="H21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1470</v>
      </c>
      <c r="F1" s="55" t="s">
        <v>13</v>
      </c>
      <c r="G1" s="20" t="s">
        <v>5</v>
      </c>
      <c r="H1" s="4" t="s">
        <v>1364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1320</v>
      </c>
      <c r="P1" s="53" t="s">
        <v>1324</v>
      </c>
      <c r="Q1" s="53" t="s">
        <v>1367</v>
      </c>
      <c r="R1" s="20" t="s">
        <v>9</v>
      </c>
      <c r="S1" s="20" t="s">
        <v>1323</v>
      </c>
      <c r="T1" s="20" t="s">
        <v>12</v>
      </c>
      <c r="U1" s="20" t="s">
        <v>1325</v>
      </c>
      <c r="V1" s="26" t="s">
        <v>1310</v>
      </c>
      <c r="W1" s="30" t="s">
        <v>1311</v>
      </c>
      <c r="X1" s="30" t="s">
        <v>1312</v>
      </c>
      <c r="Y1" s="30" t="s">
        <v>1313</v>
      </c>
      <c r="Z1" s="30" t="s">
        <v>1314</v>
      </c>
      <c r="AA1" s="103" t="s">
        <v>1384</v>
      </c>
      <c r="AB1" s="26" t="s">
        <v>1315</v>
      </c>
      <c r="AC1" s="26" t="s">
        <v>1316</v>
      </c>
      <c r="AD1" s="26" t="s">
        <v>1317</v>
      </c>
      <c r="AE1" s="26" t="s">
        <v>1318</v>
      </c>
      <c r="AF1" s="30" t="s">
        <v>1319</v>
      </c>
      <c r="AG1" s="26" t="s">
        <v>1321</v>
      </c>
      <c r="AH1" s="30" t="s">
        <v>1322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1470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1320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1320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1320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1320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1323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1323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1323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mtr1b_human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mtr1b_human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mtr1a_human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1364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5ht2a_human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1323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1323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1323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1323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1323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1323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1323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1323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1323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1323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1323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1323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1323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1323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1323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1323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1323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1323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1508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1324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1324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1324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1324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1324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1324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1324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1324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1324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1324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1324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1324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1324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1324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1324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1421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1324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1414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1325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1325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1325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1325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1325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1325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1325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1325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1325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1325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1325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1325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1325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1325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1325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1325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1325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1325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1325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1325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1325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1325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1324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1324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1324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1324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1324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1324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1324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1324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1324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1324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1324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1496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1324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1496</v>
      </c>
      <c r="B44" s="121" t="s">
        <v>1497</v>
      </c>
      <c r="C44" t="s">
        <v>1494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1414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1327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1403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1421</v>
      </c>
      <c r="B115" t="s">
        <v>1420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1441</v>
      </c>
      <c r="B123" t="s">
        <v>1442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1508</v>
      </c>
      <c r="B124" t="s">
        <v>1509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1452</v>
      </c>
      <c r="B125" t="s">
        <v>1454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ELAKVEIGVLATVLVLATGGNLAVLLTLGQLSRMHLFVLHLALTDLAVALFQVLPQLLWDIQGPDLLCRAVKYLQVLSMFASTYMLLAMTLDRYLAVCHPGQSTYLLIAAPWLLAAIFSLPQVFIFPRAYLTWTTLAIFVLPVTMLTACYSLICHEICKNLKVKTQAWNTISRAKIRTVKMTFVIVLAYIACWAPFFSVQMWSVWDTNVAFTISMLLGNLNSCCNPWIYMGFNSHLLPRPLRHLACCGG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PRAYLTWTTLAIFVLPVTMLTACYSLICHEICKNLKVKTQAW</v>
      </c>
      <c r="O68" s="4" t="str">
        <f t="shared" si="35"/>
        <v>NTISRAKIRTVKMTFVIVLAYIACWAPFFSVQMWSVWD</v>
      </c>
      <c r="P68" s="4" t="str">
        <f t="shared" si="36"/>
        <v>TNVAFTISMLLGNLNSCCNPWIYMGF</v>
      </c>
      <c r="Q68" s="4" t="str">
        <f t="shared" si="37"/>
        <v>NSHLLPRPLRHLACCGG</v>
      </c>
      <c r="R68" s="5">
        <f>VLOOKUP($A68,'SegEnds_NonXtal_Prot#'!$A:$AL,3,FALSE)</f>
        <v>32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196</v>
      </c>
      <c r="AA68" s="5">
        <f>VLOOKUP($A68,'SegEnds_NonXtal_Prot#'!$A:$AL,30,FALSE)</f>
        <v>270</v>
      </c>
      <c r="AB68" s="5">
        <f>VLOOKUP($A68,'SegEnds_NonXtal_Prot#'!$A:$AL,33,FALSE)</f>
        <v>316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30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41</v>
      </c>
      <c r="AY68" s="4">
        <f t="shared" si="47"/>
        <v>37</v>
      </c>
      <c r="AZ68" s="4">
        <f t="shared" si="48"/>
        <v>25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RLWEVITIAAVTAVVSLITIVGNVLVMISFKVNTVNNYYLLSLACADLIIGIFSMNLYTTYILMGSLACDLWLALDYVASNASVMNLLVISFDRYFSITRTPKRAGIMIGLAWLISFILWAPAILCWQYLVGEPTITFGTAIAAFYIPVSVMTILYCRIYRETEKRTKDLADLRVVLVKERKAAQTLSAILLAFIITWTPYNIMVLVSTFCPVTLWHLGYWLCYVNSTVNPICYALCNRTFRKTFKMLLLC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NRTFRKTFKMLLLC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512</v>
      </c>
      <c r="AP89" s="5">
        <f t="shared" si="38"/>
        <v>32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ETVNFCLLEVLIIVFLTVLIISGNIIVIFVFHCAHHTTSYFIQTMAYADLFVGVSCVVPSLSLLHPVEESLTCQIFGFVVSVLKSVSMASLACISIDRYIAITKTPWRLRLCIFLIWLYSTLVFLPSFFHWGKPTDSYFTLFIVMMLYAPAALIVCFTYFNIFRICQQHTKDISETGEVQACPDKRYAMVLFRITSVFYILWLPYIIYFLLESSTRFASFLTTWLAISNSFCNCVIYSLSNSVFQRGLKRLSGA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ETVNFCLLEVLIIVFLTVLIISGNIIVIFVFHCA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23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33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LLARAELALLSIVFVAVALSNGLVLAALARRWAPIHVFIGHLCLADLAVALFQVLPQLAWKARGPDALCRAVKYLQMVGMYASSYMILAMTLDRHRAICRSGAHWNRPVLVAWAFSLLLSLPQLFIFRRTYVTWIALMVFVAPTLGIAACQVLIFREIHASLVPGPSERAHVSAAVAKTVRMTLVIVVVYVLCWAPFFLVQLWAAWDEGAPFVLLMLLASLNSCTNPWIYASFSSSVSSELRSLLCCARG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35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202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30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41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'SegEnds_NonXtal_Prot#'!A268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YESETGDQDYYYLSVKALYTVGYSTSLVTLTTAMVILCRFCTRNFIHMNLFVSFMLRAISVFIKDWILVECKAVMVFFHYCVVSNYFWLFIEGLYLFTLLVEPERRYFYWYTIIGWGTPTVCVTVWATLRLYFDLWWVIKGPVVGSIMVNFVLFIGIIVILVQKLNESSIYLRLARSTLLLIPLFGIHYTVFAFSKRERLVFELGLGSFQGFVVAVLYCFLNGEVQAEIKRKWRSWKVNRYFAVDFK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FLTNETREREVFDRLGMIYTVGYSVSLASLTVAVLILAYFCTRNYIHMHLFLSFMLRAVSIFVKDAVLYSGATGYAGCRVAVTFFLYFLATNYYWILVEGLYLHSLIFMSEKKYLWGFTVFGWGLPAVFVAVWVSVRATLAKKWIIQVPILASIVLNFILFINIVRVLATKLDTRQQYRKLLKSTLVLMPLFGVHYIVFMATGTLWQVQMHYEMLFNSFQGFFVAIIYCFCNGEVQAEIKKSWSRWTLALDFKRKAR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QPDISIGKQEFFERLYVMYTVGYSISFGSLAVAILIIGYFCTRNYIHMHLFVSFMLRATSIFVKDRVVHAHIGQYIGCKIAVVMFIYFLATNYYWILVEGLYLHNLIFVSDTKYLWGFILIGWGFPAAFVAAWAVARATLAIKWIYQAPILAAIGLNFILFLNTVRVLATKIDTRKQYRKLAKSTLVLVLVFGVHYIVFVCLGLGWEIRMHCELFFNSFQGFFVSIIYCYCNGEVQAEVKKMWSRWNLSVDWKRTPP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AASLDEQQTMFYGSVKTGYTIGYGLSLATLLVATAILSLFCTRNYIHMHLFISFILRAAAVFIKDLALVGCKAAMVFFQYCVMANFFWLLVEGLYLYTLLAVSERKYFWGYILIGWGVPSTFTMVWTIARIHFELWWIIKGPILTSILVNFILFICIIRILLQKLSDSSPYSRLARSTLLLIPLFGVHYIMFAFFPEVKMVFELVVGSFQGFVVAILYCFLNGEVQAELRRKWRRWHLQGVLGWNPK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SDPEDESKITFYILVKAIYTLGYSVSLMSLATGSIILCLFCTRNYIHLNLFLSFILRAISVLVKDDVLVGCKLSLVFLQYCIMANFFWLLVEGLYLHTLLVAPPRRCFLAYLLIGWGLPTVCIGAWTAARLYLEPWWVIRIPILISIIVNFVLFISIIRILLQKLNDQSQYKRLAKSTLLLIPLFGVHYMVFAVFSKYQILFELCLGSFQGLVVAVLYCFLNSEVQCELKRKWRSRCPTPSASRDYR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22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J2" sqref="J2:K411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1404</v>
      </c>
      <c r="D1" s="33" t="s">
        <v>1228</v>
      </c>
      <c r="E1" s="32" t="s">
        <v>1405</v>
      </c>
      <c r="F1" s="32" t="s">
        <v>1406</v>
      </c>
      <c r="G1" s="85" t="s">
        <v>1369</v>
      </c>
      <c r="H1" s="32" t="s">
        <v>1494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1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1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1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1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1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1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1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1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1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1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1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1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1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1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1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1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1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1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1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1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1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1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1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1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1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1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1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1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1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1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1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1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1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1" t="s">
        <v>1414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1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1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1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1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1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1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1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1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1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1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1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1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1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1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1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1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1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1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1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1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1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1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1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1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1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1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1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1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1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1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1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1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1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1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1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1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1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1" t="s">
        <v>265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1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1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1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1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1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1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1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1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1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1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1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1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1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1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1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1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1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1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1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1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1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1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1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1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1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1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1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1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1" t="s">
        <v>311</v>
      </c>
      <c r="B113" s="1" t="s">
        <v>311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1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1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1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1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1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1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1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1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1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1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1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1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1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1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1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1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1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1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1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1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1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1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1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1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1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1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1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1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1" t="s">
        <v>331</v>
      </c>
      <c r="B144" s="1" t="s">
        <v>371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1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1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1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1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1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1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1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1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1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1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1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1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1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1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1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1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1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1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1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1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1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1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1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1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1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1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1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1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1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1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1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1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1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1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1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1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1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1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1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1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1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1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1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1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1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1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1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1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1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1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1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1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1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1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1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1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1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1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1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1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1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1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1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1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1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1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1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1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1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1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1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1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1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1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1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1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1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1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1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1" t="s">
        <v>245</v>
      </c>
      <c r="B232" s="1" t="s">
        <v>133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1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1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1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1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1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1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1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1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1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1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1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1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1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1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1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1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1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1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1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1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1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1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1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1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1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1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1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1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1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1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1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1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1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1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1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1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1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1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1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1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1" t="s">
        <v>399</v>
      </c>
      <c r="B276" s="1" t="s">
        <v>312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1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1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1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1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1" t="s">
        <v>398</v>
      </c>
      <c r="B282" s="1" t="s">
        <v>312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1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1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1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1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1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1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1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1" t="s">
        <v>285</v>
      </c>
      <c r="B290" s="1" t="s">
        <v>311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1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1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1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1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1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1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1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1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1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1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1" t="s">
        <v>215</v>
      </c>
      <c r="B302" s="1" t="s">
        <v>311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1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1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1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1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1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1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1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1" t="s">
        <v>244</v>
      </c>
      <c r="B310" s="1" t="s">
        <v>132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1" t="s">
        <v>368</v>
      </c>
      <c r="B311" s="1" t="s">
        <v>325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1" t="s">
        <v>367</v>
      </c>
      <c r="B312" s="1" t="s">
        <v>325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1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1" t="s">
        <v>312</v>
      </c>
      <c r="B314" s="1" t="s">
        <v>312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1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1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1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1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1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1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1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1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1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1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1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1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1" t="s">
        <v>313</v>
      </c>
      <c r="B328" s="1" t="s">
        <v>311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1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1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1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1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1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1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1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1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1" t="s">
        <v>179</v>
      </c>
      <c r="B337" s="1" t="s">
        <v>371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1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1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1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1" t="s">
        <v>370</v>
      </c>
      <c r="B342" s="1" t="s">
        <v>371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1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1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1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1" t="s">
        <v>1441</v>
      </c>
      <c r="B346" s="1" t="s">
        <v>1441</v>
      </c>
      <c r="C346" t="s">
        <v>1441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1" t="s">
        <v>1452</v>
      </c>
      <c r="B347" s="1" t="s">
        <v>1452</v>
      </c>
      <c r="C347" t="s">
        <v>1452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1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1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1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1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1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1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1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1" t="s">
        <v>214</v>
      </c>
      <c r="B356" s="1" t="s">
        <v>356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1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1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1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1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1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1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1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1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1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1" t="s">
        <v>234</v>
      </c>
      <c r="B367" s="1" t="s">
        <v>336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1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1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1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1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1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1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1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1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1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1" t="s">
        <v>243</v>
      </c>
      <c r="B378" s="1" t="s">
        <v>356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1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1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1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1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1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1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1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1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1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1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1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1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1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1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1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1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1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1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1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1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1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1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1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1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1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1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1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1421</v>
      </c>
      <c r="B409" s="1" t="s">
        <v>1421</v>
      </c>
      <c r="C409" t="s">
        <v>1421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1496</v>
      </c>
      <c r="B410" s="1" t="s">
        <v>1496</v>
      </c>
      <c r="C410" s="122" t="s">
        <v>1496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1508</v>
      </c>
      <c r="B411" s="1" t="s">
        <v>1508</v>
      </c>
      <c r="C411" s="122" t="s">
        <v>1508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1414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1508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1496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1421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1452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1441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1326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2019-07-08T11:48:21Z</dcterms:modified>
  <cp:category/>
  <cp:contentStatus/>
</cp:coreProperties>
</file>