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00" yWindow="460" windowWidth="32600" windowHeight="20540" tabRatio="500" activeTab="6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'SegEnds_Xtal_Prot#'!$A$1:$CT$320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'SegEnds_Xtal_Prot#'!$A$1:$CT$320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4" i="2" l="1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E65" i="2"/>
  <c r="B251" i="4"/>
  <c r="E251" i="4"/>
  <c r="F226" i="5"/>
  <c r="D65" i="2"/>
  <c r="D251" i="4"/>
  <c r="E226" i="5"/>
  <c r="B250" i="4"/>
  <c r="E250" i="4"/>
  <c r="F225" i="5"/>
  <c r="D250" i="4"/>
  <c r="E225" i="5"/>
  <c r="AC64" i="2"/>
  <c r="I226" i="5"/>
  <c r="F65" i="2"/>
  <c r="F251" i="4"/>
  <c r="H226" i="5"/>
  <c r="I225" i="5"/>
  <c r="F250" i="4"/>
  <c r="H225" i="5"/>
  <c r="AD64" i="2"/>
  <c r="AE64" i="2"/>
  <c r="I65" i="2"/>
  <c r="I251" i="4"/>
  <c r="L226" i="5"/>
  <c r="H65" i="2"/>
  <c r="H251" i="4"/>
  <c r="K226" i="5"/>
  <c r="H250" i="4"/>
  <c r="K225" i="5"/>
  <c r="AF64" i="2"/>
  <c r="AG64" i="2"/>
  <c r="AH64" i="2"/>
  <c r="AI64" i="2"/>
  <c r="AJ64" i="2"/>
  <c r="O226" i="5"/>
  <c r="J65" i="2"/>
  <c r="J251" i="4"/>
  <c r="N226" i="5"/>
  <c r="AK64" i="2"/>
  <c r="M65" i="2"/>
  <c r="M251" i="4"/>
  <c r="R226" i="5"/>
  <c r="L65" i="2"/>
  <c r="L251" i="4"/>
  <c r="Q226" i="5"/>
  <c r="M250" i="4"/>
  <c r="R225" i="5"/>
  <c r="L250" i="4"/>
  <c r="Q225" i="5"/>
  <c r="AL64" i="2"/>
  <c r="AM64" i="2"/>
  <c r="AG171" i="5"/>
  <c r="AF171" i="5"/>
  <c r="B172" i="4"/>
  <c r="C61" i="2"/>
  <c r="C172" i="4"/>
  <c r="C171" i="5"/>
  <c r="D61" i="2"/>
  <c r="D172" i="4"/>
  <c r="E171" i="5"/>
  <c r="K171" i="5"/>
  <c r="L61" i="2"/>
  <c r="L172" i="4"/>
  <c r="Q171" i="5"/>
  <c r="M61" i="2"/>
  <c r="M172" i="4"/>
  <c r="R171" i="5"/>
  <c r="T171" i="5"/>
  <c r="U171" i="5"/>
  <c r="P61" i="2"/>
  <c r="P172" i="4"/>
  <c r="W171" i="5"/>
  <c r="Q61" i="2"/>
  <c r="Q172" i="4"/>
  <c r="X171" i="5"/>
  <c r="S61" i="2"/>
  <c r="AA171" i="5"/>
  <c r="AI17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172" i="4" a="1"/>
  <c r="T172" i="4"/>
  <c r="AC171" i="5"/>
  <c r="H6" i="3"/>
  <c r="U172" i="4" a="1"/>
  <c r="U172" i="4"/>
  <c r="AD171" i="5"/>
  <c r="X61" i="2"/>
  <c r="X172" i="4"/>
  <c r="AI171" i="5"/>
  <c r="Y61" i="2"/>
  <c r="Y172" i="4"/>
  <c r="AJ171" i="5"/>
  <c r="Z61" i="2"/>
  <c r="Z172" i="4"/>
  <c r="AL171" i="5"/>
  <c r="AN171" i="5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D78" i="5"/>
  <c r="AI48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48" i="4" a="1"/>
  <c r="T48" i="4"/>
  <c r="AC78" i="5"/>
  <c r="AI56" i="4"/>
  <c r="H10" i="3"/>
  <c r="U56" i="4" a="1"/>
  <c r="U56" i="4"/>
  <c r="AD85" i="5"/>
  <c r="T56" i="4" a="1"/>
  <c r="T56" i="4"/>
  <c r="AC85" i="5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C65" i="2"/>
  <c r="G65" i="2"/>
  <c r="K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D63" i="2"/>
  <c r="B194" i="4"/>
  <c r="D194" i="4"/>
  <c r="E280" i="5"/>
  <c r="E9" i="2"/>
  <c r="D9" i="2"/>
  <c r="AC65" i="2"/>
  <c r="F9" i="2"/>
  <c r="AD65" i="2"/>
  <c r="AE65" i="2"/>
  <c r="H63" i="2"/>
  <c r="H194" i="4"/>
  <c r="K280" i="5"/>
  <c r="I9" i="2"/>
  <c r="H9" i="2"/>
  <c r="AF65" i="2"/>
  <c r="AG65" i="2"/>
  <c r="AH65" i="2"/>
  <c r="AI65" i="2"/>
  <c r="AJ65" i="2"/>
  <c r="J9" i="2"/>
  <c r="AK65" i="2"/>
  <c r="M63" i="2"/>
  <c r="M194" i="4"/>
  <c r="R280" i="5"/>
  <c r="L63" i="2"/>
  <c r="L194" i="4"/>
  <c r="Q280" i="5"/>
  <c r="M9" i="2"/>
  <c r="L9" i="2"/>
  <c r="AL65" i="2"/>
  <c r="AM65" i="2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C63" i="2"/>
  <c r="E63" i="2"/>
  <c r="F63" i="2"/>
  <c r="G63" i="2"/>
  <c r="I63" i="2"/>
  <c r="J63" i="2"/>
  <c r="K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D62" i="2"/>
  <c r="B310" i="4"/>
  <c r="D310" i="4"/>
  <c r="E310" i="5"/>
  <c r="AC63" i="2"/>
  <c r="AD63" i="2"/>
  <c r="AE63" i="2"/>
  <c r="I62" i="2"/>
  <c r="I310" i="4"/>
  <c r="L310" i="5"/>
  <c r="K310" i="5"/>
  <c r="AF63" i="2"/>
  <c r="AG63" i="2"/>
  <c r="AH63" i="2"/>
  <c r="AI63" i="2"/>
  <c r="AJ63" i="2"/>
  <c r="O310" i="5"/>
  <c r="J62" i="2"/>
  <c r="J310" i="4"/>
  <c r="N310" i="5"/>
  <c r="AK63" i="2"/>
  <c r="M62" i="2"/>
  <c r="M310" i="4"/>
  <c r="R310" i="5"/>
  <c r="L62" i="2"/>
  <c r="L310" i="4"/>
  <c r="Q310" i="5"/>
  <c r="AL63" i="2"/>
  <c r="AM63" i="2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247" i="4"/>
  <c r="E247" i="4"/>
  <c r="F222" i="5"/>
  <c r="D247" i="4"/>
  <c r="E222" i="5"/>
  <c r="D48" i="2"/>
  <c r="AC62" i="2"/>
  <c r="I222" i="5"/>
  <c r="F61" i="2"/>
  <c r="F247" i="4"/>
  <c r="H222" i="5"/>
  <c r="AD62" i="2"/>
  <c r="AE62" i="2"/>
  <c r="H61" i="2"/>
  <c r="H247" i="4"/>
  <c r="K222" i="5"/>
  <c r="I48" i="2"/>
  <c r="AF62" i="2"/>
  <c r="AG62" i="2"/>
  <c r="AH62" i="2"/>
  <c r="AI62" i="2"/>
  <c r="AJ62" i="2"/>
  <c r="J48" i="2"/>
  <c r="AK62" i="2"/>
  <c r="M247" i="4"/>
  <c r="R222" i="5"/>
  <c r="L247" i="4"/>
  <c r="Q222" i="5"/>
  <c r="M48" i="2"/>
  <c r="L48" i="2"/>
  <c r="AL62" i="2"/>
  <c r="AM62" i="2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117" i="1"/>
  <c r="BA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97" i="1"/>
  <c r="BA97" i="1"/>
  <c r="BB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AZ96" i="1"/>
  <c r="BA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BC96" i="1"/>
  <c r="CT96" i="1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X247" i="4"/>
  <c r="G61" i="2"/>
  <c r="I61" i="2"/>
  <c r="J61" i="2"/>
  <c r="K61" i="2"/>
  <c r="N61" i="2"/>
  <c r="O61" i="2"/>
  <c r="R61" i="2"/>
  <c r="T61" i="2"/>
  <c r="U61" i="2"/>
  <c r="V61" i="2"/>
  <c r="W61" i="2"/>
  <c r="AA61" i="2"/>
  <c r="AB61" i="2"/>
  <c r="D60" i="2"/>
  <c r="B300" i="4"/>
  <c r="D300" i="4"/>
  <c r="E300" i="5"/>
  <c r="E19" i="2"/>
  <c r="D19" i="2"/>
  <c r="AC61" i="2"/>
  <c r="F19" i="2"/>
  <c r="AD61" i="2"/>
  <c r="AE61" i="2"/>
  <c r="I60" i="2"/>
  <c r="I300" i="4"/>
  <c r="L300" i="5"/>
  <c r="K300" i="5"/>
  <c r="H19" i="2"/>
  <c r="AF61" i="2"/>
  <c r="AG61" i="2"/>
  <c r="AH61" i="2"/>
  <c r="AI61" i="2"/>
  <c r="AJ61" i="2"/>
  <c r="O300" i="5"/>
  <c r="J60" i="2"/>
  <c r="J300" i="4"/>
  <c r="N300" i="5"/>
  <c r="AK61" i="2"/>
  <c r="M60" i="2"/>
  <c r="M300" i="4"/>
  <c r="R300" i="5"/>
  <c r="L60" i="2"/>
  <c r="L300" i="4"/>
  <c r="Q300" i="5"/>
  <c r="M19" i="2"/>
  <c r="L19" i="2"/>
  <c r="AL61" i="2"/>
  <c r="AM61" i="2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258" i="4"/>
  <c r="D258" i="4"/>
  <c r="E298" i="5"/>
  <c r="D45" i="2"/>
  <c r="AC60" i="2"/>
  <c r="AD60" i="2"/>
  <c r="AE60" i="2"/>
  <c r="I59" i="2"/>
  <c r="I258" i="4"/>
  <c r="L298" i="5"/>
  <c r="K298" i="5"/>
  <c r="I45" i="2"/>
  <c r="AF60" i="2"/>
  <c r="AG60" i="2"/>
  <c r="AH60" i="2"/>
  <c r="AI60" i="2"/>
  <c r="AJ60" i="2"/>
  <c r="O298" i="5"/>
  <c r="J59" i="2"/>
  <c r="J258" i="4"/>
  <c r="N298" i="5"/>
  <c r="J45" i="2"/>
  <c r="AK60" i="2"/>
  <c r="M59" i="2"/>
  <c r="M258" i="4"/>
  <c r="R298" i="5"/>
  <c r="L59" i="2"/>
  <c r="L258" i="4"/>
  <c r="Q298" i="5"/>
  <c r="M45" i="2"/>
  <c r="L45" i="2"/>
  <c r="AL60" i="2"/>
  <c r="AM60" i="2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31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8" i="4"/>
  <c r="U47" i="2"/>
  <c r="U308" i="4"/>
  <c r="AD308" i="5"/>
  <c r="T47" i="2"/>
  <c r="T308" i="4"/>
  <c r="AC308" i="5"/>
  <c r="E7" i="13"/>
  <c r="C7" i="13"/>
  <c r="B7" i="13"/>
  <c r="A6" i="13"/>
  <c r="H6" i="13"/>
  <c r="G6" i="13"/>
  <c r="F6" i="13"/>
  <c r="B306" i="4"/>
  <c r="U48" i="2"/>
  <c r="U306" i="4"/>
  <c r="AD306" i="5"/>
  <c r="T48" i="2"/>
  <c r="T306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87" i="4"/>
  <c r="C59" i="2"/>
  <c r="C287" i="4"/>
  <c r="C258" i="4"/>
  <c r="C298" i="5"/>
  <c r="D23" i="2"/>
  <c r="D287" i="4"/>
  <c r="H298" i="5"/>
  <c r="I298" i="5"/>
  <c r="I23" i="2"/>
  <c r="I287" i="4"/>
  <c r="J23" i="2"/>
  <c r="J287" i="4"/>
  <c r="L23" i="2"/>
  <c r="L287" i="4"/>
  <c r="M23" i="2"/>
  <c r="M287" i="4"/>
  <c r="N23" i="2"/>
  <c r="N59" i="2"/>
  <c r="N287" i="4"/>
  <c r="N258" i="4"/>
  <c r="T298" i="5"/>
  <c r="O23" i="2"/>
  <c r="O59" i="2"/>
  <c r="O287" i="4"/>
  <c r="O258" i="4"/>
  <c r="U298" i="5"/>
  <c r="P23" i="2"/>
  <c r="P59" i="2"/>
  <c r="P287" i="4"/>
  <c r="P258" i="4"/>
  <c r="W298" i="5"/>
  <c r="Q23" i="2"/>
  <c r="Q59" i="2"/>
  <c r="Q287" i="4"/>
  <c r="Q258" i="4"/>
  <c r="X298" i="5"/>
  <c r="Z298" i="5"/>
  <c r="S23" i="2"/>
  <c r="S59" i="2"/>
  <c r="S287" i="4"/>
  <c r="S258" i="4"/>
  <c r="AA298" i="5"/>
  <c r="AI287" i="4"/>
  <c r="T287" i="4" a="1"/>
  <c r="T287" i="4"/>
  <c r="AI258" i="4"/>
  <c r="T258" i="4" a="1"/>
  <c r="T258" i="4"/>
  <c r="AC298" i="5"/>
  <c r="AD298" i="5"/>
  <c r="AF298" i="5"/>
  <c r="AG298" i="5"/>
  <c r="X23" i="2"/>
  <c r="X59" i="2"/>
  <c r="X287" i="4"/>
  <c r="X258" i="4"/>
  <c r="AI298" i="5"/>
  <c r="Y23" i="2"/>
  <c r="Y59" i="2"/>
  <c r="Y287" i="4"/>
  <c r="Y258" i="4"/>
  <c r="AJ298" i="5"/>
  <c r="Z23" i="2"/>
  <c r="Z59" i="2"/>
  <c r="Z287" i="4"/>
  <c r="Z258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58" i="4"/>
  <c r="F23" i="2"/>
  <c r="F59" i="2"/>
  <c r="F258" i="4"/>
  <c r="R23" i="2"/>
  <c r="R59" i="2"/>
  <c r="R258" i="4"/>
  <c r="AA258" i="4"/>
  <c r="AB258" i="4"/>
  <c r="AC258" i="4"/>
  <c r="AD258" i="4"/>
  <c r="AE258" i="4"/>
  <c r="AF258" i="4"/>
  <c r="AG258" i="4"/>
  <c r="AH258" i="4"/>
  <c r="AJ258" i="4"/>
  <c r="AK258" i="4"/>
  <c r="AL258" i="4"/>
  <c r="G59" i="2"/>
  <c r="H59" i="2"/>
  <c r="K59" i="2"/>
  <c r="T59" i="2"/>
  <c r="U59" i="2"/>
  <c r="V59" i="2"/>
  <c r="W59" i="2"/>
  <c r="AA59" i="2"/>
  <c r="AB59" i="2"/>
  <c r="E58" i="2"/>
  <c r="B256" i="4"/>
  <c r="E256" i="4"/>
  <c r="F230" i="5"/>
  <c r="D58" i="2"/>
  <c r="D256" i="4"/>
  <c r="E230" i="5"/>
  <c r="AC59" i="2"/>
  <c r="I230" i="5"/>
  <c r="F58" i="2"/>
  <c r="F256" i="4"/>
  <c r="H230" i="5"/>
  <c r="AD59" i="2"/>
  <c r="AE59" i="2"/>
  <c r="H58" i="2"/>
  <c r="H256" i="4"/>
  <c r="K230" i="5"/>
  <c r="AF59" i="2"/>
  <c r="AG59" i="2"/>
  <c r="AH59" i="2"/>
  <c r="AI59" i="2"/>
  <c r="AJ59" i="2"/>
  <c r="AK59" i="2"/>
  <c r="M58" i="2"/>
  <c r="M256" i="4"/>
  <c r="R230" i="5"/>
  <c r="L58" i="2"/>
  <c r="L256" i="4"/>
  <c r="Q230" i="5"/>
  <c r="AL59" i="2"/>
  <c r="AM59" i="2"/>
  <c r="D411" i="9"/>
  <c r="E411" i="9"/>
  <c r="F411" i="9"/>
  <c r="G411" i="9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C124" i="7"/>
  <c r="D124" i="7"/>
  <c r="E124" i="7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B184" i="4"/>
  <c r="AB24" i="4"/>
  <c r="AB117" i="4"/>
  <c r="AB128" i="4"/>
  <c r="AB133" i="4"/>
  <c r="AB141" i="4"/>
  <c r="AB185" i="4"/>
  <c r="AB187" i="4"/>
  <c r="AB188" i="4"/>
  <c r="AB101" i="4"/>
  <c r="AB114" i="4"/>
  <c r="AB122" i="4"/>
  <c r="AB140" i="4"/>
  <c r="AB20" i="4"/>
  <c r="AB21" i="4"/>
  <c r="AB22" i="4"/>
  <c r="AB23" i="4"/>
  <c r="AB25" i="4"/>
  <c r="AB27" i="4"/>
  <c r="AB52" i="4"/>
  <c r="AB53" i="4"/>
  <c r="AB55" i="4"/>
  <c r="AB56" i="4"/>
  <c r="AB58" i="4"/>
  <c r="AB59" i="4"/>
  <c r="AB60" i="4"/>
  <c r="AB67" i="4"/>
  <c r="AB68" i="4"/>
  <c r="AB69" i="4"/>
  <c r="AB70" i="4"/>
  <c r="AB71" i="4"/>
  <c r="AB72" i="4"/>
  <c r="AB73" i="4"/>
  <c r="AB293" i="4"/>
  <c r="AB115" i="4"/>
  <c r="AB287" i="4"/>
  <c r="AB291" i="4"/>
  <c r="AB51" i="4"/>
  <c r="AB54" i="4"/>
  <c r="AB57" i="4"/>
  <c r="AB65" i="4"/>
  <c r="AB66" i="4"/>
  <c r="AB74" i="4"/>
  <c r="AB78" i="4"/>
  <c r="AB85" i="4"/>
  <c r="AB292" i="4"/>
  <c r="AB110" i="4"/>
  <c r="AB120" i="4"/>
  <c r="AB130" i="4"/>
  <c r="AB160" i="4"/>
  <c r="AB165" i="4"/>
  <c r="AB166" i="4"/>
  <c r="AB167" i="4"/>
  <c r="AB168" i="4"/>
  <c r="AB169" i="4"/>
  <c r="AB170" i="4"/>
  <c r="AB172" i="4"/>
  <c r="AB173" i="4"/>
  <c r="AB181" i="4"/>
  <c r="AB200" i="4"/>
  <c r="AB201" i="4"/>
  <c r="AB216" i="4"/>
  <c r="AB217" i="4"/>
  <c r="AB218" i="4"/>
  <c r="AB219" i="4"/>
  <c r="AB220" i="4"/>
  <c r="AB221" i="4"/>
  <c r="AB238" i="4"/>
  <c r="AB248" i="4"/>
  <c r="AB257" i="4"/>
  <c r="AB259" i="4"/>
  <c r="AB265" i="4"/>
  <c r="AB266" i="4"/>
  <c r="AB267" i="4"/>
  <c r="AB268" i="4"/>
  <c r="AB269" i="4"/>
  <c r="AB270" i="4"/>
  <c r="AB271" i="4"/>
  <c r="AB272" i="4"/>
  <c r="AB273" i="4"/>
  <c r="AB274" i="4"/>
  <c r="AB275" i="4"/>
  <c r="AB286" i="4"/>
  <c r="AB8" i="4"/>
  <c r="AB9" i="4"/>
  <c r="AB10" i="4"/>
  <c r="AB11" i="4"/>
  <c r="AB12" i="4"/>
  <c r="AB16" i="4"/>
  <c r="AB18" i="4"/>
  <c r="AB26" i="4"/>
  <c r="AB28" i="4"/>
  <c r="AB29" i="4"/>
  <c r="AB30" i="4"/>
  <c r="AB31" i="4"/>
  <c r="AB32" i="4"/>
  <c r="AB33" i="4"/>
  <c r="AB35" i="4"/>
  <c r="AB36" i="4"/>
  <c r="AB37" i="4"/>
  <c r="AB38" i="4"/>
  <c r="AB39" i="4"/>
  <c r="AB40" i="4"/>
  <c r="AB2" i="4"/>
  <c r="AB3" i="4"/>
  <c r="AB4" i="4"/>
  <c r="AB5" i="4"/>
  <c r="AB41" i="4"/>
  <c r="AB42" i="4"/>
  <c r="AB43" i="4"/>
  <c r="AB44" i="4"/>
  <c r="AB45" i="4"/>
  <c r="AB46" i="4"/>
  <c r="AB47" i="4"/>
  <c r="AB48" i="4"/>
  <c r="AB49" i="4"/>
  <c r="AB50" i="4"/>
  <c r="AB62" i="4"/>
  <c r="AB63" i="4"/>
  <c r="AB64" i="4"/>
  <c r="AB75" i="4"/>
  <c r="AB80" i="4"/>
  <c r="AB81" i="4"/>
  <c r="AB82" i="4"/>
  <c r="AB83" i="4"/>
  <c r="AB84" i="4"/>
  <c r="AB86" i="4"/>
  <c r="AB87" i="4"/>
  <c r="AB88" i="4"/>
  <c r="AB90" i="4"/>
  <c r="AB91" i="4"/>
  <c r="AB92" i="4"/>
  <c r="AB93" i="4"/>
  <c r="AB94" i="4"/>
  <c r="AB296" i="4"/>
  <c r="AB95" i="4"/>
  <c r="AB96" i="4"/>
  <c r="AB97" i="4"/>
  <c r="AB104" i="4"/>
  <c r="AB105" i="4"/>
  <c r="AB107" i="4"/>
  <c r="AB108" i="4"/>
  <c r="AB112" i="4"/>
  <c r="AB113" i="4"/>
  <c r="AB116" i="4"/>
  <c r="AB118" i="4"/>
  <c r="AB119" i="4"/>
  <c r="AB121" i="4"/>
  <c r="AB123" i="4"/>
  <c r="AB124" i="4"/>
  <c r="AB125" i="4"/>
  <c r="AB126" i="4"/>
  <c r="AB129" i="4"/>
  <c r="AB131" i="4"/>
  <c r="AB132" i="4"/>
  <c r="AB134" i="4"/>
  <c r="AB136" i="4"/>
  <c r="AB137" i="4"/>
  <c r="AB138" i="4"/>
  <c r="AB139" i="4"/>
  <c r="AB144" i="4"/>
  <c r="AB146" i="4"/>
  <c r="AB148" i="4"/>
  <c r="AB149" i="4"/>
  <c r="AB151" i="4"/>
  <c r="AB153" i="4"/>
  <c r="AB154" i="4"/>
  <c r="AB155" i="4"/>
  <c r="AB156" i="4"/>
  <c r="AB157" i="4"/>
  <c r="AB158" i="4"/>
  <c r="AB159" i="4"/>
  <c r="AB161" i="4"/>
  <c r="AB175" i="4"/>
  <c r="AB179" i="4"/>
  <c r="AB180" i="4"/>
  <c r="AB182" i="4"/>
  <c r="AB183" i="4"/>
  <c r="AB186" i="4"/>
  <c r="AB190" i="4"/>
  <c r="AB191" i="4"/>
  <c r="AB192" i="4"/>
  <c r="AB193" i="4"/>
  <c r="AB194" i="4"/>
  <c r="AB195" i="4"/>
  <c r="AB196" i="4"/>
  <c r="AB197" i="4"/>
  <c r="AB202" i="4"/>
  <c r="AB203" i="4"/>
  <c r="AB204" i="4"/>
  <c r="AB205" i="4"/>
  <c r="AB206" i="4"/>
  <c r="AB207" i="4"/>
  <c r="AB208" i="4"/>
  <c r="AB297" i="4"/>
  <c r="AB212" i="4"/>
  <c r="AB213" i="4"/>
  <c r="AB214" i="4"/>
  <c r="AB215" i="4"/>
  <c r="AB222" i="4"/>
  <c r="AB223" i="4"/>
  <c r="AB224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9" i="4"/>
  <c r="AB240" i="4"/>
  <c r="AB241" i="4"/>
  <c r="AB242" i="4"/>
  <c r="AB243" i="4"/>
  <c r="AB244" i="4"/>
  <c r="AB298" i="4"/>
  <c r="AB245" i="4"/>
  <c r="AB247" i="4"/>
  <c r="AB251" i="4"/>
  <c r="AB255" i="4"/>
  <c r="AB256" i="4"/>
  <c r="AB260" i="4"/>
  <c r="AB261" i="4"/>
  <c r="AB262" i="4"/>
  <c r="AB277" i="4"/>
  <c r="AB278" i="4"/>
  <c r="AB279" i="4"/>
  <c r="AB280" i="4"/>
  <c r="AB281" i="4"/>
  <c r="AB282" i="4"/>
  <c r="AB283" i="4"/>
  <c r="AB284" i="4"/>
  <c r="AB288" i="4"/>
  <c r="AB289" i="4"/>
  <c r="AB290" i="4"/>
  <c r="AB13" i="4"/>
  <c r="AB14" i="4"/>
  <c r="AB15" i="4"/>
  <c r="AB17" i="4"/>
  <c r="AB19" i="4"/>
  <c r="AB76" i="4"/>
  <c r="AB77" i="4"/>
  <c r="AB99" i="4"/>
  <c r="AB100" i="4"/>
  <c r="AB109" i="4"/>
  <c r="AB145" i="4"/>
  <c r="AB150" i="4"/>
  <c r="AB174" i="4"/>
  <c r="AB198" i="4"/>
  <c r="AB199" i="4"/>
  <c r="AB225" i="4"/>
  <c r="AB254" i="4"/>
  <c r="AB103" i="4"/>
  <c r="AB106" i="4"/>
  <c r="AB135" i="4"/>
  <c r="AB142" i="4"/>
  <c r="AB209" i="4"/>
  <c r="AB210" i="4"/>
  <c r="AB211" i="4"/>
  <c r="AB294" i="4"/>
  <c r="AB295" i="4"/>
  <c r="AB111" i="4"/>
  <c r="AB143" i="4"/>
  <c r="AB6" i="4"/>
  <c r="AB127" i="4"/>
  <c r="AB147" i="4"/>
  <c r="AB249" i="4"/>
  <c r="AB250" i="4"/>
  <c r="AB252" i="4"/>
  <c r="AB276" i="4"/>
  <c r="AB79" i="4"/>
  <c r="AB7" i="4"/>
  <c r="AB177" i="4"/>
  <c r="AB253" i="4"/>
  <c r="AB34" i="4"/>
  <c r="AB176" i="4"/>
  <c r="AB178" i="4"/>
  <c r="AB189" i="4"/>
  <c r="AB246" i="4"/>
  <c r="AB89" i="4"/>
  <c r="AB162" i="4"/>
  <c r="AB163" i="4"/>
  <c r="AB164" i="4"/>
  <c r="AB171" i="4"/>
  <c r="AB263" i="4"/>
  <c r="AB264" i="4"/>
  <c r="AB285" i="4"/>
  <c r="AB98" i="4"/>
  <c r="AB152" i="4"/>
  <c r="AB102" i="4"/>
  <c r="AB302" i="4"/>
  <c r="AB301" i="4"/>
  <c r="AB299" i="4"/>
  <c r="AB300" i="4"/>
  <c r="AB304" i="4"/>
  <c r="AB309" i="4"/>
  <c r="AB312" i="4"/>
  <c r="AB313" i="4"/>
  <c r="AB314" i="4"/>
  <c r="AB305" i="4"/>
  <c r="AB303" i="4"/>
  <c r="AB306" i="4"/>
  <c r="AB307" i="4"/>
  <c r="AB308" i="4"/>
  <c r="AB311" i="4"/>
  <c r="AB310" i="4"/>
  <c r="AB318" i="4"/>
  <c r="AB319" i="4"/>
  <c r="AB320" i="4"/>
  <c r="AB321" i="4"/>
  <c r="AB322" i="4"/>
  <c r="AB323" i="4"/>
  <c r="AB324" i="4"/>
  <c r="AB325" i="4"/>
  <c r="AB337" i="4"/>
  <c r="AB338" i="4"/>
  <c r="AB339" i="4"/>
  <c r="AB340" i="4"/>
  <c r="AB341" i="4"/>
  <c r="AB343" i="4"/>
  <c r="AB344" i="4"/>
  <c r="AB345" i="4"/>
  <c r="AB315" i="4"/>
  <c r="AB316" i="4"/>
  <c r="AB317" i="4"/>
  <c r="AB330" i="4"/>
  <c r="AB331" i="4"/>
  <c r="AB332" i="4"/>
  <c r="AB333" i="4"/>
  <c r="AB335" i="4"/>
  <c r="AB342" i="4"/>
  <c r="AB346" i="4"/>
  <c r="AB334" i="4"/>
  <c r="AB327" i="4"/>
  <c r="AB326" i="4"/>
  <c r="AB347" i="4"/>
  <c r="AB328" i="4"/>
  <c r="AB329" i="4"/>
  <c r="AB336" i="4"/>
  <c r="AB348" i="4"/>
  <c r="AB352" i="4"/>
  <c r="AB353" i="4"/>
  <c r="AB366" i="4"/>
  <c r="AB367" i="4"/>
  <c r="AB368" i="4"/>
  <c r="AB354" i="4"/>
  <c r="AB355" i="4"/>
  <c r="AB356" i="4"/>
  <c r="AB357" i="4"/>
  <c r="AB358" i="4"/>
  <c r="AB359" i="4"/>
  <c r="AB360" i="4"/>
  <c r="AB361" i="4"/>
  <c r="AB362" i="4"/>
  <c r="AB369" i="4"/>
  <c r="AB363" i="4"/>
  <c r="AB364" i="4"/>
  <c r="AB365" i="4"/>
  <c r="AB351" i="4"/>
  <c r="AB349" i="4"/>
  <c r="AB350" i="4"/>
  <c r="AB375" i="4"/>
  <c r="AB371" i="4"/>
  <c r="AB379" i="4"/>
  <c r="AB370" i="4"/>
  <c r="AB372" i="4"/>
  <c r="AB374" i="4"/>
  <c r="AB377" i="4"/>
  <c r="AB381" i="4"/>
  <c r="AB380" i="4"/>
  <c r="AB373" i="4"/>
  <c r="AB376" i="4"/>
  <c r="AB378" i="4"/>
  <c r="AB386" i="4"/>
  <c r="AB385" i="4"/>
  <c r="AB383" i="4"/>
  <c r="AB384" i="4"/>
  <c r="AB382" i="4"/>
  <c r="AB390" i="4"/>
  <c r="AB405" i="4"/>
  <c r="AB408" i="4"/>
  <c r="AB391" i="4"/>
  <c r="AB392" i="4"/>
  <c r="AB393" i="4"/>
  <c r="AB394" i="4"/>
  <c r="AB400" i="4"/>
  <c r="AB401" i="4"/>
  <c r="AB402" i="4"/>
  <c r="AB403" i="4"/>
  <c r="AB407" i="4"/>
  <c r="AB387" i="4"/>
  <c r="AB388" i="4"/>
  <c r="AB389" i="4"/>
  <c r="AB396" i="4"/>
  <c r="AB397" i="4"/>
  <c r="AB398" i="4"/>
  <c r="AB399" i="4"/>
  <c r="AB404" i="4"/>
  <c r="AB406" i="4"/>
  <c r="AB409" i="4"/>
  <c r="AB410" i="4"/>
  <c r="AB411" i="4"/>
  <c r="AB395" i="4"/>
  <c r="AB61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B205" i="4"/>
  <c r="D205" i="4"/>
  <c r="E287" i="5"/>
  <c r="E42" i="2"/>
  <c r="D42" i="2"/>
  <c r="AC58" i="2"/>
  <c r="F42" i="2"/>
  <c r="AD58" i="2"/>
  <c r="AE58" i="2"/>
  <c r="H57" i="2"/>
  <c r="H205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205" i="4"/>
  <c r="R287" i="5"/>
  <c r="L57" i="2"/>
  <c r="L205" i="4"/>
  <c r="Q287" i="5"/>
  <c r="M42" i="2"/>
  <c r="L42" i="2"/>
  <c r="AL58" i="2"/>
  <c r="AM58" i="2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H381" i="5"/>
  <c r="H53" i="2"/>
  <c r="B380" i="4"/>
  <c r="H380" i="4"/>
  <c r="K381" i="5"/>
  <c r="F45" i="2"/>
  <c r="B381" i="5"/>
  <c r="C52" i="2"/>
  <c r="C381" i="4"/>
  <c r="C53" i="2"/>
  <c r="C380" i="4"/>
  <c r="C381" i="5"/>
  <c r="D52" i="2"/>
  <c r="D381" i="4"/>
  <c r="D53" i="2"/>
  <c r="D380" i="4"/>
  <c r="E381" i="5"/>
  <c r="F381" i="5"/>
  <c r="I381" i="5"/>
  <c r="H52" i="2"/>
  <c r="H381" i="4"/>
  <c r="I52" i="2"/>
  <c r="I381" i="4"/>
  <c r="I53" i="2"/>
  <c r="I380" i="4"/>
  <c r="L381" i="5"/>
  <c r="J52" i="2"/>
  <c r="J381" i="4"/>
  <c r="J53" i="2"/>
  <c r="J380" i="4"/>
  <c r="N381" i="5"/>
  <c r="K52" i="2"/>
  <c r="K381" i="4"/>
  <c r="K53" i="2"/>
  <c r="K380" i="4"/>
  <c r="O381" i="5"/>
  <c r="L52" i="2"/>
  <c r="L381" i="4"/>
  <c r="L53" i="2"/>
  <c r="L380" i="4"/>
  <c r="Q381" i="5"/>
  <c r="M52" i="2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D44" i="7"/>
  <c r="E44" i="7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E56" i="2"/>
  <c r="B48" i="4"/>
  <c r="E48" i="4"/>
  <c r="F78" i="5"/>
  <c r="D56" i="2"/>
  <c r="D48" i="4"/>
  <c r="E78" i="5"/>
  <c r="D40" i="2"/>
  <c r="F287" i="5"/>
  <c r="AC57" i="2"/>
  <c r="I78" i="5"/>
  <c r="F56" i="2"/>
  <c r="F48" i="4"/>
  <c r="H78" i="5"/>
  <c r="H287" i="5"/>
  <c r="I287" i="5"/>
  <c r="AD57" i="2"/>
  <c r="AE57" i="2"/>
  <c r="H56" i="2"/>
  <c r="H48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48" i="4"/>
  <c r="R78" i="5"/>
  <c r="L56" i="2"/>
  <c r="L48" i="4"/>
  <c r="Q78" i="5"/>
  <c r="M40" i="2"/>
  <c r="L40" i="2"/>
  <c r="AL57" i="2"/>
  <c r="AM57" i="2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BC222" i="1"/>
  <c r="CT222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X54" i="2"/>
  <c r="B257" i="4"/>
  <c r="X257" i="4"/>
  <c r="X56" i="2"/>
  <c r="AK143" i="4"/>
  <c r="AK175" i="4"/>
  <c r="AK117" i="4"/>
  <c r="AK128" i="4"/>
  <c r="AK141" i="4"/>
  <c r="AK84" i="4"/>
  <c r="AK137" i="4"/>
  <c r="AK83" i="4"/>
  <c r="AK249" i="4"/>
  <c r="AK149" i="4"/>
  <c r="AK184" i="4"/>
  <c r="AK174" i="4"/>
  <c r="AK182" i="4"/>
  <c r="AK183" i="4"/>
  <c r="AK82" i="4"/>
  <c r="AK270" i="4"/>
  <c r="AK273" i="4"/>
  <c r="AK23" i="4"/>
  <c r="AK152" i="4"/>
  <c r="AK123" i="4"/>
  <c r="AK139" i="4"/>
  <c r="AK6" i="4"/>
  <c r="AK18" i="4"/>
  <c r="AK7" i="4"/>
  <c r="AK102" i="4"/>
  <c r="AK38" i="4"/>
  <c r="AK263" i="4"/>
  <c r="AK264" i="4"/>
  <c r="AK148" i="4"/>
  <c r="AK165" i="4"/>
  <c r="AK278" i="4"/>
  <c r="AK280" i="4"/>
  <c r="AK253" i="4"/>
  <c r="AK106" i="4"/>
  <c r="AK279" i="4"/>
  <c r="AK277" i="4"/>
  <c r="AK281" i="4"/>
  <c r="AK282" i="4"/>
  <c r="AK283" i="4"/>
  <c r="AK16" i="4"/>
  <c r="AK126" i="4"/>
  <c r="AK146" i="4"/>
  <c r="AK4" i="4"/>
  <c r="AK3" i="4"/>
  <c r="AK17" i="4"/>
  <c r="AK2" i="4"/>
  <c r="AK11" i="4"/>
  <c r="AK28" i="4"/>
  <c r="AK75" i="4"/>
  <c r="AK29" i="4"/>
  <c r="AK32" i="4"/>
  <c r="AK157" i="4"/>
  <c r="AK33" i="4"/>
  <c r="AK30" i="4"/>
  <c r="AK31" i="4"/>
  <c r="AK131" i="4"/>
  <c r="AK162" i="4"/>
  <c r="AK163" i="4"/>
  <c r="AK164" i="4"/>
  <c r="AK89" i="4"/>
  <c r="AK171" i="4"/>
  <c r="AK285" i="4"/>
  <c r="AK120" i="4"/>
  <c r="AK222" i="4"/>
  <c r="AK223" i="4"/>
  <c r="AK224" i="4"/>
  <c r="AK226" i="4"/>
  <c r="AK227" i="4"/>
  <c r="AK158" i="4"/>
  <c r="AK121" i="4"/>
  <c r="AK166" i="4"/>
  <c r="AK167" i="4"/>
  <c r="AK213" i="4"/>
  <c r="AK215" i="4"/>
  <c r="AK20" i="4"/>
  <c r="AK66" i="4"/>
  <c r="AK96" i="4"/>
  <c r="AK111" i="4"/>
  <c r="AK214" i="4"/>
  <c r="AK225" i="4"/>
  <c r="AK109" i="4"/>
  <c r="AK150" i="4"/>
  <c r="AK290" i="4"/>
  <c r="AK65" i="4"/>
  <c r="AK232" i="4"/>
  <c r="AK284" i="4"/>
  <c r="AK142" i="4"/>
  <c r="AK107" i="4"/>
  <c r="AK35" i="4"/>
  <c r="AK5" i="4"/>
  <c r="AK36" i="4"/>
  <c r="AK248" i="4"/>
  <c r="AK37" i="4"/>
  <c r="AK124" i="4"/>
  <c r="AK127" i="4"/>
  <c r="AK12" i="4"/>
  <c r="AK76" i="4"/>
  <c r="AK159" i="4"/>
  <c r="AK77" i="4"/>
  <c r="AK181" i="4"/>
  <c r="AK266" i="4"/>
  <c r="AK252" i="4"/>
  <c r="AK179" i="4"/>
  <c r="AK267" i="4"/>
  <c r="AK180" i="4"/>
  <c r="AK265" i="4"/>
  <c r="AK21" i="4"/>
  <c r="AK269" i="4"/>
  <c r="AK10" i="4"/>
  <c r="AK9" i="4"/>
  <c r="AK145" i="4"/>
  <c r="AK160" i="4"/>
  <c r="AK8" i="4"/>
  <c r="AK40" i="4"/>
  <c r="AK39" i="4"/>
  <c r="AK95" i="4"/>
  <c r="AK185" i="4"/>
  <c r="AK186" i="4"/>
  <c r="AK187" i="4"/>
  <c r="AK188" i="4"/>
  <c r="AK64" i="4"/>
  <c r="AK237" i="4"/>
  <c r="AK122" i="4"/>
  <c r="AK90" i="4"/>
  <c r="AK274" i="4"/>
  <c r="AK104" i="4"/>
  <c r="AK200" i="4"/>
  <c r="AK201" i="4"/>
  <c r="AK218" i="4"/>
  <c r="AK219" i="4"/>
  <c r="AK220" i="4"/>
  <c r="AK221" i="4"/>
  <c r="AK268" i="4"/>
  <c r="AK271" i="4"/>
  <c r="AK91" i="4"/>
  <c r="AK92" i="4"/>
  <c r="AK272" i="4"/>
  <c r="AK22" i="4"/>
  <c r="AK98" i="4"/>
  <c r="AK296" i="4"/>
  <c r="AK114" i="4"/>
  <c r="AK204" i="4"/>
  <c r="AK14" i="4"/>
  <c r="AK34" i="4"/>
  <c r="AK298" i="4"/>
  <c r="AK245" i="4"/>
  <c r="AK73" i="4"/>
  <c r="AK177" i="4"/>
  <c r="AK178" i="4"/>
  <c r="AK100" i="4"/>
  <c r="AK189" i="4"/>
  <c r="AK99" i="4"/>
  <c r="AK176" i="4"/>
  <c r="AK244" i="4"/>
  <c r="AK286" i="4"/>
  <c r="AK216" i="4"/>
  <c r="AK217" i="4"/>
  <c r="AK193" i="4"/>
  <c r="AK206" i="4"/>
  <c r="AK81" i="4"/>
  <c r="AK134" i="4"/>
  <c r="AK190" i="4"/>
  <c r="AK191" i="4"/>
  <c r="AK192" i="4"/>
  <c r="AK207" i="4"/>
  <c r="AK194" i="4"/>
  <c r="AK196" i="4"/>
  <c r="AK205" i="4"/>
  <c r="AK195" i="4"/>
  <c r="AK254" i="4"/>
  <c r="AK103" i="4"/>
  <c r="AK138" i="4"/>
  <c r="AK144" i="4"/>
  <c r="AK85" i="4"/>
  <c r="AK288" i="4"/>
  <c r="AK289" i="4"/>
  <c r="AK251" i="4"/>
  <c r="AK19" i="4"/>
  <c r="AK13" i="4"/>
  <c r="AK15" i="4"/>
  <c r="AK50" i="4"/>
  <c r="AK93" i="4"/>
  <c r="AK208" i="4"/>
  <c r="AK49" i="4"/>
  <c r="AK48" i="4"/>
  <c r="AK116" i="4"/>
  <c r="AK247" i="4"/>
  <c r="AK47" i="4"/>
  <c r="AK292" i="4"/>
  <c r="AK212" i="4"/>
  <c r="AK243" i="4"/>
  <c r="AK154" i="4"/>
  <c r="AK105" i="4"/>
  <c r="AK63" i="4"/>
  <c r="AK294" i="4"/>
  <c r="AK295" i="4"/>
  <c r="AK153" i="4"/>
  <c r="AK197" i="4"/>
  <c r="AK246" i="4"/>
  <c r="AK133" i="4"/>
  <c r="AK199" i="4"/>
  <c r="AK46" i="4"/>
  <c r="AK202" i="4"/>
  <c r="AK203" i="4"/>
  <c r="AK260" i="4"/>
  <c r="AK198" i="4"/>
  <c r="AK74" i="4"/>
  <c r="AK86" i="4"/>
  <c r="AK130" i="4"/>
  <c r="AK230" i="4"/>
  <c r="AK129" i="4"/>
  <c r="AK147" i="4"/>
  <c r="AK94" i="4"/>
  <c r="AK161" i="4"/>
  <c r="AK229" i="4"/>
  <c r="AK228" i="4"/>
  <c r="AK87" i="4"/>
  <c r="AK88" i="4"/>
  <c r="AK259" i="4"/>
  <c r="AK231" i="4"/>
  <c r="AK235" i="4"/>
  <c r="AK118" i="4"/>
  <c r="AK256" i="4"/>
  <c r="AK43" i="4"/>
  <c r="AK234" i="4"/>
  <c r="AK132" i="4"/>
  <c r="AK135" i="4"/>
  <c r="AK209" i="4"/>
  <c r="AK210" i="4"/>
  <c r="AK211" i="4"/>
  <c r="AK61" i="4"/>
  <c r="AK25" i="4"/>
  <c r="AK51" i="4"/>
  <c r="AK54" i="4"/>
  <c r="AK55" i="4"/>
  <c r="AK57" i="4"/>
  <c r="AK59" i="4"/>
  <c r="AK67" i="4"/>
  <c r="AK112" i="4"/>
  <c r="AK291" i="4"/>
  <c r="AK53" i="4"/>
  <c r="AK56" i="4"/>
  <c r="AK119" i="4"/>
  <c r="AK136" i="4"/>
  <c r="AK62" i="4"/>
  <c r="AK108" i="4"/>
  <c r="AK41" i="4"/>
  <c r="AK42" i="4"/>
  <c r="AK110" i="4"/>
  <c r="AK140" i="4"/>
  <c r="AK168" i="4"/>
  <c r="AK170" i="4"/>
  <c r="AK238" i="4"/>
  <c r="AK45" i="4"/>
  <c r="AK151" i="4"/>
  <c r="AK257" i="4"/>
  <c r="AK236" i="4"/>
  <c r="AK240" i="4"/>
  <c r="AK241" i="4"/>
  <c r="AK242" i="4"/>
  <c r="AK44" i="4"/>
  <c r="AK276" i="4"/>
  <c r="AK26" i="4"/>
  <c r="AK27" i="4"/>
  <c r="AK52" i="4"/>
  <c r="AK58" i="4"/>
  <c r="AK60" i="4"/>
  <c r="AK68" i="4"/>
  <c r="AK69" i="4"/>
  <c r="AK70" i="4"/>
  <c r="AK71" i="4"/>
  <c r="AK287" i="4"/>
  <c r="AK72" i="4"/>
  <c r="AK125" i="4"/>
  <c r="AK262" i="4"/>
  <c r="AK155" i="4"/>
  <c r="AK156" i="4"/>
  <c r="AK169" i="4"/>
  <c r="AK275" i="4"/>
  <c r="AK101" i="4"/>
  <c r="AK80" i="4"/>
  <c r="AK79" i="4"/>
  <c r="AK261" i="4"/>
  <c r="AK78" i="4"/>
  <c r="AK24" i="4"/>
  <c r="AK172" i="4"/>
  <c r="AK173" i="4"/>
  <c r="AK233" i="4"/>
  <c r="AK255" i="4"/>
  <c r="AK113" i="4"/>
  <c r="AK250" i="4"/>
  <c r="AK115" i="4"/>
  <c r="AK97" i="4"/>
  <c r="AK239" i="4"/>
  <c r="AK297" i="4"/>
  <c r="AK312" i="4"/>
  <c r="AK304" i="4"/>
  <c r="AK309" i="4"/>
  <c r="AK313" i="4"/>
  <c r="AK314" i="4"/>
  <c r="AK299" i="4"/>
  <c r="AK300" i="4"/>
  <c r="AK301" i="4"/>
  <c r="AK302" i="4"/>
  <c r="AK311" i="4"/>
  <c r="AK303" i="4"/>
  <c r="AK305" i="4"/>
  <c r="AK306" i="4"/>
  <c r="AK307" i="4"/>
  <c r="AK308" i="4"/>
  <c r="AK310" i="4"/>
  <c r="AK321" i="4"/>
  <c r="AK347" i="4"/>
  <c r="AK332" i="4"/>
  <c r="AK345" i="4"/>
  <c r="AK343" i="4"/>
  <c r="AK344" i="4"/>
  <c r="AK334" i="4"/>
  <c r="AK346" i="4"/>
  <c r="AK333" i="4"/>
  <c r="AK331" i="4"/>
  <c r="AK335" i="4"/>
  <c r="AK320" i="4"/>
  <c r="AK322" i="4"/>
  <c r="AK323" i="4"/>
  <c r="AK324" i="4"/>
  <c r="AK337" i="4"/>
  <c r="AK338" i="4"/>
  <c r="AK339" i="4"/>
  <c r="AK340" i="4"/>
  <c r="AK342" i="4"/>
  <c r="AK341" i="4"/>
  <c r="AK328" i="4"/>
  <c r="AK326" i="4"/>
  <c r="AK327" i="4"/>
  <c r="AK329" i="4"/>
  <c r="AK318" i="4"/>
  <c r="AK319" i="4"/>
  <c r="AK330" i="4"/>
  <c r="AK336" i="4"/>
  <c r="AK317" i="4"/>
  <c r="AK315" i="4"/>
  <c r="AK316" i="4"/>
  <c r="AK325" i="4"/>
  <c r="AK355" i="4"/>
  <c r="AK359" i="4"/>
  <c r="AK354" i="4"/>
  <c r="AK348" i="4"/>
  <c r="AK363" i="4"/>
  <c r="AK364" i="4"/>
  <c r="AK365" i="4"/>
  <c r="AK351" i="4"/>
  <c r="AK356" i="4"/>
  <c r="AK357" i="4"/>
  <c r="AK349" i="4"/>
  <c r="AK350" i="4"/>
  <c r="AK369" i="4"/>
  <c r="AK352" i="4"/>
  <c r="AK353" i="4"/>
  <c r="AK358" i="4"/>
  <c r="AK360" i="4"/>
  <c r="AK361" i="4"/>
  <c r="AK362" i="4"/>
  <c r="AK367" i="4"/>
  <c r="AK366" i="4"/>
  <c r="AK368" i="4"/>
  <c r="AK374" i="4"/>
  <c r="AK375" i="4"/>
  <c r="AK378" i="4"/>
  <c r="AK372" i="4"/>
  <c r="AK373" i="4"/>
  <c r="AK376" i="4"/>
  <c r="AK377" i="4"/>
  <c r="AK371" i="4"/>
  <c r="AK379" i="4"/>
  <c r="AK370" i="4"/>
  <c r="AK381" i="4"/>
  <c r="AK382" i="4"/>
  <c r="AK386" i="4"/>
  <c r="AK384" i="4"/>
  <c r="AK385" i="4"/>
  <c r="AK383" i="4"/>
  <c r="AK401" i="4"/>
  <c r="AK390" i="4"/>
  <c r="AK389" i="4"/>
  <c r="AK388" i="4"/>
  <c r="AK396" i="4"/>
  <c r="AK397" i="4"/>
  <c r="AK398" i="4"/>
  <c r="AK404" i="4"/>
  <c r="AK405" i="4"/>
  <c r="AK387" i="4"/>
  <c r="AK391" i="4"/>
  <c r="AK392" i="4"/>
  <c r="AK393" i="4"/>
  <c r="AK394" i="4"/>
  <c r="AK395" i="4"/>
  <c r="AK399" i="4"/>
  <c r="AK400" i="4"/>
  <c r="AK402" i="4"/>
  <c r="AK403" i="4"/>
  <c r="AK406" i="4"/>
  <c r="AK407" i="4"/>
  <c r="AK408" i="4"/>
  <c r="AK409" i="4"/>
  <c r="AK410" i="4"/>
  <c r="AK411" i="4"/>
  <c r="AK293" i="4"/>
  <c r="B7" i="3"/>
  <c r="C7" i="3"/>
  <c r="AI71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71" i="4" a="1"/>
  <c r="U71" i="4"/>
  <c r="AD94" i="5"/>
  <c r="T71" i="4" a="1"/>
  <c r="T71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W56" i="2"/>
  <c r="Y56" i="2"/>
  <c r="Z56" i="2"/>
  <c r="AA56" i="2"/>
  <c r="AB56" i="2"/>
  <c r="D55" i="2"/>
  <c r="D259" i="4"/>
  <c r="E20" i="5"/>
  <c r="E18" i="2"/>
  <c r="D18" i="2"/>
  <c r="AC56" i="2"/>
  <c r="F18" i="2"/>
  <c r="AD56" i="2"/>
  <c r="AE56" i="2"/>
  <c r="H55" i="2"/>
  <c r="H259" i="4"/>
  <c r="K20" i="5"/>
  <c r="H18" i="2"/>
  <c r="L78" i="5"/>
  <c r="AF56" i="2"/>
  <c r="AG56" i="2"/>
  <c r="AH56" i="2"/>
  <c r="AI56" i="2"/>
  <c r="AJ56" i="2"/>
  <c r="N78" i="5"/>
  <c r="O78" i="5"/>
  <c r="AK56" i="2"/>
  <c r="M55" i="2"/>
  <c r="M259" i="4"/>
  <c r="R20" i="5"/>
  <c r="L55" i="2"/>
  <c r="L259" i="4"/>
  <c r="Q20" i="5"/>
  <c r="M18" i="2"/>
  <c r="L18" i="2"/>
  <c r="AL56" i="2"/>
  <c r="AM56" i="2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S51" i="2"/>
  <c r="B352" i="4"/>
  <c r="S352" i="4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H7" i="2"/>
  <c r="B283" i="4"/>
  <c r="H283" i="4"/>
  <c r="H30" i="2"/>
  <c r="S9" i="2"/>
  <c r="B15" i="4"/>
  <c r="S8" i="2"/>
  <c r="S15" i="4"/>
  <c r="N30" i="2"/>
  <c r="B211" i="4"/>
  <c r="N211" i="4"/>
  <c r="N9" i="2"/>
  <c r="N25" i="2"/>
  <c r="N16" i="2"/>
  <c r="N21" i="2"/>
  <c r="N39" i="2"/>
  <c r="N5" i="2"/>
  <c r="N8" i="2"/>
  <c r="N7" i="2"/>
  <c r="N18" i="2"/>
  <c r="N44" i="2"/>
  <c r="N251" i="4"/>
  <c r="B17" i="4"/>
  <c r="N17" i="4"/>
  <c r="C9" i="2"/>
  <c r="G9" i="2"/>
  <c r="K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14" i="4"/>
  <c r="D14" i="4"/>
  <c r="E44" i="5"/>
  <c r="D15" i="4"/>
  <c r="E45" i="5"/>
  <c r="F45" i="5"/>
  <c r="AC9" i="2"/>
  <c r="H45" i="5"/>
  <c r="I45" i="5"/>
  <c r="AD9" i="2"/>
  <c r="AE9" i="2"/>
  <c r="H8" i="2"/>
  <c r="H14" i="4"/>
  <c r="K44" i="5"/>
  <c r="H15" i="4"/>
  <c r="K45" i="5"/>
  <c r="L45" i="5"/>
  <c r="AF9" i="2"/>
  <c r="AG9" i="2"/>
  <c r="AH9" i="2"/>
  <c r="AI9" i="2"/>
  <c r="AJ9" i="2"/>
  <c r="N45" i="5"/>
  <c r="O45" i="5"/>
  <c r="AK9" i="2"/>
  <c r="M8" i="2"/>
  <c r="M14" i="4"/>
  <c r="R44" i="5"/>
  <c r="L8" i="2"/>
  <c r="L14" i="4"/>
  <c r="Q44" i="5"/>
  <c r="M15" i="4"/>
  <c r="R45" i="5"/>
  <c r="L15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S4" i="2"/>
  <c r="B75" i="4"/>
  <c r="S5" i="2"/>
  <c r="S75" i="4"/>
  <c r="S42" i="2"/>
  <c r="S16" i="2"/>
  <c r="B2" i="4"/>
  <c r="S2" i="4"/>
  <c r="S17" i="2"/>
  <c r="B3" i="4"/>
  <c r="S3" i="4"/>
  <c r="B4" i="4"/>
  <c r="S4" i="4"/>
  <c r="S12" i="2"/>
  <c r="B31" i="4"/>
  <c r="S31" i="4"/>
  <c r="S10" i="2"/>
  <c r="B32" i="4"/>
  <c r="S32" i="4"/>
  <c r="B33" i="4"/>
  <c r="S33" i="4"/>
  <c r="S11" i="2"/>
  <c r="B28" i="4"/>
  <c r="S28" i="4"/>
  <c r="S13" i="2"/>
  <c r="B29" i="4"/>
  <c r="S29" i="4"/>
  <c r="B30" i="4"/>
  <c r="S30" i="4"/>
  <c r="S7" i="2"/>
  <c r="S17" i="4"/>
  <c r="B16" i="4"/>
  <c r="S16" i="4"/>
  <c r="B11" i="4"/>
  <c r="S11" i="4"/>
  <c r="N4" i="2"/>
  <c r="N75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76" i="4"/>
  <c r="D76" i="4"/>
  <c r="E262" i="5"/>
  <c r="D75" i="4"/>
  <c r="E253" i="5"/>
  <c r="F253" i="5"/>
  <c r="AC4" i="2"/>
  <c r="H253" i="5"/>
  <c r="I253" i="5"/>
  <c r="AD4" i="2"/>
  <c r="AE4" i="2"/>
  <c r="H5" i="2"/>
  <c r="H76" i="4"/>
  <c r="K262" i="5"/>
  <c r="H75" i="4"/>
  <c r="K253" i="5"/>
  <c r="L253" i="5"/>
  <c r="AF4" i="2"/>
  <c r="AG4" i="2"/>
  <c r="AH4" i="2"/>
  <c r="AI4" i="2"/>
  <c r="AJ4" i="2"/>
  <c r="N253" i="5"/>
  <c r="O253" i="5"/>
  <c r="AK4" i="2"/>
  <c r="M5" i="2"/>
  <c r="M76" i="4"/>
  <c r="R262" i="5"/>
  <c r="L5" i="2"/>
  <c r="L76" i="4"/>
  <c r="Q262" i="5"/>
  <c r="M75" i="4"/>
  <c r="R253" i="5"/>
  <c r="L75" i="4"/>
  <c r="Q253" i="5"/>
  <c r="AL4" i="2"/>
  <c r="AM4" i="2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N2" i="2"/>
  <c r="B45" i="4"/>
  <c r="M45" i="4"/>
  <c r="M24" i="2"/>
  <c r="B51" i="4"/>
  <c r="M51" i="4"/>
  <c r="B44" i="4"/>
  <c r="N44" i="4"/>
  <c r="N19" i="2"/>
  <c r="N24" i="2"/>
  <c r="N51" i="4"/>
  <c r="N3" i="2"/>
  <c r="B53" i="4"/>
  <c r="N53" i="4"/>
  <c r="B54" i="4"/>
  <c r="N54" i="4"/>
  <c r="B55" i="4"/>
  <c r="N55" i="4"/>
  <c r="B56" i="4"/>
  <c r="N56" i="4"/>
  <c r="B42" i="4"/>
  <c r="N42" i="4"/>
  <c r="N32" i="2"/>
  <c r="B230" i="4"/>
  <c r="N230" i="4"/>
  <c r="N20" i="2"/>
  <c r="B43" i="4"/>
  <c r="N43" i="4"/>
  <c r="B87" i="4"/>
  <c r="N22" i="2"/>
  <c r="N87" i="4"/>
  <c r="B88" i="4"/>
  <c r="N88" i="4"/>
  <c r="B118" i="4"/>
  <c r="N118" i="4"/>
  <c r="N43" i="2"/>
  <c r="B132" i="4"/>
  <c r="N132" i="4"/>
  <c r="B135" i="4"/>
  <c r="N135" i="4"/>
  <c r="B209" i="4"/>
  <c r="N209" i="4"/>
  <c r="B210" i="4"/>
  <c r="N210" i="4"/>
  <c r="N41" i="2"/>
  <c r="B231" i="4"/>
  <c r="N231" i="4"/>
  <c r="B234" i="4"/>
  <c r="N234" i="4"/>
  <c r="B235" i="4"/>
  <c r="N235" i="4"/>
  <c r="N42" i="2"/>
  <c r="N256" i="4"/>
  <c r="B25" i="4"/>
  <c r="N25" i="4"/>
  <c r="B41" i="4"/>
  <c r="N41" i="4"/>
  <c r="O41" i="2"/>
  <c r="O235" i="4"/>
  <c r="O55" i="2"/>
  <c r="O259" i="4"/>
  <c r="O3" i="2"/>
  <c r="O24" i="2"/>
  <c r="O25" i="4"/>
  <c r="N55" i="2"/>
  <c r="N259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57" i="4"/>
  <c r="C55" i="2"/>
  <c r="C259" i="4"/>
  <c r="C20" i="5"/>
  <c r="D54" i="2"/>
  <c r="D257" i="4"/>
  <c r="F20" i="5"/>
  <c r="H20" i="5"/>
  <c r="I20" i="5"/>
  <c r="H54" i="2"/>
  <c r="H257" i="4"/>
  <c r="L20" i="5"/>
  <c r="N20" i="5"/>
  <c r="O20" i="5"/>
  <c r="L54" i="2"/>
  <c r="L257" i="4"/>
  <c r="M54" i="2"/>
  <c r="M257" i="4"/>
  <c r="N54" i="2"/>
  <c r="N257" i="4"/>
  <c r="T20" i="5"/>
  <c r="O54" i="2"/>
  <c r="O257" i="4"/>
  <c r="U20" i="5"/>
  <c r="P54" i="2"/>
  <c r="P257" i="4"/>
  <c r="P55" i="2"/>
  <c r="P259" i="4"/>
  <c r="W20" i="5"/>
  <c r="Q54" i="2"/>
  <c r="Q257" i="4"/>
  <c r="Q55" i="2"/>
  <c r="Q259" i="4"/>
  <c r="X20" i="5"/>
  <c r="R54" i="2"/>
  <c r="R257" i="4"/>
  <c r="R55" i="2"/>
  <c r="R259" i="4"/>
  <c r="Z20" i="5"/>
  <c r="S54" i="2"/>
  <c r="S257" i="4"/>
  <c r="S55" i="2"/>
  <c r="S259" i="4"/>
  <c r="AA20" i="5"/>
  <c r="AI257" i="4"/>
  <c r="T257" i="4" a="1"/>
  <c r="T257" i="4"/>
  <c r="AI259" i="4"/>
  <c r="T259" i="4" a="1"/>
  <c r="T259" i="4"/>
  <c r="AC20" i="5"/>
  <c r="U257" i="4" a="1"/>
  <c r="U257" i="4"/>
  <c r="U259" i="4" a="1"/>
  <c r="U259" i="4"/>
  <c r="AD20" i="5"/>
  <c r="AF20" i="5"/>
  <c r="AG20" i="5"/>
  <c r="X55" i="2"/>
  <c r="X259" i="4"/>
  <c r="AI20" i="5"/>
  <c r="Y54" i="2"/>
  <c r="Y257" i="4"/>
  <c r="Y55" i="2"/>
  <c r="Y259" i="4"/>
  <c r="AJ20" i="5"/>
  <c r="Z54" i="2"/>
  <c r="Z257" i="4"/>
  <c r="Z55" i="2"/>
  <c r="Z259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59" i="4"/>
  <c r="F54" i="2"/>
  <c r="F55" i="2"/>
  <c r="F259" i="4"/>
  <c r="I54" i="2"/>
  <c r="I55" i="2"/>
  <c r="I259" i="4"/>
  <c r="J54" i="2"/>
  <c r="J55" i="2"/>
  <c r="J259" i="4"/>
  <c r="K54" i="2"/>
  <c r="K55" i="2"/>
  <c r="K259" i="4"/>
  <c r="AA259" i="4"/>
  <c r="AC259" i="4"/>
  <c r="AD259" i="4"/>
  <c r="AE259" i="4"/>
  <c r="AF259" i="4"/>
  <c r="AG259" i="4"/>
  <c r="AH259" i="4"/>
  <c r="AJ259" i="4"/>
  <c r="AL259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D347" i="9"/>
  <c r="E347" i="9"/>
  <c r="F347" i="9"/>
  <c r="G347" i="9"/>
  <c r="C125" i="7"/>
  <c r="D125" i="7"/>
  <c r="E125" i="7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X29" i="2"/>
  <c r="B265" i="4"/>
  <c r="X265" i="4"/>
  <c r="N29" i="2"/>
  <c r="N265" i="4"/>
  <c r="X30" i="2"/>
  <c r="B145" i="4"/>
  <c r="X16" i="2"/>
  <c r="X12" i="2"/>
  <c r="X145" i="4"/>
  <c r="Q21" i="2"/>
  <c r="N38" i="2"/>
  <c r="B226" i="4"/>
  <c r="N226" i="4"/>
  <c r="N36" i="2"/>
  <c r="B227" i="4"/>
  <c r="N227" i="4"/>
  <c r="B223" i="4"/>
  <c r="N223" i="4"/>
  <c r="B224" i="4"/>
  <c r="N224" i="4"/>
  <c r="O28" i="2"/>
  <c r="B166" i="4"/>
  <c r="O166" i="4"/>
  <c r="B167" i="4"/>
  <c r="O167" i="4"/>
  <c r="H14" i="2"/>
  <c r="B165" i="4"/>
  <c r="O165" i="4"/>
  <c r="N28" i="2"/>
  <c r="N165" i="4"/>
  <c r="Y51" i="2"/>
  <c r="B368" i="4"/>
  <c r="Y368" i="4"/>
  <c r="AJ356" i="5"/>
  <c r="Q30" i="2"/>
  <c r="B289" i="4"/>
  <c r="Q289" i="4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V15" i="2"/>
  <c r="V8" i="2"/>
  <c r="V7" i="2"/>
  <c r="V40" i="2"/>
  <c r="V32" i="2"/>
  <c r="V39" i="2"/>
  <c r="V27" i="2"/>
  <c r="V18" i="2"/>
  <c r="V16" i="2"/>
  <c r="V21" i="2"/>
  <c r="B66" i="4"/>
  <c r="V66" i="4"/>
  <c r="V5" i="2"/>
  <c r="V76" i="4"/>
  <c r="V6" i="2"/>
  <c r="B77" i="4"/>
  <c r="V77" i="4"/>
  <c r="C5" i="2"/>
  <c r="C6" i="2"/>
  <c r="C77" i="4"/>
  <c r="D6" i="2"/>
  <c r="D77" i="4"/>
  <c r="E5" i="2"/>
  <c r="E6" i="2"/>
  <c r="E77" i="4"/>
  <c r="F5" i="2"/>
  <c r="F6" i="2"/>
  <c r="F77" i="4"/>
  <c r="H6" i="2"/>
  <c r="H77" i="4"/>
  <c r="I5" i="2"/>
  <c r="I6" i="2"/>
  <c r="I77" i="4"/>
  <c r="J5" i="2"/>
  <c r="J6" i="2"/>
  <c r="J77" i="4"/>
  <c r="L6" i="2"/>
  <c r="L77" i="4"/>
  <c r="M6" i="2"/>
  <c r="M77" i="4"/>
  <c r="N6" i="2"/>
  <c r="N77" i="4"/>
  <c r="O5" i="2"/>
  <c r="O6" i="2"/>
  <c r="O77" i="4"/>
  <c r="P5" i="2"/>
  <c r="P6" i="2"/>
  <c r="P77" i="4"/>
  <c r="Q5" i="2"/>
  <c r="Q6" i="2"/>
  <c r="Q77" i="4"/>
  <c r="R5" i="2"/>
  <c r="R6" i="2"/>
  <c r="R77" i="4"/>
  <c r="AI77" i="4"/>
  <c r="T77" i="4" a="1"/>
  <c r="T77" i="4"/>
  <c r="U77" i="4" a="1"/>
  <c r="U77" i="4"/>
  <c r="X5" i="2"/>
  <c r="X6" i="2"/>
  <c r="X77" i="4"/>
  <c r="Y5" i="2"/>
  <c r="Y6" i="2"/>
  <c r="Y77" i="4"/>
  <c r="Z5" i="2"/>
  <c r="Z6" i="2"/>
  <c r="Z77" i="4"/>
  <c r="AA77" i="4"/>
  <c r="AC77" i="4"/>
  <c r="AD77" i="4"/>
  <c r="AE77" i="4"/>
  <c r="AF77" i="4"/>
  <c r="AG77" i="4"/>
  <c r="AH77" i="4"/>
  <c r="AJ77" i="4"/>
  <c r="AL77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67" i="4"/>
  <c r="C19" i="5"/>
  <c r="D28" i="2"/>
  <c r="D167" i="4"/>
  <c r="F19" i="5"/>
  <c r="H19" i="5"/>
  <c r="I19" i="5"/>
  <c r="H28" i="2"/>
  <c r="H167" i="4"/>
  <c r="O19" i="5"/>
  <c r="L28" i="2"/>
  <c r="L167" i="4"/>
  <c r="M28" i="2"/>
  <c r="M167" i="4"/>
  <c r="T19" i="5"/>
  <c r="U19" i="5"/>
  <c r="P28" i="2"/>
  <c r="P167" i="4"/>
  <c r="W19" i="5"/>
  <c r="Q28" i="2"/>
  <c r="Q167" i="4"/>
  <c r="X19" i="5"/>
  <c r="R28" i="2"/>
  <c r="R167" i="4"/>
  <c r="Z19" i="5"/>
  <c r="S28" i="2"/>
  <c r="S167" i="4"/>
  <c r="AA19" i="5"/>
  <c r="AI167" i="4"/>
  <c r="T167" i="4" a="1"/>
  <c r="T167" i="4"/>
  <c r="AC19" i="5"/>
  <c r="U167" i="4" a="1"/>
  <c r="U167" i="4"/>
  <c r="AD19" i="5"/>
  <c r="AF19" i="5"/>
  <c r="AG19" i="5"/>
  <c r="X28" i="2"/>
  <c r="X167" i="4"/>
  <c r="AI19" i="5"/>
  <c r="Y28" i="2"/>
  <c r="Y167" i="4"/>
  <c r="AJ19" i="5"/>
  <c r="Z28" i="2"/>
  <c r="Z167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57" i="4"/>
  <c r="F28" i="2"/>
  <c r="F257" i="4"/>
  <c r="I28" i="2"/>
  <c r="I257" i="4"/>
  <c r="J28" i="2"/>
  <c r="J257" i="4"/>
  <c r="K28" i="2"/>
  <c r="K257" i="4"/>
  <c r="AA257" i="4"/>
  <c r="AC257" i="4"/>
  <c r="AD257" i="4"/>
  <c r="AE257" i="4"/>
  <c r="AF257" i="4"/>
  <c r="AG257" i="4"/>
  <c r="AH257" i="4"/>
  <c r="AJ257" i="4"/>
  <c r="AL257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D346" i="9"/>
  <c r="E346" i="9"/>
  <c r="F346" i="9"/>
  <c r="G346" i="9"/>
  <c r="C123" i="7"/>
  <c r="E123" i="7"/>
  <c r="D123" i="7"/>
  <c r="AG3" i="5"/>
  <c r="AF3" i="5"/>
  <c r="C39" i="2"/>
  <c r="B121" i="4"/>
  <c r="C121" i="4"/>
  <c r="C3" i="5"/>
  <c r="D39" i="2"/>
  <c r="D121" i="4"/>
  <c r="E3" i="5"/>
  <c r="H39" i="2"/>
  <c r="H121" i="4"/>
  <c r="K3" i="5"/>
  <c r="L39" i="2"/>
  <c r="L121" i="4"/>
  <c r="Q3" i="5"/>
  <c r="M39" i="2"/>
  <c r="M121" i="4"/>
  <c r="R3" i="5"/>
  <c r="T3" i="5"/>
  <c r="O39" i="2"/>
  <c r="O121" i="4"/>
  <c r="U3" i="5"/>
  <c r="P39" i="2"/>
  <c r="P121" i="4"/>
  <c r="W3" i="5"/>
  <c r="Q39" i="2"/>
  <c r="Q121" i="4"/>
  <c r="X3" i="5"/>
  <c r="S39" i="2"/>
  <c r="S121" i="4"/>
  <c r="AA3" i="5"/>
  <c r="AI121" i="4"/>
  <c r="T121" i="4" a="1"/>
  <c r="T121" i="4"/>
  <c r="AC3" i="5"/>
  <c r="U121" i="4" a="1"/>
  <c r="U121" i="4"/>
  <c r="AD3" i="5"/>
  <c r="X39" i="2"/>
  <c r="X121" i="4"/>
  <c r="AI3" i="5"/>
  <c r="Y39" i="2"/>
  <c r="Y121" i="4"/>
  <c r="AJ3" i="5"/>
  <c r="Z39" i="2"/>
  <c r="Z121" i="4"/>
  <c r="AL3" i="5"/>
  <c r="F3" i="5"/>
  <c r="L3" i="5"/>
  <c r="N3" i="5"/>
  <c r="O3" i="5"/>
  <c r="H3" i="5"/>
  <c r="I3" i="5"/>
  <c r="Z3" i="5"/>
  <c r="AN3" i="5"/>
  <c r="O4" i="5"/>
  <c r="H27" i="2"/>
  <c r="B124" i="4"/>
  <c r="H124" i="4"/>
  <c r="K4" i="5"/>
  <c r="AG4" i="5"/>
  <c r="AF4" i="5"/>
  <c r="C27" i="2"/>
  <c r="C124" i="4"/>
  <c r="C4" i="5"/>
  <c r="D27" i="2"/>
  <c r="D124" i="4"/>
  <c r="E4" i="5"/>
  <c r="I27" i="2"/>
  <c r="I124" i="4"/>
  <c r="L4" i="5"/>
  <c r="J27" i="2"/>
  <c r="J124" i="4"/>
  <c r="N4" i="5"/>
  <c r="L27" i="2"/>
  <c r="L124" i="4"/>
  <c r="Q4" i="5"/>
  <c r="M27" i="2"/>
  <c r="M124" i="4"/>
  <c r="R4" i="5"/>
  <c r="T4" i="5"/>
  <c r="O27" i="2"/>
  <c r="O124" i="4"/>
  <c r="U4" i="5"/>
  <c r="W4" i="5"/>
  <c r="Q27" i="2"/>
  <c r="Q124" i="4"/>
  <c r="X4" i="5"/>
  <c r="AA4" i="5"/>
  <c r="AI124" i="4"/>
  <c r="T124" i="4" a="1"/>
  <c r="T124" i="4"/>
  <c r="AC4" i="5"/>
  <c r="U124" i="4" a="1"/>
  <c r="U124" i="4"/>
  <c r="AD4" i="5"/>
  <c r="X27" i="2"/>
  <c r="X124" i="4"/>
  <c r="AI4" i="5"/>
  <c r="Y27" i="2"/>
  <c r="Y124" i="4"/>
  <c r="AJ4" i="5"/>
  <c r="Z27" i="2"/>
  <c r="Z124" i="4"/>
  <c r="AL4" i="5"/>
  <c r="F4" i="5"/>
  <c r="H4" i="5"/>
  <c r="I4" i="5"/>
  <c r="Z4" i="5"/>
  <c r="AN4" i="5"/>
  <c r="AG5" i="5"/>
  <c r="AF5" i="5"/>
  <c r="B204" i="4"/>
  <c r="C16" i="2"/>
  <c r="C204" i="4"/>
  <c r="C5" i="5"/>
  <c r="D16" i="2"/>
  <c r="D204" i="4"/>
  <c r="E5" i="5"/>
  <c r="E27" i="2"/>
  <c r="E16" i="2"/>
  <c r="E204" i="4"/>
  <c r="F5" i="5"/>
  <c r="F27" i="2"/>
  <c r="F16" i="2"/>
  <c r="F204" i="4"/>
  <c r="H5" i="5"/>
  <c r="I5" i="5"/>
  <c r="H16" i="2"/>
  <c r="H204" i="4"/>
  <c r="K5" i="5"/>
  <c r="L16" i="2"/>
  <c r="L204" i="4"/>
  <c r="Q5" i="5"/>
  <c r="M16" i="2"/>
  <c r="M204" i="4"/>
  <c r="R5" i="5"/>
  <c r="T5" i="5"/>
  <c r="U5" i="5"/>
  <c r="P27" i="2"/>
  <c r="P16" i="2"/>
  <c r="P204" i="4"/>
  <c r="W5" i="5"/>
  <c r="Q16" i="2"/>
  <c r="Q204" i="4"/>
  <c r="X5" i="5"/>
  <c r="S27" i="2"/>
  <c r="S204" i="4"/>
  <c r="AA5" i="5"/>
  <c r="AI204" i="4"/>
  <c r="T204" i="4" a="1"/>
  <c r="T204" i="4"/>
  <c r="AC5" i="5"/>
  <c r="U204" i="4" a="1"/>
  <c r="U204" i="4"/>
  <c r="AD5" i="5"/>
  <c r="X204" i="4"/>
  <c r="AI5" i="5"/>
  <c r="Y16" i="2"/>
  <c r="Y204" i="4"/>
  <c r="AJ5" i="5"/>
  <c r="Z16" i="2"/>
  <c r="Z204" i="4"/>
  <c r="AL5" i="5"/>
  <c r="L5" i="5"/>
  <c r="N5" i="5"/>
  <c r="O5" i="5"/>
  <c r="Z5" i="5"/>
  <c r="AN5" i="5"/>
  <c r="AG6" i="5"/>
  <c r="AF6" i="5"/>
  <c r="C40" i="2"/>
  <c r="B228" i="4"/>
  <c r="C228" i="4"/>
  <c r="C6" i="5"/>
  <c r="D228" i="4"/>
  <c r="E6" i="5"/>
  <c r="H228" i="4"/>
  <c r="K6" i="5"/>
  <c r="L228" i="4"/>
  <c r="Q6" i="5"/>
  <c r="M228" i="4"/>
  <c r="R6" i="5"/>
  <c r="N40" i="2"/>
  <c r="N228" i="4"/>
  <c r="T6" i="5"/>
  <c r="O40" i="2"/>
  <c r="O228" i="4"/>
  <c r="U6" i="5"/>
  <c r="P40" i="2"/>
  <c r="P228" i="4"/>
  <c r="W6" i="5"/>
  <c r="Q40" i="2"/>
  <c r="Q228" i="4"/>
  <c r="X6" i="5"/>
  <c r="S40" i="2"/>
  <c r="S228" i="4"/>
  <c r="AA6" i="5"/>
  <c r="AD6" i="5"/>
  <c r="X40" i="2"/>
  <c r="X228" i="4"/>
  <c r="AI6" i="5"/>
  <c r="Y40" i="2"/>
  <c r="Y228" i="4"/>
  <c r="AJ6" i="5"/>
  <c r="Z40" i="2"/>
  <c r="Z228" i="4"/>
  <c r="AL6" i="5"/>
  <c r="F6" i="5"/>
  <c r="H6" i="5"/>
  <c r="I6" i="5"/>
  <c r="L6" i="5"/>
  <c r="N6" i="5"/>
  <c r="O6" i="5"/>
  <c r="Z6" i="5"/>
  <c r="AN6" i="5"/>
  <c r="AG7" i="5"/>
  <c r="AF7" i="5"/>
  <c r="B229" i="4"/>
  <c r="C229" i="4"/>
  <c r="C7" i="5"/>
  <c r="D229" i="4"/>
  <c r="E7" i="5"/>
  <c r="H229" i="4"/>
  <c r="K7" i="5"/>
  <c r="L229" i="4"/>
  <c r="Q7" i="5"/>
  <c r="M229" i="4"/>
  <c r="R7" i="5"/>
  <c r="N229" i="4"/>
  <c r="T7" i="5"/>
  <c r="O229" i="4"/>
  <c r="U7" i="5"/>
  <c r="P229" i="4"/>
  <c r="W7" i="5"/>
  <c r="Q229" i="4"/>
  <c r="X7" i="5"/>
  <c r="S229" i="4"/>
  <c r="AA7" i="5"/>
  <c r="AD7" i="5"/>
  <c r="X229" i="4"/>
  <c r="AI7" i="5"/>
  <c r="Y229" i="4"/>
  <c r="AJ7" i="5"/>
  <c r="Z229" i="4"/>
  <c r="AL7" i="5"/>
  <c r="F7" i="5"/>
  <c r="H7" i="5"/>
  <c r="I7" i="5"/>
  <c r="L7" i="5"/>
  <c r="N7" i="5"/>
  <c r="O7" i="5"/>
  <c r="Z7" i="5"/>
  <c r="AN7" i="5"/>
  <c r="AG8" i="5"/>
  <c r="AF8" i="5"/>
  <c r="B254" i="4"/>
  <c r="C254" i="4"/>
  <c r="C8" i="5"/>
  <c r="D254" i="4"/>
  <c r="E8" i="5"/>
  <c r="H254" i="4"/>
  <c r="K8" i="5"/>
  <c r="L254" i="4"/>
  <c r="Q8" i="5"/>
  <c r="M254" i="4"/>
  <c r="R8" i="5"/>
  <c r="T8" i="5"/>
  <c r="O254" i="4"/>
  <c r="U8" i="5"/>
  <c r="P254" i="4"/>
  <c r="W8" i="5"/>
  <c r="Q254" i="4"/>
  <c r="X8" i="5"/>
  <c r="S254" i="4"/>
  <c r="AA8" i="5"/>
  <c r="AI254" i="4"/>
  <c r="T254" i="4" a="1"/>
  <c r="T254" i="4"/>
  <c r="AC8" i="5"/>
  <c r="U254" i="4" a="1"/>
  <c r="U254" i="4"/>
  <c r="AD8" i="5"/>
  <c r="X254" i="4"/>
  <c r="AI8" i="5"/>
  <c r="Y254" i="4"/>
  <c r="AJ8" i="5"/>
  <c r="Z254" i="4"/>
  <c r="AL8" i="5"/>
  <c r="F8" i="5"/>
  <c r="H8" i="5"/>
  <c r="I8" i="5"/>
  <c r="L8" i="5"/>
  <c r="N8" i="5"/>
  <c r="O8" i="5"/>
  <c r="Z8" i="5"/>
  <c r="AN8" i="5"/>
  <c r="AG9" i="5"/>
  <c r="AF9" i="5"/>
  <c r="C19" i="2"/>
  <c r="C42" i="4"/>
  <c r="C9" i="5"/>
  <c r="D42" i="4"/>
  <c r="E9" i="5"/>
  <c r="E42" i="4"/>
  <c r="F9" i="5"/>
  <c r="F42" i="4"/>
  <c r="H9" i="5"/>
  <c r="I9" i="5"/>
  <c r="H42" i="4"/>
  <c r="K9" i="5"/>
  <c r="L42" i="4"/>
  <c r="Q9" i="5"/>
  <c r="M42" i="4"/>
  <c r="R9" i="5"/>
  <c r="T9" i="5"/>
  <c r="O19" i="2"/>
  <c r="O42" i="4"/>
  <c r="U9" i="5"/>
  <c r="P19" i="2"/>
  <c r="P42" i="4"/>
  <c r="W9" i="5"/>
  <c r="Q19" i="2"/>
  <c r="Q42" i="4"/>
  <c r="X9" i="5"/>
  <c r="S19" i="2"/>
  <c r="S42" i="4"/>
  <c r="AA9" i="5"/>
  <c r="AI42" i="4"/>
  <c r="T42" i="4" a="1"/>
  <c r="T42" i="4"/>
  <c r="AC9" i="5"/>
  <c r="U42" i="4" a="1"/>
  <c r="U42" i="4"/>
  <c r="AD9" i="5"/>
  <c r="X19" i="2"/>
  <c r="X42" i="4"/>
  <c r="AI9" i="5"/>
  <c r="Y19" i="2"/>
  <c r="Y42" i="4"/>
  <c r="AJ9" i="5"/>
  <c r="Z19" i="2"/>
  <c r="Z42" i="4"/>
  <c r="AL9" i="5"/>
  <c r="L9" i="5"/>
  <c r="N9" i="5"/>
  <c r="O9" i="5"/>
  <c r="Z9" i="5"/>
  <c r="AN9" i="5"/>
  <c r="AG10" i="5"/>
  <c r="AF10" i="5"/>
  <c r="C3" i="2"/>
  <c r="B68" i="4"/>
  <c r="C68" i="4"/>
  <c r="C10" i="5"/>
  <c r="D3" i="2"/>
  <c r="D68" i="4"/>
  <c r="E10" i="5"/>
  <c r="K10" i="5"/>
  <c r="L3" i="2"/>
  <c r="L68" i="4"/>
  <c r="Q10" i="5"/>
  <c r="M3" i="2"/>
  <c r="M68" i="4"/>
  <c r="R10" i="5"/>
  <c r="T10" i="5"/>
  <c r="O68" i="4"/>
  <c r="U10" i="5"/>
  <c r="P3" i="2"/>
  <c r="P68" i="4"/>
  <c r="W10" i="5"/>
  <c r="Q3" i="2"/>
  <c r="Q68" i="4"/>
  <c r="X10" i="5"/>
  <c r="S3" i="2"/>
  <c r="S68" i="4"/>
  <c r="AA10" i="5"/>
  <c r="AI68" i="4"/>
  <c r="T68" i="4" a="1"/>
  <c r="T68" i="4"/>
  <c r="AC10" i="5"/>
  <c r="U68" i="4" a="1"/>
  <c r="U68" i="4"/>
  <c r="AD10" i="5"/>
  <c r="X3" i="2"/>
  <c r="X68" i="4"/>
  <c r="AI10" i="5"/>
  <c r="Y3" i="2"/>
  <c r="Y68" i="4"/>
  <c r="AJ10" i="5"/>
  <c r="Z3" i="2"/>
  <c r="Z68" i="4"/>
  <c r="AL10" i="5"/>
  <c r="F10" i="5"/>
  <c r="H10" i="5"/>
  <c r="I10" i="5"/>
  <c r="L10" i="5"/>
  <c r="N10" i="5"/>
  <c r="O10" i="5"/>
  <c r="Z10" i="5"/>
  <c r="AN10" i="5"/>
  <c r="AG11" i="5"/>
  <c r="AF11" i="5"/>
  <c r="C2" i="2"/>
  <c r="B69" i="4"/>
  <c r="C69" i="4"/>
  <c r="C11" i="5"/>
  <c r="D2" i="2"/>
  <c r="D69" i="4"/>
  <c r="E11" i="5"/>
  <c r="K11" i="5"/>
  <c r="L2" i="2"/>
  <c r="L69" i="4"/>
  <c r="Q11" i="5"/>
  <c r="M2" i="2"/>
  <c r="M69" i="4"/>
  <c r="R11" i="5"/>
  <c r="T11" i="5"/>
  <c r="U11" i="5"/>
  <c r="P2" i="2"/>
  <c r="P69" i="4"/>
  <c r="W11" i="5"/>
  <c r="Q2" i="2"/>
  <c r="Q69" i="4"/>
  <c r="X11" i="5"/>
  <c r="S2" i="2"/>
  <c r="S69" i="4"/>
  <c r="AA11" i="5"/>
  <c r="AI69" i="4"/>
  <c r="T69" i="4" a="1"/>
  <c r="T69" i="4"/>
  <c r="AC11" i="5"/>
  <c r="U69" i="4" a="1"/>
  <c r="U69" i="4"/>
  <c r="AD11" i="5"/>
  <c r="X2" i="2"/>
  <c r="X69" i="4"/>
  <c r="AI11" i="5"/>
  <c r="Y2" i="2"/>
  <c r="Y69" i="4"/>
  <c r="AJ11" i="5"/>
  <c r="Z2" i="2"/>
  <c r="Z69" i="4"/>
  <c r="AL11" i="5"/>
  <c r="F11" i="5"/>
  <c r="H11" i="5"/>
  <c r="I11" i="5"/>
  <c r="L11" i="5"/>
  <c r="N11" i="5"/>
  <c r="O11" i="5"/>
  <c r="Z11" i="5"/>
  <c r="AN11" i="5"/>
  <c r="S30" i="2"/>
  <c r="B99" i="4"/>
  <c r="S99" i="4"/>
  <c r="AA12" i="5"/>
  <c r="P30" i="2"/>
  <c r="P99" i="4"/>
  <c r="W12" i="5"/>
  <c r="O12" i="5"/>
  <c r="K12" i="5"/>
  <c r="AG12" i="5"/>
  <c r="AF12" i="5"/>
  <c r="C30" i="2"/>
  <c r="C99" i="4"/>
  <c r="C12" i="5"/>
  <c r="D30" i="2"/>
  <c r="D99" i="4"/>
  <c r="E12" i="5"/>
  <c r="E30" i="2"/>
  <c r="E99" i="4"/>
  <c r="F12" i="5"/>
  <c r="F30" i="2"/>
  <c r="F99" i="4"/>
  <c r="H12" i="5"/>
  <c r="I12" i="5"/>
  <c r="L30" i="2"/>
  <c r="L99" i="4"/>
  <c r="Q12" i="5"/>
  <c r="M30" i="2"/>
  <c r="M99" i="4"/>
  <c r="R12" i="5"/>
  <c r="T12" i="5"/>
  <c r="O30" i="2"/>
  <c r="O99" i="4"/>
  <c r="U12" i="5"/>
  <c r="Q99" i="4"/>
  <c r="X12" i="5"/>
  <c r="R30" i="2"/>
  <c r="R99" i="4"/>
  <c r="Z12" i="5"/>
  <c r="AI99" i="4"/>
  <c r="T99" i="4" a="1"/>
  <c r="T99" i="4"/>
  <c r="AC12" i="5"/>
  <c r="U99" i="4" a="1"/>
  <c r="U99" i="4"/>
  <c r="AD12" i="5"/>
  <c r="X99" i="4"/>
  <c r="AI12" i="5"/>
  <c r="Y30" i="2"/>
  <c r="Y99" i="4"/>
  <c r="AJ12" i="5"/>
  <c r="Z30" i="2"/>
  <c r="Z99" i="4"/>
  <c r="AL12" i="5"/>
  <c r="AN12" i="5"/>
  <c r="B100" i="4"/>
  <c r="S100" i="4"/>
  <c r="AA13" i="5"/>
  <c r="P8" i="2"/>
  <c r="P100" i="4"/>
  <c r="W13" i="5"/>
  <c r="O13" i="5"/>
  <c r="K13" i="5"/>
  <c r="AG13" i="5"/>
  <c r="AF13" i="5"/>
  <c r="C8" i="2"/>
  <c r="C100" i="4"/>
  <c r="C13" i="5"/>
  <c r="D100" i="4"/>
  <c r="E13" i="5"/>
  <c r="E8" i="2"/>
  <c r="E100" i="4"/>
  <c r="F13" i="5"/>
  <c r="F8" i="2"/>
  <c r="F100" i="4"/>
  <c r="H13" i="5"/>
  <c r="I13" i="5"/>
  <c r="I8" i="2"/>
  <c r="I100" i="4"/>
  <c r="L13" i="5"/>
  <c r="J8" i="2"/>
  <c r="J100" i="4"/>
  <c r="N13" i="5"/>
  <c r="L100" i="4"/>
  <c r="Q13" i="5"/>
  <c r="M100" i="4"/>
  <c r="R13" i="5"/>
  <c r="T13" i="5"/>
  <c r="O8" i="2"/>
  <c r="O100" i="4"/>
  <c r="U13" i="5"/>
  <c r="Q8" i="2"/>
  <c r="Q100" i="4"/>
  <c r="X13" i="5"/>
  <c r="R8" i="2"/>
  <c r="R100" i="4"/>
  <c r="Z13" i="5"/>
  <c r="AI100" i="4"/>
  <c r="T100" i="4" a="1"/>
  <c r="T100" i="4"/>
  <c r="AC13" i="5"/>
  <c r="U100" i="4" a="1"/>
  <c r="U100" i="4"/>
  <c r="AD13" i="5"/>
  <c r="X8" i="2"/>
  <c r="X100" i="4"/>
  <c r="AI13" i="5"/>
  <c r="Y8" i="2"/>
  <c r="Y100" i="4"/>
  <c r="AJ13" i="5"/>
  <c r="Z8" i="2"/>
  <c r="Z100" i="4"/>
  <c r="AL13" i="5"/>
  <c r="AN13" i="5"/>
  <c r="AG14" i="5"/>
  <c r="AF14" i="5"/>
  <c r="B104" i="4"/>
  <c r="C104" i="4"/>
  <c r="C14" i="5"/>
  <c r="D104" i="4"/>
  <c r="E14" i="5"/>
  <c r="E104" i="4"/>
  <c r="F14" i="5"/>
  <c r="F104" i="4"/>
  <c r="H14" i="5"/>
  <c r="I14" i="5"/>
  <c r="H104" i="4"/>
  <c r="K14" i="5"/>
  <c r="L104" i="4"/>
  <c r="Q14" i="5"/>
  <c r="M104" i="4"/>
  <c r="R14" i="5"/>
  <c r="T14" i="5"/>
  <c r="O104" i="4"/>
  <c r="U14" i="5"/>
  <c r="P104" i="4"/>
  <c r="W14" i="5"/>
  <c r="Q104" i="4"/>
  <c r="X14" i="5"/>
  <c r="S104" i="4"/>
  <c r="AA14" i="5"/>
  <c r="AI104" i="4"/>
  <c r="T104" i="4" a="1"/>
  <c r="T104" i="4"/>
  <c r="AC14" i="5"/>
  <c r="U104" i="4" a="1"/>
  <c r="U104" i="4"/>
  <c r="AD14" i="5"/>
  <c r="X104" i="4"/>
  <c r="AI14" i="5"/>
  <c r="Y104" i="4"/>
  <c r="AJ14" i="5"/>
  <c r="Z104" i="4"/>
  <c r="AL14" i="5"/>
  <c r="L14" i="5"/>
  <c r="N14" i="5"/>
  <c r="O14" i="5"/>
  <c r="Z14" i="5"/>
  <c r="AN14" i="5"/>
  <c r="AG15" i="5"/>
  <c r="AF15" i="5"/>
  <c r="C41" i="2"/>
  <c r="B110" i="4"/>
  <c r="C110" i="4"/>
  <c r="C15" i="5"/>
  <c r="D41" i="2"/>
  <c r="D110" i="4"/>
  <c r="E15" i="5"/>
  <c r="E41" i="2"/>
  <c r="E110" i="4"/>
  <c r="F15" i="5"/>
  <c r="F41" i="2"/>
  <c r="F110" i="4"/>
  <c r="H15" i="5"/>
  <c r="I15" i="5"/>
  <c r="K15" i="5"/>
  <c r="L41" i="2"/>
  <c r="L110" i="4"/>
  <c r="Q15" i="5"/>
  <c r="M41" i="2"/>
  <c r="M110" i="4"/>
  <c r="R15" i="5"/>
  <c r="T15" i="5"/>
  <c r="O110" i="4"/>
  <c r="U15" i="5"/>
  <c r="P41" i="2"/>
  <c r="P110" i="4"/>
  <c r="W15" i="5"/>
  <c r="Q41" i="2"/>
  <c r="Q110" i="4"/>
  <c r="X15" i="5"/>
  <c r="S41" i="2"/>
  <c r="S110" i="4"/>
  <c r="AA15" i="5"/>
  <c r="AI110" i="4"/>
  <c r="T110" i="4" a="1"/>
  <c r="T110" i="4"/>
  <c r="AC15" i="5"/>
  <c r="U110" i="4" a="1"/>
  <c r="U110" i="4"/>
  <c r="AD15" i="5"/>
  <c r="X41" i="2"/>
  <c r="X110" i="4"/>
  <c r="AI15" i="5"/>
  <c r="Y41" i="2"/>
  <c r="Y110" i="4"/>
  <c r="AJ15" i="5"/>
  <c r="Z41" i="2"/>
  <c r="Z110" i="4"/>
  <c r="AL15" i="5"/>
  <c r="L15" i="5"/>
  <c r="N15" i="5"/>
  <c r="O15" i="5"/>
  <c r="Z15" i="5"/>
  <c r="AN15" i="5"/>
  <c r="S165" i="4"/>
  <c r="AA16" i="5"/>
  <c r="P165" i="4"/>
  <c r="W16" i="5"/>
  <c r="AG16" i="5"/>
  <c r="AF16" i="5"/>
  <c r="C165" i="4"/>
  <c r="C16" i="5"/>
  <c r="D165" i="4"/>
  <c r="E16" i="5"/>
  <c r="K16" i="5"/>
  <c r="L165" i="4"/>
  <c r="Q16" i="5"/>
  <c r="M165" i="4"/>
  <c r="R16" i="5"/>
  <c r="T16" i="5"/>
  <c r="U16" i="5"/>
  <c r="Q165" i="4"/>
  <c r="X16" i="5"/>
  <c r="R165" i="4"/>
  <c r="Z16" i="5"/>
  <c r="AI165" i="4"/>
  <c r="T165" i="4" a="1"/>
  <c r="T165" i="4"/>
  <c r="AC16" i="5"/>
  <c r="U165" i="4" a="1"/>
  <c r="U165" i="4"/>
  <c r="AD16" i="5"/>
  <c r="X165" i="4"/>
  <c r="AI16" i="5"/>
  <c r="Y165" i="4"/>
  <c r="AJ16" i="5"/>
  <c r="Z165" i="4"/>
  <c r="AL16" i="5"/>
  <c r="L16" i="5"/>
  <c r="N16" i="5"/>
  <c r="O16" i="5"/>
  <c r="F16" i="5"/>
  <c r="H16" i="5"/>
  <c r="I16" i="5"/>
  <c r="AN16" i="5"/>
  <c r="S166" i="4"/>
  <c r="AA17" i="5"/>
  <c r="P166" i="4"/>
  <c r="W17" i="5"/>
  <c r="AG17" i="5"/>
  <c r="AF17" i="5"/>
  <c r="C166" i="4"/>
  <c r="C17" i="5"/>
  <c r="D166" i="4"/>
  <c r="E17" i="5"/>
  <c r="H166" i="4"/>
  <c r="K17" i="5"/>
  <c r="L166" i="4"/>
  <c r="Q17" i="5"/>
  <c r="M166" i="4"/>
  <c r="R17" i="5"/>
  <c r="T17" i="5"/>
  <c r="U17" i="5"/>
  <c r="Q166" i="4"/>
  <c r="X17" i="5"/>
  <c r="R166" i="4"/>
  <c r="Z17" i="5"/>
  <c r="AI166" i="4"/>
  <c r="T166" i="4" a="1"/>
  <c r="T166" i="4"/>
  <c r="AC17" i="5"/>
  <c r="U166" i="4" a="1"/>
  <c r="U166" i="4"/>
  <c r="AD17" i="5"/>
  <c r="X166" i="4"/>
  <c r="AI17" i="5"/>
  <c r="Y166" i="4"/>
  <c r="AJ17" i="5"/>
  <c r="Z166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215" i="4"/>
  <c r="C215" i="4"/>
  <c r="C21" i="5"/>
  <c r="D36" i="2"/>
  <c r="D215" i="4"/>
  <c r="E21" i="5"/>
  <c r="L36" i="2"/>
  <c r="L215" i="4"/>
  <c r="Q21" i="5"/>
  <c r="M36" i="2"/>
  <c r="M215" i="4"/>
  <c r="R21" i="5"/>
  <c r="T21" i="5"/>
  <c r="O36" i="2"/>
  <c r="O215" i="4"/>
  <c r="U21" i="5"/>
  <c r="P36" i="2"/>
  <c r="P215" i="4"/>
  <c r="W21" i="5"/>
  <c r="Q36" i="2"/>
  <c r="Q215" i="4"/>
  <c r="X21" i="5"/>
  <c r="S36" i="2"/>
  <c r="S215" i="4"/>
  <c r="AA21" i="5"/>
  <c r="AI215" i="4"/>
  <c r="T215" i="4" a="1"/>
  <c r="T215" i="4"/>
  <c r="AC21" i="5"/>
  <c r="U215" i="4" a="1"/>
  <c r="U215" i="4"/>
  <c r="AD21" i="5"/>
  <c r="X36" i="2"/>
  <c r="X215" i="4"/>
  <c r="AI21" i="5"/>
  <c r="Y36" i="2"/>
  <c r="Y215" i="4"/>
  <c r="AJ21" i="5"/>
  <c r="Z36" i="2"/>
  <c r="Z215" i="4"/>
  <c r="AL21" i="5"/>
  <c r="L21" i="5"/>
  <c r="N21" i="5"/>
  <c r="O21" i="5"/>
  <c r="F21" i="5"/>
  <c r="H21" i="5"/>
  <c r="I21" i="5"/>
  <c r="Z21" i="5"/>
  <c r="AN21" i="5"/>
  <c r="AG22" i="5"/>
  <c r="AF22" i="5"/>
  <c r="C38" i="2"/>
  <c r="B222" i="4"/>
  <c r="C222" i="4"/>
  <c r="C22" i="5"/>
  <c r="D38" i="2"/>
  <c r="D222" i="4"/>
  <c r="E22" i="5"/>
  <c r="H38" i="2"/>
  <c r="H222" i="4"/>
  <c r="K22" i="5"/>
  <c r="L38" i="2"/>
  <c r="L222" i="4"/>
  <c r="Q22" i="5"/>
  <c r="M38" i="2"/>
  <c r="M222" i="4"/>
  <c r="R22" i="5"/>
  <c r="T22" i="5"/>
  <c r="O38" i="2"/>
  <c r="O222" i="4"/>
  <c r="U22" i="5"/>
  <c r="P38" i="2"/>
  <c r="P222" i="4"/>
  <c r="W22" i="5"/>
  <c r="Q38" i="2"/>
  <c r="Q222" i="4"/>
  <c r="X22" i="5"/>
  <c r="S38" i="2"/>
  <c r="S222" i="4"/>
  <c r="AA22" i="5"/>
  <c r="AI222" i="4"/>
  <c r="T222" i="4" a="1"/>
  <c r="T222" i="4"/>
  <c r="AC22" i="5"/>
  <c r="U222" i="4" a="1"/>
  <c r="U222" i="4"/>
  <c r="AD22" i="5"/>
  <c r="X38" i="2"/>
  <c r="X222" i="4"/>
  <c r="AI22" i="5"/>
  <c r="Y38" i="2"/>
  <c r="Y222" i="4"/>
  <c r="AJ22" i="5"/>
  <c r="Z38" i="2"/>
  <c r="Z222" i="4"/>
  <c r="AL22" i="5"/>
  <c r="L22" i="5"/>
  <c r="N22" i="5"/>
  <c r="O22" i="5"/>
  <c r="F22" i="5"/>
  <c r="H22" i="5"/>
  <c r="I22" i="5"/>
  <c r="Z22" i="5"/>
  <c r="AN22" i="5"/>
  <c r="AG23" i="5"/>
  <c r="AF23" i="5"/>
  <c r="C223" i="4"/>
  <c r="C23" i="5"/>
  <c r="D223" i="4"/>
  <c r="E23" i="5"/>
  <c r="H36" i="2"/>
  <c r="H223" i="4"/>
  <c r="K23" i="5"/>
  <c r="I36" i="2"/>
  <c r="I223" i="4"/>
  <c r="L23" i="5"/>
  <c r="J36" i="2"/>
  <c r="J223" i="4"/>
  <c r="N23" i="5"/>
  <c r="O23" i="5"/>
  <c r="L223" i="4"/>
  <c r="Q23" i="5"/>
  <c r="M223" i="4"/>
  <c r="R23" i="5"/>
  <c r="T23" i="5"/>
  <c r="O223" i="4"/>
  <c r="U23" i="5"/>
  <c r="P223" i="4"/>
  <c r="W23" i="5"/>
  <c r="Q223" i="4"/>
  <c r="X23" i="5"/>
  <c r="S223" i="4"/>
  <c r="AA23" i="5"/>
  <c r="AI223" i="4"/>
  <c r="T223" i="4" a="1"/>
  <c r="T223" i="4"/>
  <c r="AC23" i="5"/>
  <c r="U223" i="4" a="1"/>
  <c r="U223" i="4"/>
  <c r="AD23" i="5"/>
  <c r="X223" i="4"/>
  <c r="AI23" i="5"/>
  <c r="Y223" i="4"/>
  <c r="AJ23" i="5"/>
  <c r="Z223" i="4"/>
  <c r="AL23" i="5"/>
  <c r="F23" i="5"/>
  <c r="H23" i="5"/>
  <c r="I23" i="5"/>
  <c r="Z23" i="5"/>
  <c r="AN23" i="5"/>
  <c r="AG24" i="5"/>
  <c r="AF24" i="5"/>
  <c r="C224" i="4"/>
  <c r="C24" i="5"/>
  <c r="D224" i="4"/>
  <c r="E24" i="5"/>
  <c r="H224" i="4"/>
  <c r="K24" i="5"/>
  <c r="L224" i="4"/>
  <c r="Q24" i="5"/>
  <c r="M224" i="4"/>
  <c r="R24" i="5"/>
  <c r="T24" i="5"/>
  <c r="O224" i="4"/>
  <c r="U24" i="5"/>
  <c r="P224" i="4"/>
  <c r="W24" i="5"/>
  <c r="Q224" i="4"/>
  <c r="X24" i="5"/>
  <c r="S224" i="4"/>
  <c r="AA24" i="5"/>
  <c r="AI224" i="4"/>
  <c r="T224" i="4" a="1"/>
  <c r="T224" i="4"/>
  <c r="AC24" i="5"/>
  <c r="U224" i="4" a="1"/>
  <c r="U224" i="4"/>
  <c r="AD24" i="5"/>
  <c r="X224" i="4"/>
  <c r="AI24" i="5"/>
  <c r="Y224" i="4"/>
  <c r="AJ24" i="5"/>
  <c r="Z224" i="4"/>
  <c r="AL24" i="5"/>
  <c r="L24" i="5"/>
  <c r="N24" i="5"/>
  <c r="O24" i="5"/>
  <c r="F24" i="5"/>
  <c r="H24" i="5"/>
  <c r="I24" i="5"/>
  <c r="Z24" i="5"/>
  <c r="AN24" i="5"/>
  <c r="AG25" i="5"/>
  <c r="AF25" i="5"/>
  <c r="C226" i="4"/>
  <c r="C25" i="5"/>
  <c r="D226" i="4"/>
  <c r="E25" i="5"/>
  <c r="H226" i="4"/>
  <c r="K25" i="5"/>
  <c r="L226" i="4"/>
  <c r="Q25" i="5"/>
  <c r="M226" i="4"/>
  <c r="R25" i="5"/>
  <c r="T25" i="5"/>
  <c r="O226" i="4"/>
  <c r="U25" i="5"/>
  <c r="P226" i="4"/>
  <c r="W25" i="5"/>
  <c r="Q226" i="4"/>
  <c r="X25" i="5"/>
  <c r="S226" i="4"/>
  <c r="AA25" i="5"/>
  <c r="AI226" i="4"/>
  <c r="T226" i="4" a="1"/>
  <c r="T226" i="4"/>
  <c r="AC25" i="5"/>
  <c r="U226" i="4" a="1"/>
  <c r="U226" i="4"/>
  <c r="AD25" i="5"/>
  <c r="X226" i="4"/>
  <c r="AI25" i="5"/>
  <c r="Y226" i="4"/>
  <c r="AJ25" i="5"/>
  <c r="Z226" i="4"/>
  <c r="AL25" i="5"/>
  <c r="L25" i="5"/>
  <c r="N25" i="5"/>
  <c r="O25" i="5"/>
  <c r="F25" i="5"/>
  <c r="H25" i="5"/>
  <c r="I25" i="5"/>
  <c r="Z25" i="5"/>
  <c r="AN25" i="5"/>
  <c r="AG26" i="5"/>
  <c r="AF26" i="5"/>
  <c r="C227" i="4"/>
  <c r="C26" i="5"/>
  <c r="D227" i="4"/>
  <c r="E26" i="5"/>
  <c r="H227" i="4"/>
  <c r="K26" i="5"/>
  <c r="L227" i="4"/>
  <c r="Q26" i="5"/>
  <c r="M227" i="4"/>
  <c r="R26" i="5"/>
  <c r="T26" i="5"/>
  <c r="O227" i="4"/>
  <c r="U26" i="5"/>
  <c r="P227" i="4"/>
  <c r="W26" i="5"/>
  <c r="Q227" i="4"/>
  <c r="X26" i="5"/>
  <c r="S227" i="4"/>
  <c r="AA26" i="5"/>
  <c r="AI227" i="4"/>
  <c r="T227" i="4" a="1"/>
  <c r="T227" i="4"/>
  <c r="AC26" i="5"/>
  <c r="U227" i="4" a="1"/>
  <c r="U227" i="4"/>
  <c r="AD26" i="5"/>
  <c r="X227" i="4"/>
  <c r="AI26" i="5"/>
  <c r="Y227" i="4"/>
  <c r="AJ26" i="5"/>
  <c r="Z227" i="4"/>
  <c r="AL26" i="5"/>
  <c r="L26" i="5"/>
  <c r="N26" i="5"/>
  <c r="O26" i="5"/>
  <c r="F26" i="5"/>
  <c r="H26" i="5"/>
  <c r="I26" i="5"/>
  <c r="Z26" i="5"/>
  <c r="AN26" i="5"/>
  <c r="AG27" i="5"/>
  <c r="AF27" i="5"/>
  <c r="B238" i="4"/>
  <c r="C238" i="4"/>
  <c r="C27" i="5"/>
  <c r="D238" i="4"/>
  <c r="E27" i="5"/>
  <c r="E238" i="4"/>
  <c r="F27" i="5"/>
  <c r="F238" i="4"/>
  <c r="H27" i="5"/>
  <c r="I27" i="5"/>
  <c r="K27" i="5"/>
  <c r="L238" i="4"/>
  <c r="Q27" i="5"/>
  <c r="M238" i="4"/>
  <c r="R27" i="5"/>
  <c r="T27" i="5"/>
  <c r="O238" i="4"/>
  <c r="U27" i="5"/>
  <c r="P238" i="4"/>
  <c r="W27" i="5"/>
  <c r="Q238" i="4"/>
  <c r="X27" i="5"/>
  <c r="S238" i="4"/>
  <c r="AA27" i="5"/>
  <c r="AI238" i="4"/>
  <c r="T238" i="4" a="1"/>
  <c r="T238" i="4"/>
  <c r="AC27" i="5"/>
  <c r="U238" i="4" a="1"/>
  <c r="U238" i="4"/>
  <c r="AD27" i="5"/>
  <c r="X238" i="4"/>
  <c r="AI27" i="5"/>
  <c r="Y238" i="4"/>
  <c r="AJ27" i="5"/>
  <c r="Z238" i="4"/>
  <c r="AL27" i="5"/>
  <c r="L27" i="5"/>
  <c r="N27" i="5"/>
  <c r="O27" i="5"/>
  <c r="Z27" i="5"/>
  <c r="AN27" i="5"/>
  <c r="AG28" i="5"/>
  <c r="AF28" i="5"/>
  <c r="C44" i="2"/>
  <c r="B244" i="4"/>
  <c r="C244" i="4"/>
  <c r="C28" i="5"/>
  <c r="D44" i="2"/>
  <c r="D244" i="4"/>
  <c r="E28" i="5"/>
  <c r="E44" i="2"/>
  <c r="E244" i="4"/>
  <c r="F28" i="5"/>
  <c r="F44" i="2"/>
  <c r="F244" i="4"/>
  <c r="H28" i="5"/>
  <c r="I28" i="5"/>
  <c r="H44" i="2"/>
  <c r="H244" i="4"/>
  <c r="K28" i="5"/>
  <c r="L44" i="2"/>
  <c r="L244" i="4"/>
  <c r="Q28" i="5"/>
  <c r="M44" i="2"/>
  <c r="M244" i="4"/>
  <c r="R28" i="5"/>
  <c r="N244" i="4"/>
  <c r="T28" i="5"/>
  <c r="O44" i="2"/>
  <c r="O244" i="4"/>
  <c r="U28" i="5"/>
  <c r="P44" i="2"/>
  <c r="P244" i="4"/>
  <c r="W28" i="5"/>
  <c r="Q44" i="2"/>
  <c r="Q244" i="4"/>
  <c r="X28" i="5"/>
  <c r="S44" i="2"/>
  <c r="S244" i="4"/>
  <c r="AA28" i="5"/>
  <c r="AI244" i="4"/>
  <c r="T244" i="4" a="1"/>
  <c r="T244" i="4"/>
  <c r="AC28" i="5"/>
  <c r="U244" i="4" a="1"/>
  <c r="U244" i="4"/>
  <c r="AD28" i="5"/>
  <c r="X44" i="2"/>
  <c r="X244" i="4"/>
  <c r="AI28" i="5"/>
  <c r="Y44" i="2"/>
  <c r="Y244" i="4"/>
  <c r="AJ28" i="5"/>
  <c r="Z44" i="2"/>
  <c r="Z244" i="4"/>
  <c r="AL28" i="5"/>
  <c r="L28" i="5"/>
  <c r="N28" i="5"/>
  <c r="O28" i="5"/>
  <c r="Z28" i="5"/>
  <c r="AN28" i="5"/>
  <c r="O29" i="5"/>
  <c r="B263" i="4"/>
  <c r="H263" i="4"/>
  <c r="K29" i="5"/>
  <c r="AG29" i="5"/>
  <c r="AF29" i="5"/>
  <c r="C14" i="2"/>
  <c r="C263" i="4"/>
  <c r="C29" i="5"/>
  <c r="D14" i="2"/>
  <c r="D263" i="4"/>
  <c r="E29" i="5"/>
  <c r="I14" i="2"/>
  <c r="I263" i="4"/>
  <c r="L29" i="5"/>
  <c r="J14" i="2"/>
  <c r="J263" i="4"/>
  <c r="N29" i="5"/>
  <c r="L14" i="2"/>
  <c r="L263" i="4"/>
  <c r="Q29" i="5"/>
  <c r="M14" i="2"/>
  <c r="M263" i="4"/>
  <c r="R29" i="5"/>
  <c r="T29" i="5"/>
  <c r="O14" i="2"/>
  <c r="O263" i="4"/>
  <c r="U29" i="5"/>
  <c r="P14" i="2"/>
  <c r="P263" i="4"/>
  <c r="W29" i="5"/>
  <c r="Q14" i="2"/>
  <c r="Q263" i="4"/>
  <c r="X29" i="5"/>
  <c r="AA29" i="5"/>
  <c r="AI263" i="4"/>
  <c r="T263" i="4" a="1"/>
  <c r="T263" i="4"/>
  <c r="AC29" i="5"/>
  <c r="U263" i="4" a="1"/>
  <c r="U263" i="4"/>
  <c r="AD29" i="5"/>
  <c r="Y14" i="2"/>
  <c r="Y263" i="4"/>
  <c r="AJ29" i="5"/>
  <c r="Z14" i="2"/>
  <c r="Z263" i="4"/>
  <c r="AL29" i="5"/>
  <c r="F29" i="5"/>
  <c r="H29" i="5"/>
  <c r="I29" i="5"/>
  <c r="Z29" i="5"/>
  <c r="AN29" i="5"/>
  <c r="AG30" i="5"/>
  <c r="AF30" i="5"/>
  <c r="B264" i="4"/>
  <c r="C264" i="4"/>
  <c r="C30" i="5"/>
  <c r="D264" i="4"/>
  <c r="E30" i="5"/>
  <c r="H264" i="4"/>
  <c r="K30" i="5"/>
  <c r="L264" i="4"/>
  <c r="Q30" i="5"/>
  <c r="M264" i="4"/>
  <c r="R30" i="5"/>
  <c r="T30" i="5"/>
  <c r="O264" i="4"/>
  <c r="U30" i="5"/>
  <c r="P264" i="4"/>
  <c r="W30" i="5"/>
  <c r="Q264" i="4"/>
  <c r="X30" i="5"/>
  <c r="AA30" i="5"/>
  <c r="AI264" i="4"/>
  <c r="T264" i="4" a="1"/>
  <c r="T264" i="4"/>
  <c r="AC30" i="5"/>
  <c r="U264" i="4" a="1"/>
  <c r="U264" i="4"/>
  <c r="AD30" i="5"/>
  <c r="Y264" i="4"/>
  <c r="AJ30" i="5"/>
  <c r="Z264" i="4"/>
  <c r="AL30" i="5"/>
  <c r="L30" i="5"/>
  <c r="N30" i="5"/>
  <c r="O30" i="5"/>
  <c r="F30" i="5"/>
  <c r="H30" i="5"/>
  <c r="I30" i="5"/>
  <c r="Z30" i="5"/>
  <c r="AN30" i="5"/>
  <c r="S29" i="2"/>
  <c r="S265" i="4"/>
  <c r="AA31" i="5"/>
  <c r="P29" i="2"/>
  <c r="P265" i="4"/>
  <c r="W31" i="5"/>
  <c r="AG31" i="5"/>
  <c r="AF31" i="5"/>
  <c r="C29" i="2"/>
  <c r="C265" i="4"/>
  <c r="C31" i="5"/>
  <c r="D29" i="2"/>
  <c r="D265" i="4"/>
  <c r="E31" i="5"/>
  <c r="K31" i="5"/>
  <c r="L29" i="2"/>
  <c r="L265" i="4"/>
  <c r="Q31" i="5"/>
  <c r="M29" i="2"/>
  <c r="M265" i="4"/>
  <c r="R31" i="5"/>
  <c r="T31" i="5"/>
  <c r="O29" i="2"/>
  <c r="O265" i="4"/>
  <c r="U31" i="5"/>
  <c r="Q29" i="2"/>
  <c r="Q265" i="4"/>
  <c r="X31" i="5"/>
  <c r="R29" i="2"/>
  <c r="R265" i="4"/>
  <c r="Z31" i="5"/>
  <c r="AI265" i="4"/>
  <c r="T265" i="4" a="1"/>
  <c r="T265" i="4"/>
  <c r="AC31" i="5"/>
  <c r="U265" i="4" a="1"/>
  <c r="U265" i="4"/>
  <c r="AD31" i="5"/>
  <c r="AI31" i="5"/>
  <c r="Y29" i="2"/>
  <c r="Y265" i="4"/>
  <c r="AJ31" i="5"/>
  <c r="Z29" i="2"/>
  <c r="Z265" i="4"/>
  <c r="AL31" i="5"/>
  <c r="L31" i="5"/>
  <c r="N31" i="5"/>
  <c r="O31" i="5"/>
  <c r="F31" i="5"/>
  <c r="H31" i="5"/>
  <c r="I31" i="5"/>
  <c r="AN31" i="5"/>
  <c r="B266" i="4"/>
  <c r="S266" i="4"/>
  <c r="AA32" i="5"/>
  <c r="P266" i="4"/>
  <c r="W32" i="5"/>
  <c r="AG32" i="5"/>
  <c r="AF32" i="5"/>
  <c r="C266" i="4"/>
  <c r="C32" i="5"/>
  <c r="D266" i="4"/>
  <c r="E32" i="5"/>
  <c r="K32" i="5"/>
  <c r="L266" i="4"/>
  <c r="Q32" i="5"/>
  <c r="M266" i="4"/>
  <c r="R32" i="5"/>
  <c r="T32" i="5"/>
  <c r="O266" i="4"/>
  <c r="U32" i="5"/>
  <c r="Q266" i="4"/>
  <c r="X32" i="5"/>
  <c r="R266" i="4"/>
  <c r="Z32" i="5"/>
  <c r="AI266" i="4"/>
  <c r="T266" i="4" a="1"/>
  <c r="T266" i="4"/>
  <c r="AC32" i="5"/>
  <c r="U266" i="4" a="1"/>
  <c r="U266" i="4"/>
  <c r="AD32" i="5"/>
  <c r="X266" i="4"/>
  <c r="AI32" i="5"/>
  <c r="Y266" i="4"/>
  <c r="AJ32" i="5"/>
  <c r="Z266" i="4"/>
  <c r="AL32" i="5"/>
  <c r="L32" i="5"/>
  <c r="N32" i="5"/>
  <c r="O32" i="5"/>
  <c r="F32" i="5"/>
  <c r="H32" i="5"/>
  <c r="I32" i="5"/>
  <c r="AN32" i="5"/>
  <c r="B267" i="4"/>
  <c r="S267" i="4"/>
  <c r="AA33" i="5"/>
  <c r="P267" i="4"/>
  <c r="W33" i="5"/>
  <c r="AG33" i="5"/>
  <c r="AF33" i="5"/>
  <c r="C267" i="4"/>
  <c r="C33" i="5"/>
  <c r="D267" i="4"/>
  <c r="E33" i="5"/>
  <c r="K33" i="5"/>
  <c r="L267" i="4"/>
  <c r="Q33" i="5"/>
  <c r="M267" i="4"/>
  <c r="R33" i="5"/>
  <c r="T33" i="5"/>
  <c r="O267" i="4"/>
  <c r="U33" i="5"/>
  <c r="Q267" i="4"/>
  <c r="X33" i="5"/>
  <c r="R267" i="4"/>
  <c r="Z33" i="5"/>
  <c r="AI267" i="4"/>
  <c r="T267" i="4" a="1"/>
  <c r="T267" i="4"/>
  <c r="AC33" i="5"/>
  <c r="U267" i="4" a="1"/>
  <c r="U267" i="4"/>
  <c r="AD33" i="5"/>
  <c r="X267" i="4"/>
  <c r="AI33" i="5"/>
  <c r="Y267" i="4"/>
  <c r="AJ33" i="5"/>
  <c r="Z267" i="4"/>
  <c r="AL33" i="5"/>
  <c r="L33" i="5"/>
  <c r="N33" i="5"/>
  <c r="O33" i="5"/>
  <c r="F33" i="5"/>
  <c r="H33" i="5"/>
  <c r="I33" i="5"/>
  <c r="AN33" i="5"/>
  <c r="B269" i="4"/>
  <c r="S269" i="4"/>
  <c r="AA34" i="5"/>
  <c r="P269" i="4"/>
  <c r="W34" i="5"/>
  <c r="AG34" i="5"/>
  <c r="AF34" i="5"/>
  <c r="C269" i="4"/>
  <c r="C34" i="5"/>
  <c r="D269" i="4"/>
  <c r="E34" i="5"/>
  <c r="K34" i="5"/>
  <c r="L269" i="4"/>
  <c r="Q34" i="5"/>
  <c r="M269" i="4"/>
  <c r="R34" i="5"/>
  <c r="T34" i="5"/>
  <c r="O269" i="4"/>
  <c r="U34" i="5"/>
  <c r="Q269" i="4"/>
  <c r="X34" i="5"/>
  <c r="R269" i="4"/>
  <c r="Z34" i="5"/>
  <c r="AI269" i="4"/>
  <c r="T269" i="4" a="1"/>
  <c r="T269" i="4"/>
  <c r="AC34" i="5"/>
  <c r="U269" i="4" a="1"/>
  <c r="U269" i="4"/>
  <c r="AD34" i="5"/>
  <c r="X269" i="4"/>
  <c r="AI34" i="5"/>
  <c r="Y269" i="4"/>
  <c r="AJ34" i="5"/>
  <c r="Z269" i="4"/>
  <c r="AL34" i="5"/>
  <c r="L34" i="5"/>
  <c r="N34" i="5"/>
  <c r="O34" i="5"/>
  <c r="F34" i="5"/>
  <c r="H34" i="5"/>
  <c r="I34" i="5"/>
  <c r="AN34" i="5"/>
  <c r="AG35" i="5"/>
  <c r="AF35" i="5"/>
  <c r="B286" i="4"/>
  <c r="C24" i="2"/>
  <c r="C286" i="4"/>
  <c r="C35" i="5"/>
  <c r="D24" i="2"/>
  <c r="D286" i="4"/>
  <c r="E35" i="5"/>
  <c r="K35" i="5"/>
  <c r="L24" i="2"/>
  <c r="L286" i="4"/>
  <c r="Q35" i="5"/>
  <c r="M286" i="4"/>
  <c r="R35" i="5"/>
  <c r="T35" i="5"/>
  <c r="O16" i="2"/>
  <c r="O286" i="4"/>
  <c r="U35" i="5"/>
  <c r="P24" i="2"/>
  <c r="P286" i="4"/>
  <c r="W35" i="5"/>
  <c r="Q24" i="2"/>
  <c r="Q286" i="4"/>
  <c r="X35" i="5"/>
  <c r="S24" i="2"/>
  <c r="S286" i="4"/>
  <c r="AA35" i="5"/>
  <c r="AI286" i="4"/>
  <c r="T286" i="4" a="1"/>
  <c r="T286" i="4"/>
  <c r="AC35" i="5"/>
  <c r="U286" i="4" a="1"/>
  <c r="U286" i="4"/>
  <c r="AD35" i="5"/>
  <c r="AI35" i="5"/>
  <c r="Y24" i="2"/>
  <c r="Y286" i="4"/>
  <c r="AJ35" i="5"/>
  <c r="Z24" i="2"/>
  <c r="Z286" i="4"/>
  <c r="AL35" i="5"/>
  <c r="L35" i="5"/>
  <c r="F35" i="5"/>
  <c r="H35" i="5"/>
  <c r="I35" i="5"/>
  <c r="N35" i="5"/>
  <c r="O35" i="5"/>
  <c r="Z35" i="5"/>
  <c r="AN35" i="5"/>
  <c r="AG36" i="5"/>
  <c r="AF36" i="5"/>
  <c r="B288" i="4"/>
  <c r="C288" i="4"/>
  <c r="C36" i="5"/>
  <c r="D288" i="4"/>
  <c r="E36" i="5"/>
  <c r="K36" i="5"/>
  <c r="L288" i="4"/>
  <c r="Q36" i="5"/>
  <c r="M288" i="4"/>
  <c r="R36" i="5"/>
  <c r="T36" i="5"/>
  <c r="O288" i="4"/>
  <c r="U36" i="5"/>
  <c r="P288" i="4"/>
  <c r="W36" i="5"/>
  <c r="Q288" i="4"/>
  <c r="X36" i="5"/>
  <c r="S288" i="4"/>
  <c r="AA36" i="5"/>
  <c r="AI288" i="4"/>
  <c r="T288" i="4" a="1"/>
  <c r="T288" i="4"/>
  <c r="AC36" i="5"/>
  <c r="U288" i="4" a="1"/>
  <c r="U288" i="4"/>
  <c r="AD36" i="5"/>
  <c r="X288" i="4"/>
  <c r="AI36" i="5"/>
  <c r="Y288" i="4"/>
  <c r="AJ36" i="5"/>
  <c r="Z288" i="4"/>
  <c r="AL36" i="5"/>
  <c r="L36" i="5"/>
  <c r="F36" i="5"/>
  <c r="H36" i="5"/>
  <c r="I36" i="5"/>
  <c r="N36" i="5"/>
  <c r="O36" i="5"/>
  <c r="Z36" i="5"/>
  <c r="AN36" i="5"/>
  <c r="AG37" i="5"/>
  <c r="AF37" i="5"/>
  <c r="C289" i="4"/>
  <c r="C37" i="5"/>
  <c r="D289" i="4"/>
  <c r="E37" i="5"/>
  <c r="H29" i="2"/>
  <c r="K37" i="5"/>
  <c r="L289" i="4"/>
  <c r="Q37" i="5"/>
  <c r="M289" i="4"/>
  <c r="R37" i="5"/>
  <c r="T37" i="5"/>
  <c r="O289" i="4"/>
  <c r="U37" i="5"/>
  <c r="P289" i="4"/>
  <c r="W37" i="5"/>
  <c r="S289" i="4"/>
  <c r="AA37" i="5"/>
  <c r="AI289" i="4"/>
  <c r="T289" i="4" a="1"/>
  <c r="T289" i="4"/>
  <c r="AC37" i="5"/>
  <c r="U289" i="4" a="1"/>
  <c r="U289" i="4"/>
  <c r="AD37" i="5"/>
  <c r="X289" i="4"/>
  <c r="AI37" i="5"/>
  <c r="Y289" i="4"/>
  <c r="AJ37" i="5"/>
  <c r="Z289" i="4"/>
  <c r="AL37" i="5"/>
  <c r="L37" i="5"/>
  <c r="F37" i="5"/>
  <c r="H37" i="5"/>
  <c r="I37" i="5"/>
  <c r="N37" i="5"/>
  <c r="O37" i="5"/>
  <c r="Z37" i="5"/>
  <c r="AN37" i="5"/>
  <c r="AG38" i="5"/>
  <c r="AF38" i="5"/>
  <c r="C7" i="2"/>
  <c r="B8" i="4"/>
  <c r="C8" i="4"/>
  <c r="C38" i="5"/>
  <c r="D7" i="2"/>
  <c r="D8" i="4"/>
  <c r="E38" i="5"/>
  <c r="H8" i="4"/>
  <c r="K38" i="5"/>
  <c r="L7" i="2"/>
  <c r="L8" i="4"/>
  <c r="Q38" i="5"/>
  <c r="M7" i="2"/>
  <c r="M8" i="4"/>
  <c r="R38" i="5"/>
  <c r="T38" i="5"/>
  <c r="U38" i="5"/>
  <c r="P7" i="2"/>
  <c r="P8" i="4"/>
  <c r="W38" i="5"/>
  <c r="Q7" i="2"/>
  <c r="Q8" i="4"/>
  <c r="X38" i="5"/>
  <c r="AA38" i="5"/>
  <c r="AI8" i="4"/>
  <c r="T8" i="4" a="1"/>
  <c r="T8" i="4"/>
  <c r="AC38" i="5"/>
  <c r="U8" i="4" a="1"/>
  <c r="U8" i="4"/>
  <c r="AD38" i="5"/>
  <c r="X7" i="2"/>
  <c r="X8" i="4"/>
  <c r="AI38" i="5"/>
  <c r="Y7" i="2"/>
  <c r="Y8" i="4"/>
  <c r="AJ38" i="5"/>
  <c r="Z7" i="2"/>
  <c r="Z8" i="4"/>
  <c r="AL38" i="5"/>
  <c r="F38" i="5"/>
  <c r="H38" i="5"/>
  <c r="I38" i="5"/>
  <c r="L38" i="5"/>
  <c r="N38" i="5"/>
  <c r="O38" i="5"/>
  <c r="Z38" i="5"/>
  <c r="AN38" i="5"/>
  <c r="AG39" i="5"/>
  <c r="AF39" i="5"/>
  <c r="B9" i="4"/>
  <c r="C9" i="4"/>
  <c r="C39" i="5"/>
  <c r="D9" i="4"/>
  <c r="E39" i="5"/>
  <c r="H9" i="4"/>
  <c r="K39" i="5"/>
  <c r="L9" i="4"/>
  <c r="Q39" i="5"/>
  <c r="M9" i="4"/>
  <c r="R39" i="5"/>
  <c r="N9" i="4"/>
  <c r="T39" i="5"/>
  <c r="O7" i="2"/>
  <c r="O9" i="4"/>
  <c r="U39" i="5"/>
  <c r="P9" i="4"/>
  <c r="W39" i="5"/>
  <c r="Q9" i="4"/>
  <c r="X39" i="5"/>
  <c r="AA39" i="5"/>
  <c r="AI9" i="4"/>
  <c r="T9" i="4" a="1"/>
  <c r="T9" i="4"/>
  <c r="AC39" i="5"/>
  <c r="U9" i="4" a="1"/>
  <c r="U9" i="4"/>
  <c r="AD39" i="5"/>
  <c r="X9" i="4"/>
  <c r="AI39" i="5"/>
  <c r="Y9" i="4"/>
  <c r="AJ39" i="5"/>
  <c r="Z9" i="4"/>
  <c r="AL39" i="5"/>
  <c r="F39" i="5"/>
  <c r="H39" i="5"/>
  <c r="I39" i="5"/>
  <c r="L39" i="5"/>
  <c r="N39" i="5"/>
  <c r="O39" i="5"/>
  <c r="Z39" i="5"/>
  <c r="AN39" i="5"/>
  <c r="AG40" i="5"/>
  <c r="AF40" i="5"/>
  <c r="B10" i="4"/>
  <c r="C10" i="4"/>
  <c r="C40" i="5"/>
  <c r="D10" i="4"/>
  <c r="E40" i="5"/>
  <c r="H10" i="4"/>
  <c r="K40" i="5"/>
  <c r="L10" i="4"/>
  <c r="Q40" i="5"/>
  <c r="M10" i="4"/>
  <c r="R40" i="5"/>
  <c r="T40" i="5"/>
  <c r="U40" i="5"/>
  <c r="P10" i="4"/>
  <c r="W40" i="5"/>
  <c r="Q10" i="4"/>
  <c r="X40" i="5"/>
  <c r="AA40" i="5"/>
  <c r="AI10" i="4"/>
  <c r="T10" i="4" a="1"/>
  <c r="T10" i="4"/>
  <c r="AC40" i="5"/>
  <c r="U10" i="4" a="1"/>
  <c r="U10" i="4"/>
  <c r="AD40" i="5"/>
  <c r="X10" i="4"/>
  <c r="AI40" i="5"/>
  <c r="Y10" i="4"/>
  <c r="AJ40" i="5"/>
  <c r="Z10" i="4"/>
  <c r="AL40" i="5"/>
  <c r="F40" i="5"/>
  <c r="H40" i="5"/>
  <c r="I40" i="5"/>
  <c r="L40" i="5"/>
  <c r="N40" i="5"/>
  <c r="O40" i="5"/>
  <c r="Z40" i="5"/>
  <c r="AN40" i="5"/>
  <c r="AG41" i="5"/>
  <c r="AF41" i="5"/>
  <c r="C11" i="4"/>
  <c r="C41" i="5"/>
  <c r="D11" i="4"/>
  <c r="E41" i="5"/>
  <c r="H11" i="4"/>
  <c r="K41" i="5"/>
  <c r="L11" i="4"/>
  <c r="Q41" i="5"/>
  <c r="M11" i="4"/>
  <c r="R41" i="5"/>
  <c r="T41" i="5"/>
  <c r="U41" i="5"/>
  <c r="P11" i="4"/>
  <c r="W41" i="5"/>
  <c r="Q11" i="4"/>
  <c r="X41" i="5"/>
  <c r="AA41" i="5"/>
  <c r="AI11" i="4"/>
  <c r="T11" i="4" a="1"/>
  <c r="T11" i="4"/>
  <c r="AC41" i="5"/>
  <c r="U11" i="4" a="1"/>
  <c r="U11" i="4"/>
  <c r="AD41" i="5"/>
  <c r="X11" i="4"/>
  <c r="AI41" i="5"/>
  <c r="Y11" i="4"/>
  <c r="AJ41" i="5"/>
  <c r="Z11" i="4"/>
  <c r="AL41" i="5"/>
  <c r="F41" i="5"/>
  <c r="H41" i="5"/>
  <c r="I41" i="5"/>
  <c r="L41" i="5"/>
  <c r="N41" i="5"/>
  <c r="O41" i="5"/>
  <c r="Z41" i="5"/>
  <c r="AN41" i="5"/>
  <c r="AG42" i="5"/>
  <c r="AF42" i="5"/>
  <c r="B12" i="4"/>
  <c r="C12" i="4"/>
  <c r="C42" i="5"/>
  <c r="D12" i="4"/>
  <c r="E42" i="5"/>
  <c r="H12" i="4"/>
  <c r="K42" i="5"/>
  <c r="L12" i="4"/>
  <c r="Q42" i="5"/>
  <c r="M12" i="4"/>
  <c r="R42" i="5"/>
  <c r="T42" i="5"/>
  <c r="U42" i="5"/>
  <c r="P12" i="4"/>
  <c r="W42" i="5"/>
  <c r="Q12" i="4"/>
  <c r="X42" i="5"/>
  <c r="AA42" i="5"/>
  <c r="AI12" i="4"/>
  <c r="T12" i="4" a="1"/>
  <c r="T12" i="4"/>
  <c r="AC42" i="5"/>
  <c r="U12" i="4" a="1"/>
  <c r="U12" i="4"/>
  <c r="AD42" i="5"/>
  <c r="X12" i="4"/>
  <c r="AI42" i="5"/>
  <c r="Y12" i="4"/>
  <c r="AJ42" i="5"/>
  <c r="Z12" i="4"/>
  <c r="AL42" i="5"/>
  <c r="F42" i="5"/>
  <c r="H42" i="5"/>
  <c r="I42" i="5"/>
  <c r="L42" i="5"/>
  <c r="N42" i="5"/>
  <c r="O42" i="5"/>
  <c r="Z42" i="5"/>
  <c r="AN42" i="5"/>
  <c r="AG43" i="5"/>
  <c r="AF43" i="5"/>
  <c r="B13" i="4"/>
  <c r="C13" i="4"/>
  <c r="C43" i="5"/>
  <c r="D13" i="4"/>
  <c r="E43" i="5"/>
  <c r="H13" i="4"/>
  <c r="K43" i="5"/>
  <c r="L13" i="4"/>
  <c r="Q43" i="5"/>
  <c r="M13" i="4"/>
  <c r="R43" i="5"/>
  <c r="T43" i="5"/>
  <c r="O13" i="4"/>
  <c r="U43" i="5"/>
  <c r="P13" i="4"/>
  <c r="W43" i="5"/>
  <c r="Q13" i="4"/>
  <c r="X43" i="5"/>
  <c r="AA43" i="5"/>
  <c r="AI13" i="4"/>
  <c r="T13" i="4" a="1"/>
  <c r="T13" i="4"/>
  <c r="AC43" i="5"/>
  <c r="U13" i="4" a="1"/>
  <c r="U13" i="4"/>
  <c r="AD43" i="5"/>
  <c r="X13" i="4"/>
  <c r="AI43" i="5"/>
  <c r="Y13" i="4"/>
  <c r="AJ43" i="5"/>
  <c r="Z13" i="4"/>
  <c r="AL43" i="5"/>
  <c r="F43" i="5"/>
  <c r="H43" i="5"/>
  <c r="I43" i="5"/>
  <c r="L43" i="5"/>
  <c r="N43" i="5"/>
  <c r="O43" i="5"/>
  <c r="Z43" i="5"/>
  <c r="AN43" i="5"/>
  <c r="AG44" i="5"/>
  <c r="AF44" i="5"/>
  <c r="C14" i="4"/>
  <c r="C44" i="5"/>
  <c r="N14" i="4"/>
  <c r="T44" i="5"/>
  <c r="O14" i="4"/>
  <c r="U44" i="5"/>
  <c r="P14" i="4"/>
  <c r="W44" i="5"/>
  <c r="Q14" i="4"/>
  <c r="X44" i="5"/>
  <c r="AA44" i="5"/>
  <c r="AI14" i="4"/>
  <c r="T14" i="4" a="1"/>
  <c r="T14" i="4"/>
  <c r="AC44" i="5"/>
  <c r="U14" i="4" a="1"/>
  <c r="U14" i="4"/>
  <c r="AD44" i="5"/>
  <c r="X14" i="4"/>
  <c r="AI44" i="5"/>
  <c r="Y14" i="4"/>
  <c r="AJ44" i="5"/>
  <c r="Z14" i="4"/>
  <c r="AL44" i="5"/>
  <c r="F44" i="5"/>
  <c r="H44" i="5"/>
  <c r="I44" i="5"/>
  <c r="L44" i="5"/>
  <c r="N44" i="5"/>
  <c r="O44" i="5"/>
  <c r="Z44" i="5"/>
  <c r="AN44" i="5"/>
  <c r="AG45" i="5"/>
  <c r="AF45" i="5"/>
  <c r="C15" i="4"/>
  <c r="C45" i="5"/>
  <c r="T45" i="5"/>
  <c r="O15" i="4"/>
  <c r="U45" i="5"/>
  <c r="P15" i="4"/>
  <c r="W45" i="5"/>
  <c r="Q15" i="4"/>
  <c r="X45" i="5"/>
  <c r="AA45" i="5"/>
  <c r="AI15" i="4"/>
  <c r="T15" i="4" a="1"/>
  <c r="T15" i="4"/>
  <c r="AC45" i="5"/>
  <c r="U15" i="4" a="1"/>
  <c r="U15" i="4"/>
  <c r="AD45" i="5"/>
  <c r="X15" i="4"/>
  <c r="AI45" i="5"/>
  <c r="Y15" i="4"/>
  <c r="AJ45" i="5"/>
  <c r="Z15" i="4"/>
  <c r="AL45" i="5"/>
  <c r="Z45" i="5"/>
  <c r="AN45" i="5"/>
  <c r="AG46" i="5"/>
  <c r="AF46" i="5"/>
  <c r="C16" i="4"/>
  <c r="C46" i="5"/>
  <c r="D16" i="4"/>
  <c r="E46" i="5"/>
  <c r="H16" i="4"/>
  <c r="K46" i="5"/>
  <c r="L16" i="4"/>
  <c r="Q46" i="5"/>
  <c r="M16" i="4"/>
  <c r="R46" i="5"/>
  <c r="T46" i="5"/>
  <c r="U46" i="5"/>
  <c r="P16" i="4"/>
  <c r="W46" i="5"/>
  <c r="Q16" i="4"/>
  <c r="X46" i="5"/>
  <c r="AA46" i="5"/>
  <c r="AI16" i="4"/>
  <c r="T16" i="4" a="1"/>
  <c r="T16" i="4"/>
  <c r="AC46" i="5"/>
  <c r="U16" i="4" a="1"/>
  <c r="U16" i="4"/>
  <c r="AD46" i="5"/>
  <c r="Y16" i="4"/>
  <c r="AJ46" i="5"/>
  <c r="Z16" i="4"/>
  <c r="AL46" i="5"/>
  <c r="F46" i="5"/>
  <c r="H46" i="5"/>
  <c r="I46" i="5"/>
  <c r="L46" i="5"/>
  <c r="N46" i="5"/>
  <c r="O46" i="5"/>
  <c r="Z46" i="5"/>
  <c r="AN46" i="5"/>
  <c r="AG47" i="5"/>
  <c r="AF47" i="5"/>
  <c r="C17" i="4"/>
  <c r="C47" i="5"/>
  <c r="D17" i="4"/>
  <c r="E47" i="5"/>
  <c r="H17" i="4"/>
  <c r="K47" i="5"/>
  <c r="L17" i="4"/>
  <c r="Q47" i="5"/>
  <c r="M17" i="4"/>
  <c r="R47" i="5"/>
  <c r="T47" i="5"/>
  <c r="O17" i="4"/>
  <c r="U47" i="5"/>
  <c r="P17" i="4"/>
  <c r="W47" i="5"/>
  <c r="Q17" i="4"/>
  <c r="X47" i="5"/>
  <c r="AA47" i="5"/>
  <c r="AI17" i="4"/>
  <c r="T17" i="4" a="1"/>
  <c r="T17" i="4"/>
  <c r="AC47" i="5"/>
  <c r="U17" i="4" a="1"/>
  <c r="U17" i="4"/>
  <c r="AD47" i="5"/>
  <c r="X17" i="4"/>
  <c r="AI47" i="5"/>
  <c r="Y17" i="4"/>
  <c r="AJ47" i="5"/>
  <c r="Z17" i="4"/>
  <c r="AL47" i="5"/>
  <c r="F47" i="5"/>
  <c r="H47" i="5"/>
  <c r="I47" i="5"/>
  <c r="L47" i="5"/>
  <c r="N47" i="5"/>
  <c r="O47" i="5"/>
  <c r="Z47" i="5"/>
  <c r="AN47" i="5"/>
  <c r="AG48" i="5"/>
  <c r="AF48" i="5"/>
  <c r="B18" i="4"/>
  <c r="C18" i="4"/>
  <c r="C48" i="5"/>
  <c r="D18" i="4"/>
  <c r="E48" i="5"/>
  <c r="H18" i="4"/>
  <c r="K48" i="5"/>
  <c r="L18" i="4"/>
  <c r="Q48" i="5"/>
  <c r="M18" i="4"/>
  <c r="R48" i="5"/>
  <c r="T48" i="5"/>
  <c r="U48" i="5"/>
  <c r="P18" i="4"/>
  <c r="W48" i="5"/>
  <c r="Q18" i="4"/>
  <c r="X48" i="5"/>
  <c r="AA48" i="5"/>
  <c r="AI18" i="4"/>
  <c r="T18" i="4" a="1"/>
  <c r="T18" i="4"/>
  <c r="AC48" i="5"/>
  <c r="U18" i="4" a="1"/>
  <c r="U18" i="4"/>
  <c r="AD48" i="5"/>
  <c r="X18" i="4"/>
  <c r="AI48" i="5"/>
  <c r="Y18" i="4"/>
  <c r="AJ48" i="5"/>
  <c r="Z18" i="4"/>
  <c r="AL48" i="5"/>
  <c r="F48" i="5"/>
  <c r="H48" i="5"/>
  <c r="I48" i="5"/>
  <c r="L48" i="5"/>
  <c r="N48" i="5"/>
  <c r="O48" i="5"/>
  <c r="Z48" i="5"/>
  <c r="AN48" i="5"/>
  <c r="AG49" i="5"/>
  <c r="AF49" i="5"/>
  <c r="B19" i="4"/>
  <c r="C19" i="4"/>
  <c r="C49" i="5"/>
  <c r="D19" i="4"/>
  <c r="E49" i="5"/>
  <c r="H19" i="4"/>
  <c r="K49" i="5"/>
  <c r="L19" i="4"/>
  <c r="Q49" i="5"/>
  <c r="M19" i="4"/>
  <c r="R49" i="5"/>
  <c r="T49" i="5"/>
  <c r="O19" i="4"/>
  <c r="U49" i="5"/>
  <c r="P19" i="4"/>
  <c r="W49" i="5"/>
  <c r="Q19" i="4"/>
  <c r="X49" i="5"/>
  <c r="AA49" i="5"/>
  <c r="AI19" i="4"/>
  <c r="T19" i="4" a="1"/>
  <c r="T19" i="4"/>
  <c r="AC49" i="5"/>
  <c r="U19" i="4" a="1"/>
  <c r="U19" i="4"/>
  <c r="AD49" i="5"/>
  <c r="X19" i="4"/>
  <c r="AI49" i="5"/>
  <c r="Y19" i="4"/>
  <c r="AJ49" i="5"/>
  <c r="Z19" i="4"/>
  <c r="AL49" i="5"/>
  <c r="F49" i="5"/>
  <c r="H49" i="5"/>
  <c r="I49" i="5"/>
  <c r="L49" i="5"/>
  <c r="N49" i="5"/>
  <c r="O49" i="5"/>
  <c r="Z49" i="5"/>
  <c r="AN49" i="5"/>
  <c r="AG50" i="5"/>
  <c r="AF50" i="5"/>
  <c r="B20" i="4"/>
  <c r="C20" i="4"/>
  <c r="C50" i="5"/>
  <c r="D20" i="4"/>
  <c r="E50" i="5"/>
  <c r="L20" i="4"/>
  <c r="Q50" i="5"/>
  <c r="M20" i="4"/>
  <c r="R50" i="5"/>
  <c r="T50" i="5"/>
  <c r="U50" i="5"/>
  <c r="P20" i="4"/>
  <c r="W50" i="5"/>
  <c r="Q20" i="4"/>
  <c r="X50" i="5"/>
  <c r="S14" i="2"/>
  <c r="S20" i="4"/>
  <c r="AA50" i="5"/>
  <c r="AI20" i="4"/>
  <c r="T20" i="4" a="1"/>
  <c r="T20" i="4"/>
  <c r="AC50" i="5"/>
  <c r="U20" i="4" a="1"/>
  <c r="U20" i="4"/>
  <c r="AD50" i="5"/>
  <c r="X14" i="2"/>
  <c r="X20" i="4"/>
  <c r="AI50" i="5"/>
  <c r="Y20" i="4"/>
  <c r="AJ50" i="5"/>
  <c r="Z20" i="4"/>
  <c r="AL50" i="5"/>
  <c r="L50" i="5"/>
  <c r="F50" i="5"/>
  <c r="H50" i="5"/>
  <c r="I50" i="5"/>
  <c r="N50" i="5"/>
  <c r="O50" i="5"/>
  <c r="Z50" i="5"/>
  <c r="AN50" i="5"/>
  <c r="AG51" i="5"/>
  <c r="AF51" i="5"/>
  <c r="C15" i="2"/>
  <c r="B21" i="4"/>
  <c r="C21" i="4"/>
  <c r="C51" i="5"/>
  <c r="D15" i="2"/>
  <c r="D21" i="4"/>
  <c r="E51" i="5"/>
  <c r="L15" i="2"/>
  <c r="L21" i="4"/>
  <c r="Q51" i="5"/>
  <c r="M15" i="2"/>
  <c r="M21" i="4"/>
  <c r="R51" i="5"/>
  <c r="N15" i="2"/>
  <c r="N21" i="4"/>
  <c r="T51" i="5"/>
  <c r="O15" i="2"/>
  <c r="O21" i="4"/>
  <c r="U51" i="5"/>
  <c r="P15" i="2"/>
  <c r="P21" i="4"/>
  <c r="W51" i="5"/>
  <c r="Q15" i="2"/>
  <c r="Q21" i="4"/>
  <c r="X51" i="5"/>
  <c r="S15" i="2"/>
  <c r="S21" i="4"/>
  <c r="AA51" i="5"/>
  <c r="AI21" i="4"/>
  <c r="T21" i="4" a="1"/>
  <c r="T21" i="4"/>
  <c r="AC51" i="5"/>
  <c r="U21" i="4" a="1"/>
  <c r="U21" i="4"/>
  <c r="AD51" i="5"/>
  <c r="X15" i="2"/>
  <c r="X21" i="4"/>
  <c r="AI51" i="5"/>
  <c r="Y15" i="2"/>
  <c r="Y21" i="4"/>
  <c r="AJ51" i="5"/>
  <c r="Z15" i="2"/>
  <c r="Z21" i="4"/>
  <c r="AL51" i="5"/>
  <c r="L51" i="5"/>
  <c r="F51" i="5"/>
  <c r="H51" i="5"/>
  <c r="I51" i="5"/>
  <c r="N51" i="5"/>
  <c r="O51" i="5"/>
  <c r="Z51" i="5"/>
  <c r="AN51" i="5"/>
  <c r="AG52" i="5"/>
  <c r="AF52" i="5"/>
  <c r="B22" i="4"/>
  <c r="C22" i="4"/>
  <c r="C52" i="5"/>
  <c r="D22" i="4"/>
  <c r="E52" i="5"/>
  <c r="L22" i="4"/>
  <c r="Q52" i="5"/>
  <c r="M22" i="4"/>
  <c r="R52" i="5"/>
  <c r="T52" i="5"/>
  <c r="U52" i="5"/>
  <c r="P22" i="4"/>
  <c r="W52" i="5"/>
  <c r="Q22" i="4"/>
  <c r="X52" i="5"/>
  <c r="S22" i="4"/>
  <c r="AA52" i="5"/>
  <c r="AI22" i="4"/>
  <c r="T22" i="4" a="1"/>
  <c r="T22" i="4"/>
  <c r="AC52" i="5"/>
  <c r="U22" i="4" a="1"/>
  <c r="U22" i="4"/>
  <c r="AD52" i="5"/>
  <c r="X22" i="4"/>
  <c r="AI52" i="5"/>
  <c r="Y22" i="4"/>
  <c r="AJ52" i="5"/>
  <c r="Z22" i="4"/>
  <c r="AL52" i="5"/>
  <c r="L52" i="5"/>
  <c r="F52" i="5"/>
  <c r="H52" i="5"/>
  <c r="I52" i="5"/>
  <c r="N52" i="5"/>
  <c r="O52" i="5"/>
  <c r="Z52" i="5"/>
  <c r="AN52" i="5"/>
  <c r="AG53" i="5"/>
  <c r="AF53" i="5"/>
  <c r="B23" i="4"/>
  <c r="C23" i="4"/>
  <c r="C53" i="5"/>
  <c r="D23" i="4"/>
  <c r="E53" i="5"/>
  <c r="L23" i="4"/>
  <c r="Q53" i="5"/>
  <c r="M23" i="4"/>
  <c r="R53" i="5"/>
  <c r="T53" i="5"/>
  <c r="U53" i="5"/>
  <c r="P23" i="4"/>
  <c r="W53" i="5"/>
  <c r="Q23" i="4"/>
  <c r="X53" i="5"/>
  <c r="S23" i="4"/>
  <c r="AA53" i="5"/>
  <c r="AI23" i="4"/>
  <c r="T23" i="4" a="1"/>
  <c r="T23" i="4"/>
  <c r="AC53" i="5"/>
  <c r="U23" i="4" a="1"/>
  <c r="U23" i="4"/>
  <c r="AD53" i="5"/>
  <c r="X23" i="4"/>
  <c r="AI53" i="5"/>
  <c r="Y23" i="4"/>
  <c r="AJ53" i="5"/>
  <c r="Z23" i="4"/>
  <c r="AL53" i="5"/>
  <c r="L53" i="5"/>
  <c r="F53" i="5"/>
  <c r="H53" i="5"/>
  <c r="I53" i="5"/>
  <c r="N53" i="5"/>
  <c r="O53" i="5"/>
  <c r="Z53" i="5"/>
  <c r="AN53" i="5"/>
  <c r="AG54" i="5"/>
  <c r="AF54" i="5"/>
  <c r="C25" i="4"/>
  <c r="C54" i="5"/>
  <c r="D25" i="4"/>
  <c r="E54" i="5"/>
  <c r="K54" i="5"/>
  <c r="I24" i="2"/>
  <c r="I3" i="2"/>
  <c r="I25" i="4"/>
  <c r="L54" i="5"/>
  <c r="J24" i="2"/>
  <c r="J3" i="2"/>
  <c r="J25" i="4"/>
  <c r="N54" i="5"/>
  <c r="O54" i="5"/>
  <c r="L25" i="4"/>
  <c r="Q54" i="5"/>
  <c r="M25" i="4"/>
  <c r="R54" i="5"/>
  <c r="T54" i="5"/>
  <c r="U54" i="5"/>
  <c r="P25" i="4"/>
  <c r="W54" i="5"/>
  <c r="Q25" i="4"/>
  <c r="X54" i="5"/>
  <c r="S25" i="4"/>
  <c r="AA54" i="5"/>
  <c r="AI25" i="4"/>
  <c r="T25" i="4" a="1"/>
  <c r="T25" i="4"/>
  <c r="AC54" i="5"/>
  <c r="U25" i="4" a="1"/>
  <c r="U25" i="4"/>
  <c r="AD54" i="5"/>
  <c r="X24" i="2"/>
  <c r="X25" i="4"/>
  <c r="AI54" i="5"/>
  <c r="Y25" i="4"/>
  <c r="AJ54" i="5"/>
  <c r="Z25" i="4"/>
  <c r="AL54" i="5"/>
  <c r="F54" i="5"/>
  <c r="H54" i="5"/>
  <c r="I54" i="5"/>
  <c r="Z54" i="5"/>
  <c r="AN54" i="5"/>
  <c r="AG55" i="5"/>
  <c r="AF55" i="5"/>
  <c r="C11" i="2"/>
  <c r="C28" i="4"/>
  <c r="C55" i="5"/>
  <c r="D11" i="2"/>
  <c r="D28" i="4"/>
  <c r="E55" i="5"/>
  <c r="H11" i="2"/>
  <c r="H28" i="4"/>
  <c r="K55" i="5"/>
  <c r="L11" i="2"/>
  <c r="L28" i="4"/>
  <c r="Q55" i="5"/>
  <c r="M11" i="2"/>
  <c r="M28" i="4"/>
  <c r="R55" i="5"/>
  <c r="N11" i="2"/>
  <c r="N28" i="4"/>
  <c r="T55" i="5"/>
  <c r="O11" i="2"/>
  <c r="O28" i="4"/>
  <c r="U55" i="5"/>
  <c r="P11" i="2"/>
  <c r="P28" i="4"/>
  <c r="W55" i="5"/>
  <c r="Q11" i="2"/>
  <c r="Q28" i="4"/>
  <c r="X55" i="5"/>
  <c r="AA55" i="5"/>
  <c r="AI28" i="4"/>
  <c r="T28" i="4" a="1"/>
  <c r="T28" i="4"/>
  <c r="AC55" i="5"/>
  <c r="U28" i="4" a="1"/>
  <c r="U28" i="4"/>
  <c r="AD55" i="5"/>
  <c r="X11" i="2"/>
  <c r="X28" i="4"/>
  <c r="AI55" i="5"/>
  <c r="Y11" i="2"/>
  <c r="Y28" i="4"/>
  <c r="AJ55" i="5"/>
  <c r="Z11" i="2"/>
  <c r="Z28" i="4"/>
  <c r="AL55" i="5"/>
  <c r="L55" i="5"/>
  <c r="N55" i="5"/>
  <c r="O55" i="5"/>
  <c r="F55" i="5"/>
  <c r="H55" i="5"/>
  <c r="I55" i="5"/>
  <c r="Z55" i="5"/>
  <c r="AN55" i="5"/>
  <c r="AG56" i="5"/>
  <c r="AF56" i="5"/>
  <c r="C13" i="2"/>
  <c r="C29" i="4"/>
  <c r="C56" i="5"/>
  <c r="D13" i="2"/>
  <c r="D29" i="4"/>
  <c r="E56" i="5"/>
  <c r="H13" i="2"/>
  <c r="H29" i="4"/>
  <c r="K56" i="5"/>
  <c r="L13" i="2"/>
  <c r="L29" i="4"/>
  <c r="Q56" i="5"/>
  <c r="M13" i="2"/>
  <c r="M29" i="4"/>
  <c r="R56" i="5"/>
  <c r="N13" i="2"/>
  <c r="N29" i="4"/>
  <c r="T56" i="5"/>
  <c r="O13" i="2"/>
  <c r="O29" i="4"/>
  <c r="U56" i="5"/>
  <c r="P13" i="2"/>
  <c r="P29" i="4"/>
  <c r="W56" i="5"/>
  <c r="Q13" i="2"/>
  <c r="Q29" i="4"/>
  <c r="X56" i="5"/>
  <c r="AA56" i="5"/>
  <c r="AI29" i="4"/>
  <c r="T29" i="4" a="1"/>
  <c r="T29" i="4"/>
  <c r="AC56" i="5"/>
  <c r="U29" i="4" a="1"/>
  <c r="U29" i="4"/>
  <c r="AD56" i="5"/>
  <c r="X13" i="2"/>
  <c r="X29" i="4"/>
  <c r="AI56" i="5"/>
  <c r="Y13" i="2"/>
  <c r="Y29" i="4"/>
  <c r="AJ56" i="5"/>
  <c r="Z13" i="2"/>
  <c r="Z29" i="4"/>
  <c r="AL56" i="5"/>
  <c r="L56" i="5"/>
  <c r="N56" i="5"/>
  <c r="O56" i="5"/>
  <c r="F56" i="5"/>
  <c r="H56" i="5"/>
  <c r="I56" i="5"/>
  <c r="Z56" i="5"/>
  <c r="AN56" i="5"/>
  <c r="AG57" i="5"/>
  <c r="AF57" i="5"/>
  <c r="C12" i="2"/>
  <c r="C30" i="4"/>
  <c r="C57" i="5"/>
  <c r="D12" i="2"/>
  <c r="D30" i="4"/>
  <c r="E57" i="5"/>
  <c r="H12" i="2"/>
  <c r="H30" i="4"/>
  <c r="K57" i="5"/>
  <c r="L12" i="2"/>
  <c r="L30" i="4"/>
  <c r="Q57" i="5"/>
  <c r="M12" i="2"/>
  <c r="M30" i="4"/>
  <c r="R57" i="5"/>
  <c r="T57" i="5"/>
  <c r="U57" i="5"/>
  <c r="P12" i="2"/>
  <c r="P30" i="4"/>
  <c r="W57" i="5"/>
  <c r="Q12" i="2"/>
  <c r="Q30" i="4"/>
  <c r="X57" i="5"/>
  <c r="AA57" i="5"/>
  <c r="AI30" i="4"/>
  <c r="T30" i="4" a="1"/>
  <c r="T30" i="4"/>
  <c r="AC57" i="5"/>
  <c r="U30" i="4" a="1"/>
  <c r="U30" i="4"/>
  <c r="AD57" i="5"/>
  <c r="X30" i="4"/>
  <c r="AI57" i="5"/>
  <c r="Y12" i="2"/>
  <c r="Y30" i="4"/>
  <c r="AJ57" i="5"/>
  <c r="Z12" i="2"/>
  <c r="Z30" i="4"/>
  <c r="AL57" i="5"/>
  <c r="L57" i="5"/>
  <c r="N57" i="5"/>
  <c r="O57" i="5"/>
  <c r="F57" i="5"/>
  <c r="H57" i="5"/>
  <c r="I57" i="5"/>
  <c r="Z57" i="5"/>
  <c r="AN57" i="5"/>
  <c r="AG58" i="5"/>
  <c r="AF58" i="5"/>
  <c r="C31" i="4"/>
  <c r="C58" i="5"/>
  <c r="D31" i="4"/>
  <c r="E58" i="5"/>
  <c r="H31" i="4"/>
  <c r="K58" i="5"/>
  <c r="I12" i="2"/>
  <c r="I31" i="4"/>
  <c r="L58" i="5"/>
  <c r="J12" i="2"/>
  <c r="J31" i="4"/>
  <c r="N58" i="5"/>
  <c r="O58" i="5"/>
  <c r="L31" i="4"/>
  <c r="Q58" i="5"/>
  <c r="M31" i="4"/>
  <c r="R58" i="5"/>
  <c r="N12" i="2"/>
  <c r="N31" i="4"/>
  <c r="T58" i="5"/>
  <c r="O12" i="2"/>
  <c r="O31" i="4"/>
  <c r="U58" i="5"/>
  <c r="P31" i="4"/>
  <c r="W58" i="5"/>
  <c r="Q31" i="4"/>
  <c r="X58" i="5"/>
  <c r="AA58" i="5"/>
  <c r="AI31" i="4"/>
  <c r="T31" i="4" a="1"/>
  <c r="T31" i="4"/>
  <c r="AC58" i="5"/>
  <c r="U31" i="4" a="1"/>
  <c r="U31" i="4"/>
  <c r="AD58" i="5"/>
  <c r="X31" i="4"/>
  <c r="AI58" i="5"/>
  <c r="Y31" i="4"/>
  <c r="AJ58" i="5"/>
  <c r="Z31" i="4"/>
  <c r="AL58" i="5"/>
  <c r="F58" i="5"/>
  <c r="H58" i="5"/>
  <c r="I58" i="5"/>
  <c r="Z58" i="5"/>
  <c r="AN58" i="5"/>
  <c r="AG59" i="5"/>
  <c r="AF59" i="5"/>
  <c r="C10" i="2"/>
  <c r="C32" i="4"/>
  <c r="C59" i="5"/>
  <c r="D10" i="2"/>
  <c r="D32" i="4"/>
  <c r="E59" i="5"/>
  <c r="H10" i="2"/>
  <c r="H32" i="4"/>
  <c r="K59" i="5"/>
  <c r="L10" i="2"/>
  <c r="L32" i="4"/>
  <c r="Q59" i="5"/>
  <c r="M10" i="2"/>
  <c r="M32" i="4"/>
  <c r="R59" i="5"/>
  <c r="N10" i="2"/>
  <c r="N32" i="4"/>
  <c r="T59" i="5"/>
  <c r="O10" i="2"/>
  <c r="O32" i="4"/>
  <c r="U59" i="5"/>
  <c r="P10" i="2"/>
  <c r="P32" i="4"/>
  <c r="W59" i="5"/>
  <c r="Q10" i="2"/>
  <c r="Q32" i="4"/>
  <c r="X59" i="5"/>
  <c r="AA59" i="5"/>
  <c r="AI32" i="4"/>
  <c r="T32" i="4" a="1"/>
  <c r="T32" i="4"/>
  <c r="AC59" i="5"/>
  <c r="U32" i="4" a="1"/>
  <c r="U32" i="4"/>
  <c r="AD59" i="5"/>
  <c r="X10" i="2"/>
  <c r="X32" i="4"/>
  <c r="AI59" i="5"/>
  <c r="Y10" i="2"/>
  <c r="Y32" i="4"/>
  <c r="AJ59" i="5"/>
  <c r="Z10" i="2"/>
  <c r="Z32" i="4"/>
  <c r="AL59" i="5"/>
  <c r="L59" i="5"/>
  <c r="N59" i="5"/>
  <c r="O59" i="5"/>
  <c r="F59" i="5"/>
  <c r="H59" i="5"/>
  <c r="I59" i="5"/>
  <c r="Z59" i="5"/>
  <c r="AN59" i="5"/>
  <c r="AG60" i="5"/>
  <c r="AF60" i="5"/>
  <c r="C33" i="4"/>
  <c r="C60" i="5"/>
  <c r="D33" i="4"/>
  <c r="E60" i="5"/>
  <c r="H33" i="4"/>
  <c r="K60" i="5"/>
  <c r="L33" i="4"/>
  <c r="Q60" i="5"/>
  <c r="M33" i="4"/>
  <c r="R60" i="5"/>
  <c r="T60" i="5"/>
  <c r="U60" i="5"/>
  <c r="P33" i="4"/>
  <c r="W60" i="5"/>
  <c r="Q33" i="4"/>
  <c r="X60" i="5"/>
  <c r="AA60" i="5"/>
  <c r="AI33" i="4"/>
  <c r="T33" i="4" a="1"/>
  <c r="T33" i="4"/>
  <c r="AC60" i="5"/>
  <c r="U33" i="4" a="1"/>
  <c r="U33" i="4"/>
  <c r="AD60" i="5"/>
  <c r="X33" i="4"/>
  <c r="AI60" i="5"/>
  <c r="Y33" i="4"/>
  <c r="AJ60" i="5"/>
  <c r="Z33" i="4"/>
  <c r="AL60" i="5"/>
  <c r="L60" i="5"/>
  <c r="N60" i="5"/>
  <c r="O60" i="5"/>
  <c r="F60" i="5"/>
  <c r="H60" i="5"/>
  <c r="I60" i="5"/>
  <c r="Z60" i="5"/>
  <c r="AN60" i="5"/>
  <c r="AA61" i="5"/>
  <c r="B34" i="4"/>
  <c r="P34" i="4"/>
  <c r="W61" i="5"/>
  <c r="O61" i="5"/>
  <c r="K61" i="5"/>
  <c r="AG61" i="5"/>
  <c r="AF61" i="5"/>
  <c r="C34" i="4"/>
  <c r="C61" i="5"/>
  <c r="D34" i="4"/>
  <c r="E61" i="5"/>
  <c r="L61" i="5"/>
  <c r="N61" i="5"/>
  <c r="L34" i="4"/>
  <c r="Q61" i="5"/>
  <c r="O34" i="4"/>
  <c r="U61" i="5"/>
  <c r="Q34" i="4"/>
  <c r="X61" i="5"/>
  <c r="R34" i="4"/>
  <c r="Z61" i="5"/>
  <c r="AI34" i="4"/>
  <c r="T34" i="4" a="1"/>
  <c r="T34" i="4"/>
  <c r="AC61" i="5"/>
  <c r="U34" i="4" a="1"/>
  <c r="U34" i="4"/>
  <c r="AD61" i="5"/>
  <c r="X34" i="4"/>
  <c r="AI61" i="5"/>
  <c r="Y34" i="4"/>
  <c r="AJ61" i="5"/>
  <c r="Z34" i="4"/>
  <c r="AL61" i="5"/>
  <c r="R61" i="5"/>
  <c r="T61" i="5"/>
  <c r="F61" i="5"/>
  <c r="H61" i="5"/>
  <c r="I61" i="5"/>
  <c r="AN61" i="5"/>
  <c r="AG62" i="5"/>
  <c r="AF62" i="5"/>
  <c r="B35" i="4"/>
  <c r="C35" i="4"/>
  <c r="C62" i="5"/>
  <c r="D35" i="4"/>
  <c r="E62" i="5"/>
  <c r="H35" i="4"/>
  <c r="K62" i="5"/>
  <c r="L35" i="4"/>
  <c r="Q62" i="5"/>
  <c r="M35" i="4"/>
  <c r="R62" i="5"/>
  <c r="T62" i="5"/>
  <c r="U62" i="5"/>
  <c r="P35" i="4"/>
  <c r="W62" i="5"/>
  <c r="Q35" i="4"/>
  <c r="X62" i="5"/>
  <c r="AA62" i="5"/>
  <c r="AI35" i="4"/>
  <c r="T35" i="4" a="1"/>
  <c r="T35" i="4"/>
  <c r="AC62" i="5"/>
  <c r="U35" i="4" a="1"/>
  <c r="U35" i="4"/>
  <c r="AD62" i="5"/>
  <c r="AI62" i="5"/>
  <c r="Y35" i="4"/>
  <c r="AJ62" i="5"/>
  <c r="Z35" i="4"/>
  <c r="AL62" i="5"/>
  <c r="F62" i="5"/>
  <c r="H62" i="5"/>
  <c r="I62" i="5"/>
  <c r="L62" i="5"/>
  <c r="N62" i="5"/>
  <c r="O62" i="5"/>
  <c r="Z62" i="5"/>
  <c r="AN62" i="5"/>
  <c r="AG63" i="5"/>
  <c r="AF63" i="5"/>
  <c r="B36" i="4"/>
  <c r="C36" i="4"/>
  <c r="C63" i="5"/>
  <c r="D36" i="4"/>
  <c r="E63" i="5"/>
  <c r="H36" i="4"/>
  <c r="K63" i="5"/>
  <c r="L36" i="4"/>
  <c r="Q63" i="5"/>
  <c r="M36" i="4"/>
  <c r="R63" i="5"/>
  <c r="T63" i="5"/>
  <c r="U63" i="5"/>
  <c r="P36" i="4"/>
  <c r="W63" i="5"/>
  <c r="Q36" i="4"/>
  <c r="X63" i="5"/>
  <c r="AA63" i="5"/>
  <c r="AI36" i="4"/>
  <c r="T36" i="4" a="1"/>
  <c r="T36" i="4"/>
  <c r="AC63" i="5"/>
  <c r="U36" i="4" a="1"/>
  <c r="U36" i="4"/>
  <c r="AD63" i="5"/>
  <c r="Y36" i="4"/>
  <c r="AJ63" i="5"/>
  <c r="Z36" i="4"/>
  <c r="AL63" i="5"/>
  <c r="F63" i="5"/>
  <c r="H63" i="5"/>
  <c r="I63" i="5"/>
  <c r="L63" i="5"/>
  <c r="N63" i="5"/>
  <c r="O63" i="5"/>
  <c r="Z63" i="5"/>
  <c r="AN63" i="5"/>
  <c r="AG64" i="5"/>
  <c r="AF64" i="5"/>
  <c r="B37" i="4"/>
  <c r="C37" i="4"/>
  <c r="C64" i="5"/>
  <c r="D37" i="4"/>
  <c r="E64" i="5"/>
  <c r="H37" i="4"/>
  <c r="K64" i="5"/>
  <c r="L37" i="4"/>
  <c r="Q64" i="5"/>
  <c r="M37" i="4"/>
  <c r="R64" i="5"/>
  <c r="T64" i="5"/>
  <c r="U64" i="5"/>
  <c r="P37" i="4"/>
  <c r="W64" i="5"/>
  <c r="Q37" i="4"/>
  <c r="X64" i="5"/>
  <c r="AA64" i="5"/>
  <c r="AI37" i="4"/>
  <c r="T37" i="4" a="1"/>
  <c r="T37" i="4"/>
  <c r="AC64" i="5"/>
  <c r="U37" i="4" a="1"/>
  <c r="U37" i="4"/>
  <c r="AD64" i="5"/>
  <c r="Y37" i="4"/>
  <c r="AJ64" i="5"/>
  <c r="Z37" i="4"/>
  <c r="AL64" i="5"/>
  <c r="F64" i="5"/>
  <c r="H64" i="5"/>
  <c r="I64" i="5"/>
  <c r="L64" i="5"/>
  <c r="N64" i="5"/>
  <c r="O64" i="5"/>
  <c r="Z64" i="5"/>
  <c r="AN64" i="5"/>
  <c r="AG65" i="5"/>
  <c r="AF65" i="5"/>
  <c r="B38" i="4"/>
  <c r="C38" i="4"/>
  <c r="C65" i="5"/>
  <c r="D38" i="4"/>
  <c r="E65" i="5"/>
  <c r="H38" i="4"/>
  <c r="K65" i="5"/>
  <c r="L38" i="4"/>
  <c r="Q65" i="5"/>
  <c r="M38" i="4"/>
  <c r="R65" i="5"/>
  <c r="T65" i="5"/>
  <c r="U65" i="5"/>
  <c r="P38" i="4"/>
  <c r="W65" i="5"/>
  <c r="Q38" i="4"/>
  <c r="X65" i="5"/>
  <c r="AA65" i="5"/>
  <c r="AI38" i="4"/>
  <c r="T38" i="4" a="1"/>
  <c r="T38" i="4"/>
  <c r="AC65" i="5"/>
  <c r="U38" i="4" a="1"/>
  <c r="U38" i="4"/>
  <c r="AD65" i="5"/>
  <c r="X38" i="4"/>
  <c r="AI65" i="5"/>
  <c r="Y38" i="4"/>
  <c r="AJ65" i="5"/>
  <c r="Z38" i="4"/>
  <c r="AL65" i="5"/>
  <c r="F65" i="5"/>
  <c r="H65" i="5"/>
  <c r="I65" i="5"/>
  <c r="L65" i="5"/>
  <c r="N65" i="5"/>
  <c r="O65" i="5"/>
  <c r="Z65" i="5"/>
  <c r="AN65" i="5"/>
  <c r="AG66" i="5"/>
  <c r="AF66" i="5"/>
  <c r="B39" i="4"/>
  <c r="C39" i="4"/>
  <c r="C66" i="5"/>
  <c r="D39" i="4"/>
  <c r="E66" i="5"/>
  <c r="H39" i="4"/>
  <c r="K66" i="5"/>
  <c r="L39" i="4"/>
  <c r="Q66" i="5"/>
  <c r="M39" i="4"/>
  <c r="R66" i="5"/>
  <c r="T66" i="5"/>
  <c r="U66" i="5"/>
  <c r="P39" i="4"/>
  <c r="W66" i="5"/>
  <c r="Q39" i="4"/>
  <c r="X66" i="5"/>
  <c r="AA66" i="5"/>
  <c r="AI39" i="4"/>
  <c r="T39" i="4" a="1"/>
  <c r="T39" i="4"/>
  <c r="AC66" i="5"/>
  <c r="U39" i="4" a="1"/>
  <c r="U39" i="4"/>
  <c r="AD66" i="5"/>
  <c r="X39" i="4"/>
  <c r="AI66" i="5"/>
  <c r="Y39" i="4"/>
  <c r="AJ66" i="5"/>
  <c r="Z39" i="4"/>
  <c r="AL66" i="5"/>
  <c r="F66" i="5"/>
  <c r="H66" i="5"/>
  <c r="I66" i="5"/>
  <c r="L66" i="5"/>
  <c r="N66" i="5"/>
  <c r="O66" i="5"/>
  <c r="Z66" i="5"/>
  <c r="AN66" i="5"/>
  <c r="AG67" i="5"/>
  <c r="AF67" i="5"/>
  <c r="B40" i="4"/>
  <c r="C40" i="4"/>
  <c r="C67" i="5"/>
  <c r="D40" i="4"/>
  <c r="E67" i="5"/>
  <c r="H40" i="4"/>
  <c r="K67" i="5"/>
  <c r="L40" i="4"/>
  <c r="Q67" i="5"/>
  <c r="M40" i="4"/>
  <c r="R67" i="5"/>
  <c r="T67" i="5"/>
  <c r="U67" i="5"/>
  <c r="P40" i="4"/>
  <c r="W67" i="5"/>
  <c r="Q40" i="4"/>
  <c r="X67" i="5"/>
  <c r="AA67" i="5"/>
  <c r="AI40" i="4"/>
  <c r="T40" i="4" a="1"/>
  <c r="T40" i="4"/>
  <c r="AC67" i="5"/>
  <c r="U40" i="4" a="1"/>
  <c r="U40" i="4"/>
  <c r="AD67" i="5"/>
  <c r="X40" i="4"/>
  <c r="AI67" i="5"/>
  <c r="Y40" i="4"/>
  <c r="AJ67" i="5"/>
  <c r="Z40" i="4"/>
  <c r="AL67" i="5"/>
  <c r="F67" i="5"/>
  <c r="H67" i="5"/>
  <c r="I67" i="5"/>
  <c r="L67" i="5"/>
  <c r="N67" i="5"/>
  <c r="O67" i="5"/>
  <c r="Z67" i="5"/>
  <c r="AN67" i="5"/>
  <c r="AG68" i="5"/>
  <c r="AF68" i="5"/>
  <c r="C2" i="4"/>
  <c r="C68" i="5"/>
  <c r="D2" i="4"/>
  <c r="E68" i="5"/>
  <c r="H2" i="4"/>
  <c r="K68" i="5"/>
  <c r="L2" i="4"/>
  <c r="Q68" i="5"/>
  <c r="M2" i="4"/>
  <c r="R68" i="5"/>
  <c r="T68" i="5"/>
  <c r="U68" i="5"/>
  <c r="P2" i="4"/>
  <c r="W68" i="5"/>
  <c r="Q2" i="4"/>
  <c r="X68" i="5"/>
  <c r="AA68" i="5"/>
  <c r="AI2" i="4"/>
  <c r="T2" i="4" a="1"/>
  <c r="T2" i="4"/>
  <c r="AC68" i="5"/>
  <c r="U2" i="4" a="1"/>
  <c r="U2" i="4"/>
  <c r="AD68" i="5"/>
  <c r="Y2" i="4"/>
  <c r="AJ68" i="5"/>
  <c r="Z2" i="4"/>
  <c r="AL68" i="5"/>
  <c r="F68" i="5"/>
  <c r="H68" i="5"/>
  <c r="I68" i="5"/>
  <c r="L68" i="5"/>
  <c r="N68" i="5"/>
  <c r="O68" i="5"/>
  <c r="Z68" i="5"/>
  <c r="AN68" i="5"/>
  <c r="AG69" i="5"/>
  <c r="AF69" i="5"/>
  <c r="C17" i="2"/>
  <c r="C3" i="4"/>
  <c r="C69" i="5"/>
  <c r="D17" i="2"/>
  <c r="D3" i="4"/>
  <c r="E69" i="5"/>
  <c r="H17" i="2"/>
  <c r="H3" i="4"/>
  <c r="K69" i="5"/>
  <c r="I17" i="2"/>
  <c r="I3" i="4"/>
  <c r="L69" i="5"/>
  <c r="J17" i="2"/>
  <c r="J3" i="4"/>
  <c r="N69" i="5"/>
  <c r="O69" i="5"/>
  <c r="L17" i="2"/>
  <c r="L3" i="4"/>
  <c r="Q69" i="5"/>
  <c r="M17" i="2"/>
  <c r="M3" i="4"/>
  <c r="R69" i="5"/>
  <c r="N17" i="2"/>
  <c r="N3" i="4"/>
  <c r="T69" i="5"/>
  <c r="O17" i="2"/>
  <c r="O3" i="4"/>
  <c r="U69" i="5"/>
  <c r="P17" i="2"/>
  <c r="P3" i="4"/>
  <c r="W69" i="5"/>
  <c r="Q17" i="2"/>
  <c r="Q3" i="4"/>
  <c r="X69" i="5"/>
  <c r="AA69" i="5"/>
  <c r="AI3" i="4"/>
  <c r="T3" i="4" a="1"/>
  <c r="T3" i="4"/>
  <c r="AC69" i="5"/>
  <c r="AD69" i="5"/>
  <c r="X17" i="2"/>
  <c r="X3" i="4"/>
  <c r="AI69" i="5"/>
  <c r="Y17" i="2"/>
  <c r="Y3" i="4"/>
  <c r="AJ69" i="5"/>
  <c r="Z17" i="2"/>
  <c r="Z3" i="4"/>
  <c r="AL69" i="5"/>
  <c r="F69" i="5"/>
  <c r="H69" i="5"/>
  <c r="I69" i="5"/>
  <c r="Z69" i="5"/>
  <c r="AN69" i="5"/>
  <c r="AG70" i="5"/>
  <c r="AF70" i="5"/>
  <c r="C4" i="4"/>
  <c r="C70" i="5"/>
  <c r="D4" i="4"/>
  <c r="E70" i="5"/>
  <c r="H4" i="4"/>
  <c r="K70" i="5"/>
  <c r="L4" i="4"/>
  <c r="Q70" i="5"/>
  <c r="M4" i="4"/>
  <c r="R70" i="5"/>
  <c r="N4" i="4"/>
  <c r="T70" i="5"/>
  <c r="O4" i="4"/>
  <c r="U70" i="5"/>
  <c r="P4" i="4"/>
  <c r="W70" i="5"/>
  <c r="Q4" i="4"/>
  <c r="X70" i="5"/>
  <c r="AA70" i="5"/>
  <c r="AI4" i="4"/>
  <c r="T4" i="4" a="1"/>
  <c r="T4" i="4"/>
  <c r="AC70" i="5"/>
  <c r="U4" i="4" a="1"/>
  <c r="U4" i="4"/>
  <c r="AD70" i="5"/>
  <c r="Y4" i="4"/>
  <c r="AJ70" i="5"/>
  <c r="Z4" i="4"/>
  <c r="AL70" i="5"/>
  <c r="F70" i="5"/>
  <c r="H70" i="5"/>
  <c r="I70" i="5"/>
  <c r="L70" i="5"/>
  <c r="N70" i="5"/>
  <c r="O70" i="5"/>
  <c r="Z70" i="5"/>
  <c r="AN70" i="5"/>
  <c r="AG71" i="5"/>
  <c r="AF71" i="5"/>
  <c r="B5" i="4"/>
  <c r="C5" i="4"/>
  <c r="C71" i="5"/>
  <c r="D5" i="4"/>
  <c r="E71" i="5"/>
  <c r="H5" i="4"/>
  <c r="K71" i="5"/>
  <c r="L5" i="4"/>
  <c r="Q71" i="5"/>
  <c r="M5" i="4"/>
  <c r="R71" i="5"/>
  <c r="T71" i="5"/>
  <c r="U71" i="5"/>
  <c r="P5" i="4"/>
  <c r="W71" i="5"/>
  <c r="Q5" i="4"/>
  <c r="X71" i="5"/>
  <c r="AA71" i="5"/>
  <c r="AI5" i="4"/>
  <c r="T5" i="4" a="1"/>
  <c r="T5" i="4"/>
  <c r="AC71" i="5"/>
  <c r="U5" i="4" a="1"/>
  <c r="U5" i="4"/>
  <c r="AD71" i="5"/>
  <c r="Y5" i="4"/>
  <c r="AJ71" i="5"/>
  <c r="Z5" i="4"/>
  <c r="AL71" i="5"/>
  <c r="F71" i="5"/>
  <c r="H71" i="5"/>
  <c r="I71" i="5"/>
  <c r="L71" i="5"/>
  <c r="N71" i="5"/>
  <c r="O71" i="5"/>
  <c r="Z71" i="5"/>
  <c r="AN71" i="5"/>
  <c r="AG72" i="5"/>
  <c r="AF72" i="5"/>
  <c r="C18" i="2"/>
  <c r="C41" i="4"/>
  <c r="C72" i="5"/>
  <c r="D41" i="4"/>
  <c r="E72" i="5"/>
  <c r="H41" i="4"/>
  <c r="K72" i="5"/>
  <c r="L41" i="4"/>
  <c r="Q72" i="5"/>
  <c r="M41" i="4"/>
  <c r="R72" i="5"/>
  <c r="T72" i="5"/>
  <c r="O18" i="2"/>
  <c r="O41" i="4"/>
  <c r="U72" i="5"/>
  <c r="P18" i="2"/>
  <c r="P41" i="4"/>
  <c r="W72" i="5"/>
  <c r="Q18" i="2"/>
  <c r="Q41" i="4"/>
  <c r="X72" i="5"/>
  <c r="S18" i="2"/>
  <c r="S41" i="4"/>
  <c r="AA72" i="5"/>
  <c r="AI41" i="4"/>
  <c r="T41" i="4" a="1"/>
  <c r="T41" i="4"/>
  <c r="AC72" i="5"/>
  <c r="U41" i="4" a="1"/>
  <c r="U41" i="4"/>
  <c r="AD72" i="5"/>
  <c r="X18" i="2"/>
  <c r="X41" i="4"/>
  <c r="AI72" i="5"/>
  <c r="Y18" i="2"/>
  <c r="Y41" i="4"/>
  <c r="AJ72" i="5"/>
  <c r="Z18" i="2"/>
  <c r="Z41" i="4"/>
  <c r="AL72" i="5"/>
  <c r="F72" i="5"/>
  <c r="H72" i="5"/>
  <c r="I72" i="5"/>
  <c r="L72" i="5"/>
  <c r="N72" i="5"/>
  <c r="O72" i="5"/>
  <c r="Z72" i="5"/>
  <c r="AN72" i="5"/>
  <c r="AG73" i="5"/>
  <c r="AF73" i="5"/>
  <c r="C20" i="2"/>
  <c r="C43" i="4"/>
  <c r="C73" i="5"/>
  <c r="D20" i="2"/>
  <c r="D43" i="4"/>
  <c r="E73" i="5"/>
  <c r="E20" i="2"/>
  <c r="E43" i="4"/>
  <c r="F73" i="5"/>
  <c r="F20" i="2"/>
  <c r="F43" i="4"/>
  <c r="H73" i="5"/>
  <c r="I73" i="5"/>
  <c r="H20" i="2"/>
  <c r="H43" i="4"/>
  <c r="K73" i="5"/>
  <c r="L20" i="2"/>
  <c r="L43" i="4"/>
  <c r="Q73" i="5"/>
  <c r="M20" i="2"/>
  <c r="M43" i="4"/>
  <c r="R73" i="5"/>
  <c r="T73" i="5"/>
  <c r="U73" i="5"/>
  <c r="P20" i="2"/>
  <c r="P43" i="4"/>
  <c r="W73" i="5"/>
  <c r="Q20" i="2"/>
  <c r="Q43" i="4"/>
  <c r="X73" i="5"/>
  <c r="S20" i="2"/>
  <c r="S43" i="4"/>
  <c r="AA73" i="5"/>
  <c r="AI43" i="4"/>
  <c r="T43" i="4" a="1"/>
  <c r="T43" i="4"/>
  <c r="AC73" i="5"/>
  <c r="U43" i="4" a="1"/>
  <c r="U43" i="4"/>
  <c r="AD73" i="5"/>
  <c r="X20" i="2"/>
  <c r="X43" i="4"/>
  <c r="AI73" i="5"/>
  <c r="Y20" i="2"/>
  <c r="Y43" i="4"/>
  <c r="AJ73" i="5"/>
  <c r="Z20" i="2"/>
  <c r="Z43" i="4"/>
  <c r="AL73" i="5"/>
  <c r="L73" i="5"/>
  <c r="N73" i="5"/>
  <c r="O73" i="5"/>
  <c r="Z73" i="5"/>
  <c r="AN73" i="5"/>
  <c r="AG74" i="5"/>
  <c r="AF74" i="5"/>
  <c r="C44" i="4"/>
  <c r="C74" i="5"/>
  <c r="D44" i="4"/>
  <c r="E74" i="5"/>
  <c r="H44" i="4"/>
  <c r="K74" i="5"/>
  <c r="L44" i="4"/>
  <c r="Q74" i="5"/>
  <c r="M44" i="4"/>
  <c r="R74" i="5"/>
  <c r="T74" i="5"/>
  <c r="U74" i="5"/>
  <c r="P44" i="4"/>
  <c r="W74" i="5"/>
  <c r="Q44" i="4"/>
  <c r="X74" i="5"/>
  <c r="S44" i="4"/>
  <c r="AA74" i="5"/>
  <c r="AI44" i="4"/>
  <c r="T44" i="4" a="1"/>
  <c r="T44" i="4"/>
  <c r="AC74" i="5"/>
  <c r="U44" i="4" a="1"/>
  <c r="U44" i="4"/>
  <c r="AD74" i="5"/>
  <c r="X44" i="4"/>
  <c r="AI74" i="5"/>
  <c r="Y44" i="4"/>
  <c r="AJ74" i="5"/>
  <c r="Z44" i="4"/>
  <c r="AL74" i="5"/>
  <c r="F74" i="5"/>
  <c r="H74" i="5"/>
  <c r="I74" i="5"/>
  <c r="L74" i="5"/>
  <c r="N74" i="5"/>
  <c r="O74" i="5"/>
  <c r="Z74" i="5"/>
  <c r="AN74" i="5"/>
  <c r="AG75" i="5"/>
  <c r="AF75" i="5"/>
  <c r="C45" i="4"/>
  <c r="C75" i="5"/>
  <c r="D45" i="4"/>
  <c r="E75" i="5"/>
  <c r="H45" i="4"/>
  <c r="K75" i="5"/>
  <c r="L45" i="4"/>
  <c r="Q75" i="5"/>
  <c r="R75" i="5"/>
  <c r="T75" i="5"/>
  <c r="O45" i="4"/>
  <c r="U75" i="5"/>
  <c r="P45" i="4"/>
  <c r="W75" i="5"/>
  <c r="Q45" i="4"/>
  <c r="X75" i="5"/>
  <c r="S45" i="4"/>
  <c r="AA75" i="5"/>
  <c r="AI45" i="4"/>
  <c r="T45" i="4" a="1"/>
  <c r="T45" i="4"/>
  <c r="AC75" i="5"/>
  <c r="U45" i="4" a="1"/>
  <c r="U45" i="4"/>
  <c r="AD75" i="5"/>
  <c r="X45" i="4"/>
  <c r="AI75" i="5"/>
  <c r="Y45" i="4"/>
  <c r="AJ75" i="5"/>
  <c r="Z45" i="4"/>
  <c r="AL75" i="5"/>
  <c r="F75" i="5"/>
  <c r="H75" i="5"/>
  <c r="I75" i="5"/>
  <c r="L75" i="5"/>
  <c r="N75" i="5"/>
  <c r="O75" i="5"/>
  <c r="Z75" i="5"/>
  <c r="AN75" i="5"/>
  <c r="AG76" i="5"/>
  <c r="AF76" i="5"/>
  <c r="C25" i="2"/>
  <c r="B46" i="4"/>
  <c r="C46" i="4"/>
  <c r="C76" i="5"/>
  <c r="D25" i="2"/>
  <c r="D46" i="4"/>
  <c r="E76" i="5"/>
  <c r="H25" i="2"/>
  <c r="H46" i="4"/>
  <c r="K76" i="5"/>
  <c r="L25" i="2"/>
  <c r="L46" i="4"/>
  <c r="Q76" i="5"/>
  <c r="M25" i="2"/>
  <c r="M46" i="4"/>
  <c r="R76" i="5"/>
  <c r="T76" i="5"/>
  <c r="U76" i="5"/>
  <c r="P25" i="2"/>
  <c r="P46" i="4"/>
  <c r="W76" i="5"/>
  <c r="Q25" i="2"/>
  <c r="Q46" i="4"/>
  <c r="X76" i="5"/>
  <c r="S25" i="2"/>
  <c r="S46" i="4"/>
  <c r="AA76" i="5"/>
  <c r="AI46" i="4"/>
  <c r="T46" i="4" a="1"/>
  <c r="T46" i="4"/>
  <c r="AC76" i="5"/>
  <c r="U46" i="4" a="1"/>
  <c r="U46" i="4"/>
  <c r="AD76" i="5"/>
  <c r="X25" i="2"/>
  <c r="X46" i="4"/>
  <c r="AI76" i="5"/>
  <c r="Y25" i="2"/>
  <c r="Y46" i="4"/>
  <c r="AJ76" i="5"/>
  <c r="Z25" i="2"/>
  <c r="Z46" i="4"/>
  <c r="AL76" i="5"/>
  <c r="F76" i="5"/>
  <c r="H76" i="5"/>
  <c r="I76" i="5"/>
  <c r="L76" i="5"/>
  <c r="N76" i="5"/>
  <c r="O76" i="5"/>
  <c r="Z76" i="5"/>
  <c r="AN76" i="5"/>
  <c r="AG77" i="5"/>
  <c r="AF77" i="5"/>
  <c r="B47" i="4"/>
  <c r="C32" i="2"/>
  <c r="C47" i="4"/>
  <c r="C77" i="5"/>
  <c r="D32" i="2"/>
  <c r="D47" i="4"/>
  <c r="E77" i="5"/>
  <c r="E32" i="2"/>
  <c r="E47" i="4"/>
  <c r="F77" i="5"/>
  <c r="F32" i="2"/>
  <c r="F47" i="4"/>
  <c r="H77" i="5"/>
  <c r="I77" i="5"/>
  <c r="H32" i="2"/>
  <c r="H47" i="4"/>
  <c r="K77" i="5"/>
  <c r="L32" i="2"/>
  <c r="L47" i="4"/>
  <c r="Q77" i="5"/>
  <c r="M32" i="2"/>
  <c r="M47" i="4"/>
  <c r="R77" i="5"/>
  <c r="T77" i="5"/>
  <c r="U77" i="5"/>
  <c r="P32" i="2"/>
  <c r="P47" i="4"/>
  <c r="W77" i="5"/>
  <c r="Q32" i="2"/>
  <c r="Q47" i="4"/>
  <c r="X77" i="5"/>
  <c r="S32" i="2"/>
  <c r="S47" i="4"/>
  <c r="AA77" i="5"/>
  <c r="AI47" i="4"/>
  <c r="T47" i="4" a="1"/>
  <c r="T47" i="4"/>
  <c r="AC77" i="5"/>
  <c r="AD77" i="5"/>
  <c r="X32" i="2"/>
  <c r="X47" i="4"/>
  <c r="AI77" i="5"/>
  <c r="Y32" i="2"/>
  <c r="Y47" i="4"/>
  <c r="AJ77" i="5"/>
  <c r="Z32" i="2"/>
  <c r="Z47" i="4"/>
  <c r="AL77" i="5"/>
  <c r="L77" i="5"/>
  <c r="N77" i="5"/>
  <c r="O77" i="5"/>
  <c r="Z77" i="5"/>
  <c r="AN77" i="5"/>
  <c r="AG78" i="5"/>
  <c r="AF78" i="5"/>
  <c r="C48" i="4"/>
  <c r="C78" i="5"/>
  <c r="T78" i="5"/>
  <c r="U78" i="5"/>
  <c r="P48" i="4"/>
  <c r="W78" i="5"/>
  <c r="Q48" i="4"/>
  <c r="X78" i="5"/>
  <c r="S48" i="4"/>
  <c r="AA78" i="5"/>
  <c r="X48" i="4"/>
  <c r="AI78" i="5"/>
  <c r="Y48" i="4"/>
  <c r="AJ78" i="5"/>
  <c r="Z48" i="4"/>
  <c r="AL78" i="5"/>
  <c r="Z78" i="5"/>
  <c r="AN78" i="5"/>
  <c r="AG79" i="5"/>
  <c r="AF79" i="5"/>
  <c r="B49" i="4"/>
  <c r="C49" i="4"/>
  <c r="C79" i="5"/>
  <c r="D49" i="4"/>
  <c r="E79" i="5"/>
  <c r="E49" i="4"/>
  <c r="F79" i="5"/>
  <c r="F49" i="4"/>
  <c r="H79" i="5"/>
  <c r="I79" i="5"/>
  <c r="H49" i="4"/>
  <c r="K79" i="5"/>
  <c r="L49" i="4"/>
  <c r="Q79" i="5"/>
  <c r="M49" i="4"/>
  <c r="R79" i="5"/>
  <c r="T79" i="5"/>
  <c r="U79" i="5"/>
  <c r="P49" i="4"/>
  <c r="W79" i="5"/>
  <c r="Q49" i="4"/>
  <c r="X79" i="5"/>
  <c r="S49" i="4"/>
  <c r="AA79" i="5"/>
  <c r="AI49" i="4"/>
  <c r="T49" i="4" a="1"/>
  <c r="T49" i="4"/>
  <c r="AC79" i="5"/>
  <c r="AD79" i="5"/>
  <c r="X49" i="4"/>
  <c r="AI79" i="5"/>
  <c r="Y49" i="4"/>
  <c r="AJ79" i="5"/>
  <c r="Z49" i="4"/>
  <c r="AL79" i="5"/>
  <c r="L79" i="5"/>
  <c r="N79" i="5"/>
  <c r="O79" i="5"/>
  <c r="Z79" i="5"/>
  <c r="AN79" i="5"/>
  <c r="AG80" i="5"/>
  <c r="AF80" i="5"/>
  <c r="B50" i="4"/>
  <c r="C50" i="4"/>
  <c r="C80" i="5"/>
  <c r="D50" i="4"/>
  <c r="E80" i="5"/>
  <c r="H50" i="4"/>
  <c r="K80" i="5"/>
  <c r="L50" i="4"/>
  <c r="Q80" i="5"/>
  <c r="M50" i="4"/>
  <c r="R80" i="5"/>
  <c r="T80" i="5"/>
  <c r="O50" i="4"/>
  <c r="U80" i="5"/>
  <c r="P50" i="4"/>
  <c r="W80" i="5"/>
  <c r="Q50" i="4"/>
  <c r="X80" i="5"/>
  <c r="S50" i="4"/>
  <c r="AA80" i="5"/>
  <c r="AI50" i="4"/>
  <c r="T50" i="4" a="1"/>
  <c r="T50" i="4"/>
  <c r="AC80" i="5"/>
  <c r="U50" i="4" a="1"/>
  <c r="U50" i="4"/>
  <c r="AD80" i="5"/>
  <c r="X50" i="4"/>
  <c r="AI80" i="5"/>
  <c r="Y50" i="4"/>
  <c r="AJ80" i="5"/>
  <c r="Z50" i="4"/>
  <c r="AL80" i="5"/>
  <c r="F80" i="5"/>
  <c r="H80" i="5"/>
  <c r="I80" i="5"/>
  <c r="L80" i="5"/>
  <c r="N80" i="5"/>
  <c r="O80" i="5"/>
  <c r="Z80" i="5"/>
  <c r="AN80" i="5"/>
  <c r="AG81" i="5"/>
  <c r="AF81" i="5"/>
  <c r="C51" i="4"/>
  <c r="C81" i="5"/>
  <c r="D51" i="4"/>
  <c r="E81" i="5"/>
  <c r="K81" i="5"/>
  <c r="L51" i="4"/>
  <c r="Q81" i="5"/>
  <c r="R81" i="5"/>
  <c r="T81" i="5"/>
  <c r="O51" i="4"/>
  <c r="U81" i="5"/>
  <c r="P51" i="4"/>
  <c r="W81" i="5"/>
  <c r="Q51" i="4"/>
  <c r="X81" i="5"/>
  <c r="S51" i="4"/>
  <c r="AA81" i="5"/>
  <c r="AI51" i="4"/>
  <c r="T51" i="4" a="1"/>
  <c r="T51" i="4"/>
  <c r="AC81" i="5"/>
  <c r="U51" i="4" a="1"/>
  <c r="U51" i="4"/>
  <c r="AD81" i="5"/>
  <c r="X51" i="4"/>
  <c r="AI81" i="5"/>
  <c r="Y51" i="4"/>
  <c r="AJ81" i="5"/>
  <c r="Z51" i="4"/>
  <c r="AL81" i="5"/>
  <c r="F81" i="5"/>
  <c r="H81" i="5"/>
  <c r="I81" i="5"/>
  <c r="L81" i="5"/>
  <c r="N81" i="5"/>
  <c r="O81" i="5"/>
  <c r="Z81" i="5"/>
  <c r="AN81" i="5"/>
  <c r="AG82" i="5"/>
  <c r="AF82" i="5"/>
  <c r="C53" i="4"/>
  <c r="C82" i="5"/>
  <c r="D53" i="4"/>
  <c r="E82" i="5"/>
  <c r="K82" i="5"/>
  <c r="L53" i="4"/>
  <c r="Q82" i="5"/>
  <c r="M53" i="4"/>
  <c r="R82" i="5"/>
  <c r="T82" i="5"/>
  <c r="O53" i="4"/>
  <c r="U82" i="5"/>
  <c r="P53" i="4"/>
  <c r="W82" i="5"/>
  <c r="Q53" i="4"/>
  <c r="X82" i="5"/>
  <c r="S53" i="4"/>
  <c r="AA82" i="5"/>
  <c r="AI53" i="4"/>
  <c r="T53" i="4" a="1"/>
  <c r="T53" i="4"/>
  <c r="AC82" i="5"/>
  <c r="U53" i="4" a="1"/>
  <c r="U53" i="4"/>
  <c r="AD82" i="5"/>
  <c r="X53" i="4"/>
  <c r="AI82" i="5"/>
  <c r="Y53" i="4"/>
  <c r="AJ82" i="5"/>
  <c r="Z53" i="4"/>
  <c r="AL82" i="5"/>
  <c r="F82" i="5"/>
  <c r="H82" i="5"/>
  <c r="I82" i="5"/>
  <c r="L82" i="5"/>
  <c r="N82" i="5"/>
  <c r="O82" i="5"/>
  <c r="Z82" i="5"/>
  <c r="AN82" i="5"/>
  <c r="AG83" i="5"/>
  <c r="AF83" i="5"/>
  <c r="C54" i="4"/>
  <c r="C83" i="5"/>
  <c r="D54" i="4"/>
  <c r="E83" i="5"/>
  <c r="K83" i="5"/>
  <c r="L54" i="4"/>
  <c r="Q83" i="5"/>
  <c r="M54" i="4"/>
  <c r="R83" i="5"/>
  <c r="T83" i="5"/>
  <c r="O54" i="4"/>
  <c r="U83" i="5"/>
  <c r="P54" i="4"/>
  <c r="W83" i="5"/>
  <c r="Q54" i="4"/>
  <c r="X83" i="5"/>
  <c r="S54" i="4"/>
  <c r="AA83" i="5"/>
  <c r="AI54" i="4"/>
  <c r="T54" i="4" a="1"/>
  <c r="T54" i="4"/>
  <c r="AC83" i="5"/>
  <c r="U54" i="4" a="1"/>
  <c r="U54" i="4"/>
  <c r="AD83" i="5"/>
  <c r="X54" i="4"/>
  <c r="AI83" i="5"/>
  <c r="Y54" i="4"/>
  <c r="AJ83" i="5"/>
  <c r="Z54" i="4"/>
  <c r="AL83" i="5"/>
  <c r="F83" i="5"/>
  <c r="H83" i="5"/>
  <c r="I83" i="5"/>
  <c r="L83" i="5"/>
  <c r="N83" i="5"/>
  <c r="O83" i="5"/>
  <c r="Z83" i="5"/>
  <c r="AN83" i="5"/>
  <c r="AG84" i="5"/>
  <c r="AF84" i="5"/>
  <c r="C55" i="4"/>
  <c r="C84" i="5"/>
  <c r="D55" i="4"/>
  <c r="E84" i="5"/>
  <c r="K84" i="5"/>
  <c r="L55" i="4"/>
  <c r="Q84" i="5"/>
  <c r="M55" i="4"/>
  <c r="R84" i="5"/>
  <c r="T84" i="5"/>
  <c r="U84" i="5"/>
  <c r="P55" i="4"/>
  <c r="W84" i="5"/>
  <c r="Q55" i="4"/>
  <c r="X84" i="5"/>
  <c r="S55" i="4"/>
  <c r="AA84" i="5"/>
  <c r="AI55" i="4"/>
  <c r="T55" i="4" a="1"/>
  <c r="T55" i="4"/>
  <c r="AC84" i="5"/>
  <c r="U55" i="4" a="1"/>
  <c r="U55" i="4"/>
  <c r="AD84" i="5"/>
  <c r="X55" i="4"/>
  <c r="AI84" i="5"/>
  <c r="Y55" i="4"/>
  <c r="AJ84" i="5"/>
  <c r="Z55" i="4"/>
  <c r="AL84" i="5"/>
  <c r="F84" i="5"/>
  <c r="H84" i="5"/>
  <c r="I84" i="5"/>
  <c r="L84" i="5"/>
  <c r="N84" i="5"/>
  <c r="O84" i="5"/>
  <c r="Z84" i="5"/>
  <c r="AN84" i="5"/>
  <c r="AG85" i="5"/>
  <c r="AF85" i="5"/>
  <c r="C56" i="4"/>
  <c r="C85" i="5"/>
  <c r="D56" i="4"/>
  <c r="E85" i="5"/>
  <c r="K85" i="5"/>
  <c r="L56" i="4"/>
  <c r="Q85" i="5"/>
  <c r="M56" i="4"/>
  <c r="R85" i="5"/>
  <c r="T85" i="5"/>
  <c r="O56" i="4"/>
  <c r="U85" i="5"/>
  <c r="P56" i="4"/>
  <c r="W85" i="5"/>
  <c r="Q56" i="4"/>
  <c r="X85" i="5"/>
  <c r="S56" i="4"/>
  <c r="AA85" i="5"/>
  <c r="X56" i="4"/>
  <c r="AI85" i="5"/>
  <c r="Y56" i="4"/>
  <c r="AJ85" i="5"/>
  <c r="Z56" i="4"/>
  <c r="AL85" i="5"/>
  <c r="F85" i="5"/>
  <c r="H85" i="5"/>
  <c r="I85" i="5"/>
  <c r="L85" i="5"/>
  <c r="N85" i="5"/>
  <c r="O85" i="5"/>
  <c r="Z85" i="5"/>
  <c r="AN85" i="5"/>
  <c r="AG86" i="5"/>
  <c r="AF86" i="5"/>
  <c r="B59" i="4"/>
  <c r="C59" i="4"/>
  <c r="C86" i="5"/>
  <c r="D59" i="4"/>
  <c r="E86" i="5"/>
  <c r="K86" i="5"/>
  <c r="L59" i="4"/>
  <c r="Q86" i="5"/>
  <c r="M59" i="4"/>
  <c r="R86" i="5"/>
  <c r="T86" i="5"/>
  <c r="U86" i="5"/>
  <c r="P59" i="4"/>
  <c r="W86" i="5"/>
  <c r="Q59" i="4"/>
  <c r="X86" i="5"/>
  <c r="S59" i="4"/>
  <c r="AA86" i="5"/>
  <c r="AI59" i="4"/>
  <c r="T59" i="4" a="1"/>
  <c r="T59" i="4"/>
  <c r="AC86" i="5"/>
  <c r="U59" i="4" a="1"/>
  <c r="U59" i="4"/>
  <c r="AD86" i="5"/>
  <c r="X59" i="4"/>
  <c r="AI86" i="5"/>
  <c r="Y59" i="4"/>
  <c r="AJ86" i="5"/>
  <c r="Z59" i="4"/>
  <c r="AL86" i="5"/>
  <c r="F86" i="5"/>
  <c r="H86" i="5"/>
  <c r="I86" i="5"/>
  <c r="L86" i="5"/>
  <c r="N86" i="5"/>
  <c r="O86" i="5"/>
  <c r="Z86" i="5"/>
  <c r="AN86" i="5"/>
  <c r="AG87" i="5"/>
  <c r="AF87" i="5"/>
  <c r="B62" i="4"/>
  <c r="C62" i="4"/>
  <c r="C87" i="5"/>
  <c r="D62" i="4"/>
  <c r="E87" i="5"/>
  <c r="E62" i="4"/>
  <c r="F87" i="5"/>
  <c r="F62" i="4"/>
  <c r="H87" i="5"/>
  <c r="I87" i="5"/>
  <c r="H41" i="2"/>
  <c r="H62" i="4"/>
  <c r="K87" i="5"/>
  <c r="L62" i="4"/>
  <c r="Q87" i="5"/>
  <c r="M62" i="4"/>
  <c r="R87" i="5"/>
  <c r="T87" i="5"/>
  <c r="O62" i="4"/>
  <c r="U87" i="5"/>
  <c r="P62" i="4"/>
  <c r="W87" i="5"/>
  <c r="Q62" i="4"/>
  <c r="X87" i="5"/>
  <c r="S62" i="4"/>
  <c r="AA87" i="5"/>
  <c r="AI62" i="4"/>
  <c r="T62" i="4" a="1"/>
  <c r="T62" i="4"/>
  <c r="AC87" i="5"/>
  <c r="U62" i="4" a="1"/>
  <c r="U62" i="4"/>
  <c r="AD87" i="5"/>
  <c r="X62" i="4"/>
  <c r="AI87" i="5"/>
  <c r="Y62" i="4"/>
  <c r="AJ87" i="5"/>
  <c r="Z62" i="4"/>
  <c r="AL87" i="5"/>
  <c r="L87" i="5"/>
  <c r="N87" i="5"/>
  <c r="O87" i="5"/>
  <c r="Z87" i="5"/>
  <c r="AN87" i="5"/>
  <c r="AG88" i="5"/>
  <c r="AF88" i="5"/>
  <c r="B63" i="4"/>
  <c r="C63" i="4"/>
  <c r="C88" i="5"/>
  <c r="D63" i="4"/>
  <c r="E88" i="5"/>
  <c r="E63" i="4"/>
  <c r="F88" i="5"/>
  <c r="F63" i="4"/>
  <c r="H88" i="5"/>
  <c r="I88" i="5"/>
  <c r="H63" i="4"/>
  <c r="K88" i="5"/>
  <c r="L63" i="4"/>
  <c r="Q88" i="5"/>
  <c r="M63" i="4"/>
  <c r="R88" i="5"/>
  <c r="T88" i="5"/>
  <c r="O63" i="4"/>
  <c r="U88" i="5"/>
  <c r="P63" i="4"/>
  <c r="W88" i="5"/>
  <c r="Q63" i="4"/>
  <c r="X88" i="5"/>
  <c r="S63" i="4"/>
  <c r="AA88" i="5"/>
  <c r="AI63" i="4"/>
  <c r="T63" i="4" a="1"/>
  <c r="T63" i="4"/>
  <c r="AC88" i="5"/>
  <c r="U63" i="4" a="1"/>
  <c r="U63" i="4"/>
  <c r="AD88" i="5"/>
  <c r="X63" i="4"/>
  <c r="AI88" i="5"/>
  <c r="Y63" i="4"/>
  <c r="AJ88" i="5"/>
  <c r="Z63" i="4"/>
  <c r="AL88" i="5"/>
  <c r="L88" i="5"/>
  <c r="N88" i="5"/>
  <c r="O88" i="5"/>
  <c r="Z88" i="5"/>
  <c r="AN88" i="5"/>
  <c r="AG89" i="5"/>
  <c r="AF89" i="5"/>
  <c r="B64" i="4"/>
  <c r="C64" i="4"/>
  <c r="C89" i="5"/>
  <c r="D64" i="4"/>
  <c r="E89" i="5"/>
  <c r="E64" i="4"/>
  <c r="F89" i="5"/>
  <c r="F64" i="4"/>
  <c r="H89" i="5"/>
  <c r="I89" i="5"/>
  <c r="H64" i="4"/>
  <c r="K89" i="5"/>
  <c r="L64" i="4"/>
  <c r="Q89" i="5"/>
  <c r="M64" i="4"/>
  <c r="R89" i="5"/>
  <c r="T89" i="5"/>
  <c r="U89" i="5"/>
  <c r="P64" i="4"/>
  <c r="W89" i="5"/>
  <c r="Q64" i="4"/>
  <c r="X89" i="5"/>
  <c r="S64" i="4"/>
  <c r="AA89" i="5"/>
  <c r="AI64" i="4"/>
  <c r="T64" i="4" a="1"/>
  <c r="T64" i="4"/>
  <c r="AC89" i="5"/>
  <c r="U64" i="4" a="1"/>
  <c r="U64" i="4"/>
  <c r="AD89" i="5"/>
  <c r="X64" i="4"/>
  <c r="AI89" i="5"/>
  <c r="Y64" i="4"/>
  <c r="AJ89" i="5"/>
  <c r="Z64" i="4"/>
  <c r="AL89" i="5"/>
  <c r="L89" i="5"/>
  <c r="N89" i="5"/>
  <c r="O89" i="5"/>
  <c r="Z89" i="5"/>
  <c r="AN89" i="5"/>
  <c r="S21" i="2"/>
  <c r="B65" i="4"/>
  <c r="S65" i="4"/>
  <c r="AA90" i="5"/>
  <c r="P21" i="2"/>
  <c r="P65" i="4"/>
  <c r="W90" i="5"/>
  <c r="K21" i="2"/>
  <c r="K65" i="4"/>
  <c r="O90" i="5"/>
  <c r="H21" i="2"/>
  <c r="H65" i="4"/>
  <c r="K90" i="5"/>
  <c r="W21" i="2"/>
  <c r="W65" i="4"/>
  <c r="AG90" i="5"/>
  <c r="V65" i="4"/>
  <c r="AF90" i="5"/>
  <c r="C21" i="2"/>
  <c r="C65" i="4"/>
  <c r="C90" i="5"/>
  <c r="D21" i="2"/>
  <c r="D65" i="4"/>
  <c r="E90" i="5"/>
  <c r="G21" i="2"/>
  <c r="G65" i="4"/>
  <c r="I90" i="5"/>
  <c r="I21" i="2"/>
  <c r="I65" i="4"/>
  <c r="L90" i="5"/>
  <c r="J21" i="2"/>
  <c r="J65" i="4"/>
  <c r="N90" i="5"/>
  <c r="L21" i="2"/>
  <c r="L65" i="4"/>
  <c r="Q90" i="5"/>
  <c r="O21" i="2"/>
  <c r="O65" i="4"/>
  <c r="U90" i="5"/>
  <c r="Q65" i="4"/>
  <c r="X90" i="5"/>
  <c r="R21" i="2"/>
  <c r="R65" i="4"/>
  <c r="Z90" i="5"/>
  <c r="AI65" i="4"/>
  <c r="T65" i="4" a="1"/>
  <c r="T65" i="4"/>
  <c r="AC90" i="5"/>
  <c r="U65" i="4" a="1"/>
  <c r="U65" i="4"/>
  <c r="AD90" i="5"/>
  <c r="X21" i="2"/>
  <c r="X65" i="4"/>
  <c r="AI90" i="5"/>
  <c r="Y21" i="2"/>
  <c r="Y65" i="4"/>
  <c r="AJ90" i="5"/>
  <c r="Z21" i="2"/>
  <c r="Z65" i="4"/>
  <c r="AL90" i="5"/>
  <c r="R90" i="5"/>
  <c r="T90" i="5"/>
  <c r="F90" i="5"/>
  <c r="H90" i="5"/>
  <c r="AN90" i="5"/>
  <c r="S66" i="4"/>
  <c r="AA91" i="5"/>
  <c r="P66" i="4"/>
  <c r="W91" i="5"/>
  <c r="O91" i="5"/>
  <c r="K91" i="5"/>
  <c r="AG91" i="5"/>
  <c r="AF91" i="5"/>
  <c r="C66" i="4"/>
  <c r="C91" i="5"/>
  <c r="D66" i="4"/>
  <c r="E91" i="5"/>
  <c r="L91" i="5"/>
  <c r="N91" i="5"/>
  <c r="L66" i="4"/>
  <c r="Q91" i="5"/>
  <c r="O66" i="4"/>
  <c r="U91" i="5"/>
  <c r="Q66" i="4"/>
  <c r="X91" i="5"/>
  <c r="R66" i="4"/>
  <c r="Z91" i="5"/>
  <c r="AI66" i="4"/>
  <c r="T66" i="4" a="1"/>
  <c r="T66" i="4"/>
  <c r="AC91" i="5"/>
  <c r="U66" i="4" a="1"/>
  <c r="U66" i="4"/>
  <c r="AD91" i="5"/>
  <c r="X66" i="4"/>
  <c r="AI91" i="5"/>
  <c r="Y66" i="4"/>
  <c r="AJ91" i="5"/>
  <c r="Z66" i="4"/>
  <c r="AL91" i="5"/>
  <c r="R91" i="5"/>
  <c r="T91" i="5"/>
  <c r="F91" i="5"/>
  <c r="H91" i="5"/>
  <c r="I91" i="5"/>
  <c r="AN91" i="5"/>
  <c r="O92" i="5"/>
  <c r="K92" i="5"/>
  <c r="AG92" i="5"/>
  <c r="AF92" i="5"/>
  <c r="B67" i="4"/>
  <c r="C67" i="4"/>
  <c r="C92" i="5"/>
  <c r="D67" i="4"/>
  <c r="E92" i="5"/>
  <c r="I67" i="4"/>
  <c r="L92" i="5"/>
  <c r="J67" i="4"/>
  <c r="N92" i="5"/>
  <c r="L67" i="4"/>
  <c r="Q92" i="5"/>
  <c r="M67" i="4"/>
  <c r="R92" i="5"/>
  <c r="T92" i="5"/>
  <c r="U92" i="5"/>
  <c r="P67" i="4"/>
  <c r="W92" i="5"/>
  <c r="Q67" i="4"/>
  <c r="X92" i="5"/>
  <c r="S67" i="4"/>
  <c r="AA92" i="5"/>
  <c r="AI67" i="4"/>
  <c r="T67" i="4" a="1"/>
  <c r="T67" i="4"/>
  <c r="AC92" i="5"/>
  <c r="U67" i="4" a="1"/>
  <c r="U67" i="4"/>
  <c r="AD92" i="5"/>
  <c r="X67" i="4"/>
  <c r="AI92" i="5"/>
  <c r="Y67" i="4"/>
  <c r="AJ92" i="5"/>
  <c r="Z67" i="4"/>
  <c r="AL92" i="5"/>
  <c r="F92" i="5"/>
  <c r="H92" i="5"/>
  <c r="I92" i="5"/>
  <c r="Z92" i="5"/>
  <c r="AN92" i="5"/>
  <c r="AG93" i="5"/>
  <c r="AF93" i="5"/>
  <c r="C22" i="2"/>
  <c r="B70" i="4"/>
  <c r="C70" i="4"/>
  <c r="C93" i="5"/>
  <c r="D22" i="2"/>
  <c r="D70" i="4"/>
  <c r="E93" i="5"/>
  <c r="K93" i="5"/>
  <c r="L22" i="2"/>
  <c r="L70" i="4"/>
  <c r="Q93" i="5"/>
  <c r="M22" i="2"/>
  <c r="M70" i="4"/>
  <c r="R93" i="5"/>
  <c r="T93" i="5"/>
  <c r="U93" i="5"/>
  <c r="P22" i="2"/>
  <c r="P70" i="4"/>
  <c r="W93" i="5"/>
  <c r="Q22" i="2"/>
  <c r="Q70" i="4"/>
  <c r="X93" i="5"/>
  <c r="S22" i="2"/>
  <c r="S70" i="4"/>
  <c r="AA93" i="5"/>
  <c r="AI70" i="4"/>
  <c r="T70" i="4" a="1"/>
  <c r="T70" i="4"/>
  <c r="AC93" i="5"/>
  <c r="U70" i="4" a="1"/>
  <c r="U70" i="4"/>
  <c r="AD93" i="5"/>
  <c r="X22" i="2"/>
  <c r="X70" i="4"/>
  <c r="AI93" i="5"/>
  <c r="Y22" i="2"/>
  <c r="Y70" i="4"/>
  <c r="AJ93" i="5"/>
  <c r="Z22" i="2"/>
  <c r="Z70" i="4"/>
  <c r="AL93" i="5"/>
  <c r="F93" i="5"/>
  <c r="H93" i="5"/>
  <c r="I93" i="5"/>
  <c r="L93" i="5"/>
  <c r="N93" i="5"/>
  <c r="O93" i="5"/>
  <c r="Z93" i="5"/>
  <c r="AN93" i="5"/>
  <c r="AG94" i="5"/>
  <c r="AF94" i="5"/>
  <c r="B71" i="4"/>
  <c r="C71" i="4"/>
  <c r="C94" i="5"/>
  <c r="D71" i="4"/>
  <c r="E94" i="5"/>
  <c r="K94" i="5"/>
  <c r="L71" i="4"/>
  <c r="Q94" i="5"/>
  <c r="M71" i="4"/>
  <c r="R94" i="5"/>
  <c r="N71" i="4"/>
  <c r="T94" i="5"/>
  <c r="O22" i="2"/>
  <c r="O71" i="4"/>
  <c r="U94" i="5"/>
  <c r="P71" i="4"/>
  <c r="W94" i="5"/>
  <c r="Q71" i="4"/>
  <c r="X94" i="5"/>
  <c r="S71" i="4"/>
  <c r="AA94" i="5"/>
  <c r="X71" i="4"/>
  <c r="AI94" i="5"/>
  <c r="Y71" i="4"/>
  <c r="AJ94" i="5"/>
  <c r="Z71" i="4"/>
  <c r="AL94" i="5"/>
  <c r="F94" i="5"/>
  <c r="H94" i="5"/>
  <c r="I94" i="5"/>
  <c r="L94" i="5"/>
  <c r="N94" i="5"/>
  <c r="O94" i="5"/>
  <c r="Z94" i="5"/>
  <c r="AN94" i="5"/>
  <c r="AG95" i="5"/>
  <c r="AF95" i="5"/>
  <c r="B72" i="4"/>
  <c r="C72" i="4"/>
  <c r="C95" i="5"/>
  <c r="D72" i="4"/>
  <c r="E95" i="5"/>
  <c r="K95" i="5"/>
  <c r="L72" i="4"/>
  <c r="Q95" i="5"/>
  <c r="M72" i="4"/>
  <c r="R95" i="5"/>
  <c r="T95" i="5"/>
  <c r="U95" i="5"/>
  <c r="P72" i="4"/>
  <c r="W95" i="5"/>
  <c r="Q72" i="4"/>
  <c r="X95" i="5"/>
  <c r="S72" i="4"/>
  <c r="AA95" i="5"/>
  <c r="AI72" i="4"/>
  <c r="T72" i="4" a="1"/>
  <c r="T72" i="4"/>
  <c r="AC95" i="5"/>
  <c r="U72" i="4" a="1"/>
  <c r="U72" i="4"/>
  <c r="AD95" i="5"/>
  <c r="X72" i="4"/>
  <c r="AI95" i="5"/>
  <c r="Y72" i="4"/>
  <c r="AJ95" i="5"/>
  <c r="Z72" i="4"/>
  <c r="AL95" i="5"/>
  <c r="F95" i="5"/>
  <c r="H95" i="5"/>
  <c r="I95" i="5"/>
  <c r="L95" i="5"/>
  <c r="N95" i="5"/>
  <c r="O95" i="5"/>
  <c r="Z95" i="5"/>
  <c r="AN95" i="5"/>
  <c r="AG96" i="5"/>
  <c r="AF96" i="5"/>
  <c r="B74" i="4"/>
  <c r="C74" i="4"/>
  <c r="C96" i="5"/>
  <c r="D74" i="4"/>
  <c r="E96" i="5"/>
  <c r="K96" i="5"/>
  <c r="L74" i="4"/>
  <c r="Q96" i="5"/>
  <c r="M74" i="4"/>
  <c r="R96" i="5"/>
  <c r="T96" i="5"/>
  <c r="U96" i="5"/>
  <c r="P74" i="4"/>
  <c r="W96" i="5"/>
  <c r="Q74" i="4"/>
  <c r="X96" i="5"/>
  <c r="AA96" i="5"/>
  <c r="AI74" i="4"/>
  <c r="T74" i="4" a="1"/>
  <c r="T74" i="4"/>
  <c r="AC96" i="5"/>
  <c r="U74" i="4" a="1"/>
  <c r="U74" i="4"/>
  <c r="AD96" i="5"/>
  <c r="Y74" i="4"/>
  <c r="AJ96" i="5"/>
  <c r="Z74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78" i="4"/>
  <c r="C78" i="4"/>
  <c r="C98" i="5"/>
  <c r="D78" i="4"/>
  <c r="E98" i="5"/>
  <c r="K98" i="5"/>
  <c r="L78" i="4"/>
  <c r="Q98" i="5"/>
  <c r="M78" i="4"/>
  <c r="R98" i="5"/>
  <c r="T98" i="5"/>
  <c r="U98" i="5"/>
  <c r="P78" i="4"/>
  <c r="W98" i="5"/>
  <c r="Q78" i="4"/>
  <c r="X98" i="5"/>
  <c r="AA98" i="5"/>
  <c r="AI78" i="4"/>
  <c r="T78" i="4" a="1"/>
  <c r="T78" i="4"/>
  <c r="AC98" i="5"/>
  <c r="U78" i="4" a="1"/>
  <c r="U78" i="4"/>
  <c r="AD98" i="5"/>
  <c r="Y78" i="4"/>
  <c r="AJ98" i="5"/>
  <c r="Z78" i="4"/>
  <c r="AL98" i="5"/>
  <c r="F98" i="5"/>
  <c r="H98" i="5"/>
  <c r="I98" i="5"/>
  <c r="L98" i="5"/>
  <c r="N98" i="5"/>
  <c r="O98" i="5"/>
  <c r="Z98" i="5"/>
  <c r="AN98" i="5"/>
  <c r="AG99" i="5"/>
  <c r="AF99" i="5"/>
  <c r="B79" i="4"/>
  <c r="C79" i="4"/>
  <c r="C99" i="5"/>
  <c r="D79" i="4"/>
  <c r="E99" i="5"/>
  <c r="K99" i="5"/>
  <c r="L79" i="4"/>
  <c r="Q99" i="5"/>
  <c r="M79" i="4"/>
  <c r="R99" i="5"/>
  <c r="T99" i="5"/>
  <c r="O25" i="2"/>
  <c r="O79" i="4"/>
  <c r="U99" i="5"/>
  <c r="P79" i="4"/>
  <c r="W99" i="5"/>
  <c r="Q79" i="4"/>
  <c r="X99" i="5"/>
  <c r="S79" i="4"/>
  <c r="AA99" i="5"/>
  <c r="AI79" i="4"/>
  <c r="T79" i="4" a="1"/>
  <c r="T79" i="4"/>
  <c r="AC99" i="5"/>
  <c r="U79" i="4" a="1"/>
  <c r="U79" i="4"/>
  <c r="AD99" i="5"/>
  <c r="X79" i="4"/>
  <c r="AI99" i="5"/>
  <c r="Y79" i="4"/>
  <c r="AJ99" i="5"/>
  <c r="Z79" i="4"/>
  <c r="AL99" i="5"/>
  <c r="F99" i="5"/>
  <c r="I99" i="5"/>
  <c r="L99" i="5"/>
  <c r="N99" i="5"/>
  <c r="O99" i="5"/>
  <c r="Z99" i="5"/>
  <c r="AN99" i="5"/>
  <c r="AG100" i="5"/>
  <c r="AF100" i="5"/>
  <c r="B80" i="4"/>
  <c r="C80" i="4"/>
  <c r="C100" i="5"/>
  <c r="D80" i="4"/>
  <c r="E100" i="5"/>
  <c r="H80" i="4"/>
  <c r="K100" i="5"/>
  <c r="L80" i="4"/>
  <c r="Q100" i="5"/>
  <c r="M80" i="4"/>
  <c r="R100" i="5"/>
  <c r="N80" i="4"/>
  <c r="T100" i="5"/>
  <c r="O80" i="4"/>
  <c r="U100" i="5"/>
  <c r="P80" i="4"/>
  <c r="W100" i="5"/>
  <c r="Q80" i="4"/>
  <c r="X100" i="5"/>
  <c r="S80" i="4"/>
  <c r="AA100" i="5"/>
  <c r="AI80" i="4"/>
  <c r="T80" i="4" a="1"/>
  <c r="T80" i="4"/>
  <c r="AC100" i="5"/>
  <c r="U80" i="4" a="1"/>
  <c r="U80" i="4"/>
  <c r="AD100" i="5"/>
  <c r="X80" i="4"/>
  <c r="AI100" i="5"/>
  <c r="Y80" i="4"/>
  <c r="AJ100" i="5"/>
  <c r="Z80" i="4"/>
  <c r="AL100" i="5"/>
  <c r="F100" i="5"/>
  <c r="I100" i="5"/>
  <c r="L100" i="5"/>
  <c r="N100" i="5"/>
  <c r="O100" i="5"/>
  <c r="Z100" i="5"/>
  <c r="AN100" i="5"/>
  <c r="O101" i="5"/>
  <c r="B81" i="4"/>
  <c r="H81" i="4"/>
  <c r="K101" i="5"/>
  <c r="AG101" i="5"/>
  <c r="AF101" i="5"/>
  <c r="C81" i="4"/>
  <c r="C101" i="5"/>
  <c r="D81" i="4"/>
  <c r="E101" i="5"/>
  <c r="I25" i="2"/>
  <c r="I81" i="4"/>
  <c r="L101" i="5"/>
  <c r="J25" i="2"/>
  <c r="J81" i="4"/>
  <c r="N101" i="5"/>
  <c r="L81" i="4"/>
  <c r="Q101" i="5"/>
  <c r="M81" i="4"/>
  <c r="R101" i="5"/>
  <c r="T101" i="5"/>
  <c r="U101" i="5"/>
  <c r="P81" i="4"/>
  <c r="W101" i="5"/>
  <c r="Q81" i="4"/>
  <c r="X101" i="5"/>
  <c r="S81" i="4"/>
  <c r="AA101" i="5"/>
  <c r="AI81" i="4"/>
  <c r="T81" i="4" a="1"/>
  <c r="T81" i="4"/>
  <c r="AC101" i="5"/>
  <c r="U81" i="4" a="1"/>
  <c r="U81" i="4"/>
  <c r="AD101" i="5"/>
  <c r="X81" i="4"/>
  <c r="AI101" i="5"/>
  <c r="Y81" i="4"/>
  <c r="AJ101" i="5"/>
  <c r="Z81" i="4"/>
  <c r="AL101" i="5"/>
  <c r="H101" i="5"/>
  <c r="I101" i="5"/>
  <c r="F101" i="5"/>
  <c r="Z101" i="5"/>
  <c r="AN101" i="5"/>
  <c r="AG102" i="5"/>
  <c r="AF102" i="5"/>
  <c r="C26" i="2"/>
  <c r="B82" i="4"/>
  <c r="C82" i="4"/>
  <c r="C102" i="5"/>
  <c r="D26" i="2"/>
  <c r="D82" i="4"/>
  <c r="E102" i="5"/>
  <c r="E26" i="2"/>
  <c r="E82" i="4"/>
  <c r="F102" i="5"/>
  <c r="F26" i="2"/>
  <c r="F82" i="4"/>
  <c r="H102" i="5"/>
  <c r="I102" i="5"/>
  <c r="H26" i="2"/>
  <c r="H82" i="4"/>
  <c r="K102" i="5"/>
  <c r="L26" i="2"/>
  <c r="L82" i="4"/>
  <c r="Q102" i="5"/>
  <c r="M26" i="2"/>
  <c r="M82" i="4"/>
  <c r="R102" i="5"/>
  <c r="N26" i="2"/>
  <c r="N82" i="4"/>
  <c r="T102" i="5"/>
  <c r="O26" i="2"/>
  <c r="O82" i="4"/>
  <c r="U102" i="5"/>
  <c r="P26" i="2"/>
  <c r="P82" i="4"/>
  <c r="W102" i="5"/>
  <c r="Q26" i="2"/>
  <c r="Q82" i="4"/>
  <c r="X102" i="5"/>
  <c r="S26" i="2"/>
  <c r="S82" i="4"/>
  <c r="AA102" i="5"/>
  <c r="AI82" i="4"/>
  <c r="T82" i="4" a="1"/>
  <c r="T82" i="4"/>
  <c r="AC102" i="5"/>
  <c r="U82" i="4" a="1"/>
  <c r="U82" i="4"/>
  <c r="AD102" i="5"/>
  <c r="X26" i="2"/>
  <c r="X82" i="4"/>
  <c r="AI102" i="5"/>
  <c r="Y26" i="2"/>
  <c r="Y82" i="4"/>
  <c r="AJ102" i="5"/>
  <c r="Z26" i="2"/>
  <c r="Z82" i="4"/>
  <c r="AL102" i="5"/>
  <c r="L102" i="5"/>
  <c r="N102" i="5"/>
  <c r="O102" i="5"/>
  <c r="Z102" i="5"/>
  <c r="AN102" i="5"/>
  <c r="AG103" i="5"/>
  <c r="AF103" i="5"/>
  <c r="B83" i="4"/>
  <c r="C83" i="4"/>
  <c r="C103" i="5"/>
  <c r="D83" i="4"/>
  <c r="E103" i="5"/>
  <c r="E83" i="4"/>
  <c r="F103" i="5"/>
  <c r="F83" i="4"/>
  <c r="H103" i="5"/>
  <c r="I103" i="5"/>
  <c r="H83" i="4"/>
  <c r="K103" i="5"/>
  <c r="L83" i="4"/>
  <c r="Q103" i="5"/>
  <c r="M83" i="4"/>
  <c r="R103" i="5"/>
  <c r="T103" i="5"/>
  <c r="O83" i="4"/>
  <c r="U103" i="5"/>
  <c r="P83" i="4"/>
  <c r="W103" i="5"/>
  <c r="Q83" i="4"/>
  <c r="X103" i="5"/>
  <c r="S83" i="4"/>
  <c r="AA103" i="5"/>
  <c r="AI83" i="4"/>
  <c r="T83" i="4" a="1"/>
  <c r="T83" i="4"/>
  <c r="AC103" i="5"/>
  <c r="U83" i="4" a="1"/>
  <c r="U83" i="4"/>
  <c r="AD103" i="5"/>
  <c r="X83" i="4"/>
  <c r="AI103" i="5"/>
  <c r="Y83" i="4"/>
  <c r="AJ103" i="5"/>
  <c r="Z83" i="4"/>
  <c r="AL103" i="5"/>
  <c r="L103" i="5"/>
  <c r="N103" i="5"/>
  <c r="O103" i="5"/>
  <c r="Z103" i="5"/>
  <c r="AN103" i="5"/>
  <c r="AG104" i="5"/>
  <c r="AF104" i="5"/>
  <c r="C43" i="2"/>
  <c r="B84" i="4"/>
  <c r="C84" i="4"/>
  <c r="C104" i="5"/>
  <c r="D43" i="2"/>
  <c r="D84" i="4"/>
  <c r="E104" i="5"/>
  <c r="E43" i="2"/>
  <c r="E84" i="4"/>
  <c r="F104" i="5"/>
  <c r="F43" i="2"/>
  <c r="F84" i="4"/>
  <c r="H104" i="5"/>
  <c r="I104" i="5"/>
  <c r="H43" i="2"/>
  <c r="H84" i="4"/>
  <c r="K104" i="5"/>
  <c r="L43" i="2"/>
  <c r="L84" i="4"/>
  <c r="Q104" i="5"/>
  <c r="M43" i="2"/>
  <c r="M84" i="4"/>
  <c r="R104" i="5"/>
  <c r="T104" i="5"/>
  <c r="O43" i="2"/>
  <c r="O84" i="4"/>
  <c r="U104" i="5"/>
  <c r="P43" i="2"/>
  <c r="P84" i="4"/>
  <c r="W104" i="5"/>
  <c r="Q43" i="2"/>
  <c r="Q84" i="4"/>
  <c r="X104" i="5"/>
  <c r="S43" i="2"/>
  <c r="S84" i="4"/>
  <c r="AA104" i="5"/>
  <c r="AI84" i="4"/>
  <c r="T84" i="4" a="1"/>
  <c r="T84" i="4"/>
  <c r="AC104" i="5"/>
  <c r="U84" i="4" a="1"/>
  <c r="U84" i="4"/>
  <c r="AD104" i="5"/>
  <c r="X43" i="2"/>
  <c r="X84" i="4"/>
  <c r="AI104" i="5"/>
  <c r="Y43" i="2"/>
  <c r="Y84" i="4"/>
  <c r="AJ104" i="5"/>
  <c r="Z43" i="2"/>
  <c r="Z84" i="4"/>
  <c r="AL104" i="5"/>
  <c r="L104" i="5"/>
  <c r="N104" i="5"/>
  <c r="O104" i="5"/>
  <c r="Z104" i="5"/>
  <c r="AN104" i="5"/>
  <c r="AG105" i="5"/>
  <c r="AF105" i="5"/>
  <c r="B85" i="4"/>
  <c r="C85" i="4"/>
  <c r="C105" i="5"/>
  <c r="D85" i="4"/>
  <c r="E105" i="5"/>
  <c r="E39" i="2"/>
  <c r="E85" i="4"/>
  <c r="F105" i="5"/>
  <c r="F39" i="2"/>
  <c r="F85" i="4"/>
  <c r="H105" i="5"/>
  <c r="I105" i="5"/>
  <c r="K105" i="5"/>
  <c r="L85" i="4"/>
  <c r="Q105" i="5"/>
  <c r="M85" i="4"/>
  <c r="R105" i="5"/>
  <c r="T105" i="5"/>
  <c r="O85" i="4"/>
  <c r="U105" i="5"/>
  <c r="P85" i="4"/>
  <c r="W105" i="5"/>
  <c r="Q85" i="4"/>
  <c r="X105" i="5"/>
  <c r="S85" i="4"/>
  <c r="AA105" i="5"/>
  <c r="AI85" i="4"/>
  <c r="T85" i="4" a="1"/>
  <c r="T85" i="4"/>
  <c r="AC105" i="5"/>
  <c r="U85" i="4" a="1"/>
  <c r="U85" i="4"/>
  <c r="AD105" i="5"/>
  <c r="X85" i="4"/>
  <c r="AI105" i="5"/>
  <c r="Y85" i="4"/>
  <c r="AJ105" i="5"/>
  <c r="Z85" i="4"/>
  <c r="AL105" i="5"/>
  <c r="L105" i="5"/>
  <c r="N105" i="5"/>
  <c r="O105" i="5"/>
  <c r="Z105" i="5"/>
  <c r="AN105" i="5"/>
  <c r="AG106" i="5"/>
  <c r="AF106" i="5"/>
  <c r="B86" i="4"/>
  <c r="C86" i="4"/>
  <c r="C106" i="5"/>
  <c r="D86" i="4"/>
  <c r="E106" i="5"/>
  <c r="E86" i="4"/>
  <c r="F106" i="5"/>
  <c r="F86" i="4"/>
  <c r="H106" i="5"/>
  <c r="I106" i="5"/>
  <c r="H86" i="4"/>
  <c r="K106" i="5"/>
  <c r="L86" i="4"/>
  <c r="Q106" i="5"/>
  <c r="M86" i="4"/>
  <c r="R106" i="5"/>
  <c r="T106" i="5"/>
  <c r="U106" i="5"/>
  <c r="P86" i="4"/>
  <c r="W106" i="5"/>
  <c r="Q86" i="4"/>
  <c r="X106" i="5"/>
  <c r="S86" i="4"/>
  <c r="AA106" i="5"/>
  <c r="AI86" i="4"/>
  <c r="T86" i="4" a="1"/>
  <c r="T86" i="4"/>
  <c r="AC106" i="5"/>
  <c r="U86" i="4" a="1"/>
  <c r="U86" i="4"/>
  <c r="AD106" i="5"/>
  <c r="X86" i="4"/>
  <c r="AI106" i="5"/>
  <c r="Y86" i="4"/>
  <c r="AJ106" i="5"/>
  <c r="Z86" i="4"/>
  <c r="AL106" i="5"/>
  <c r="L106" i="5"/>
  <c r="N106" i="5"/>
  <c r="O106" i="5"/>
  <c r="Z106" i="5"/>
  <c r="AN106" i="5"/>
  <c r="AG107" i="5"/>
  <c r="AF107" i="5"/>
  <c r="C87" i="4"/>
  <c r="C107" i="5"/>
  <c r="D87" i="4"/>
  <c r="E107" i="5"/>
  <c r="E22" i="2"/>
  <c r="E87" i="4"/>
  <c r="F107" i="5"/>
  <c r="F22" i="2"/>
  <c r="F87" i="4"/>
  <c r="H107" i="5"/>
  <c r="I107" i="5"/>
  <c r="H22" i="2"/>
  <c r="H87" i="4"/>
  <c r="K107" i="5"/>
  <c r="L87" i="4"/>
  <c r="Q107" i="5"/>
  <c r="M87" i="4"/>
  <c r="R107" i="5"/>
  <c r="T107" i="5"/>
  <c r="U107" i="5"/>
  <c r="P87" i="4"/>
  <c r="W107" i="5"/>
  <c r="Q87" i="4"/>
  <c r="X107" i="5"/>
  <c r="S87" i="4"/>
  <c r="AA107" i="5"/>
  <c r="AI87" i="4"/>
  <c r="T87" i="4" a="1"/>
  <c r="T87" i="4"/>
  <c r="AC107" i="5"/>
  <c r="U87" i="4" a="1"/>
  <c r="U87" i="4"/>
  <c r="AD107" i="5"/>
  <c r="AI107" i="5"/>
  <c r="Y87" i="4"/>
  <c r="AJ107" i="5"/>
  <c r="Z87" i="4"/>
  <c r="AL107" i="5"/>
  <c r="L107" i="5"/>
  <c r="N107" i="5"/>
  <c r="O107" i="5"/>
  <c r="Z107" i="5"/>
  <c r="AN107" i="5"/>
  <c r="AG108" i="5"/>
  <c r="AF108" i="5"/>
  <c r="C88" i="4"/>
  <c r="C108" i="5"/>
  <c r="D88" i="4"/>
  <c r="E108" i="5"/>
  <c r="E88" i="4"/>
  <c r="F108" i="5"/>
  <c r="F88" i="4"/>
  <c r="H108" i="5"/>
  <c r="I108" i="5"/>
  <c r="H88" i="4"/>
  <c r="K108" i="5"/>
  <c r="L88" i="4"/>
  <c r="Q108" i="5"/>
  <c r="M88" i="4"/>
  <c r="R108" i="5"/>
  <c r="T108" i="5"/>
  <c r="U108" i="5"/>
  <c r="P88" i="4"/>
  <c r="W108" i="5"/>
  <c r="Q88" i="4"/>
  <c r="X108" i="5"/>
  <c r="S88" i="4"/>
  <c r="AA108" i="5"/>
  <c r="AI88" i="4"/>
  <c r="T88" i="4" a="1"/>
  <c r="T88" i="4"/>
  <c r="AC108" i="5"/>
  <c r="U88" i="4" a="1"/>
  <c r="U88" i="4"/>
  <c r="AD108" i="5"/>
  <c r="AI108" i="5"/>
  <c r="Y88" i="4"/>
  <c r="AJ108" i="5"/>
  <c r="Z88" i="4"/>
  <c r="AL108" i="5"/>
  <c r="L108" i="5"/>
  <c r="N108" i="5"/>
  <c r="O108" i="5"/>
  <c r="Z108" i="5"/>
  <c r="AN108" i="5"/>
  <c r="AG109" i="5"/>
  <c r="AF109" i="5"/>
  <c r="B89" i="4"/>
  <c r="C89" i="4"/>
  <c r="C109" i="5"/>
  <c r="D89" i="4"/>
  <c r="E109" i="5"/>
  <c r="H15" i="2"/>
  <c r="H89" i="4"/>
  <c r="K109" i="5"/>
  <c r="L89" i="4"/>
  <c r="Q109" i="5"/>
  <c r="M89" i="4"/>
  <c r="R109" i="5"/>
  <c r="T109" i="5"/>
  <c r="O89" i="4"/>
  <c r="U109" i="5"/>
  <c r="P89" i="4"/>
  <c r="W109" i="5"/>
  <c r="Q89" i="4"/>
  <c r="X109" i="5"/>
  <c r="S89" i="4"/>
  <c r="AA109" i="5"/>
  <c r="AI89" i="4"/>
  <c r="T89" i="4" a="1"/>
  <c r="T89" i="4"/>
  <c r="AC109" i="5"/>
  <c r="U89" i="4" a="1"/>
  <c r="U89" i="4"/>
  <c r="AD109" i="5"/>
  <c r="X89" i="4"/>
  <c r="AI109" i="5"/>
  <c r="Y89" i="4"/>
  <c r="AJ109" i="5"/>
  <c r="Z89" i="4"/>
  <c r="AL109" i="5"/>
  <c r="F109" i="5"/>
  <c r="H109" i="5"/>
  <c r="I109" i="5"/>
  <c r="L109" i="5"/>
  <c r="N109" i="5"/>
  <c r="O109" i="5"/>
  <c r="Z109" i="5"/>
  <c r="AN109" i="5"/>
  <c r="AG110" i="5"/>
  <c r="AF110" i="5"/>
  <c r="B90" i="4"/>
  <c r="C90" i="4"/>
  <c r="C110" i="5"/>
  <c r="D90" i="4"/>
  <c r="E110" i="5"/>
  <c r="E40" i="2"/>
  <c r="E90" i="4"/>
  <c r="F110" i="5"/>
  <c r="F40" i="2"/>
  <c r="F90" i="4"/>
  <c r="H110" i="5"/>
  <c r="I110" i="5"/>
  <c r="H90" i="4"/>
  <c r="K110" i="5"/>
  <c r="L90" i="4"/>
  <c r="Q110" i="5"/>
  <c r="M90" i="4"/>
  <c r="R110" i="5"/>
  <c r="T110" i="5"/>
  <c r="O32" i="2"/>
  <c r="O90" i="4"/>
  <c r="U110" i="5"/>
  <c r="P90" i="4"/>
  <c r="W110" i="5"/>
  <c r="Q90" i="4"/>
  <c r="X110" i="5"/>
  <c r="S90" i="4"/>
  <c r="AA110" i="5"/>
  <c r="AI90" i="4"/>
  <c r="T90" i="4" a="1"/>
  <c r="T90" i="4"/>
  <c r="AC110" i="5"/>
  <c r="U90" i="4" a="1"/>
  <c r="U90" i="4"/>
  <c r="AD110" i="5"/>
  <c r="X90" i="4"/>
  <c r="AI110" i="5"/>
  <c r="Y90" i="4"/>
  <c r="AJ110" i="5"/>
  <c r="Z90" i="4"/>
  <c r="AL110" i="5"/>
  <c r="L110" i="5"/>
  <c r="N110" i="5"/>
  <c r="O110" i="5"/>
  <c r="Z110" i="5"/>
  <c r="AN110" i="5"/>
  <c r="AG111" i="5"/>
  <c r="AF111" i="5"/>
  <c r="B91" i="4"/>
  <c r="C91" i="4"/>
  <c r="C111" i="5"/>
  <c r="D91" i="4"/>
  <c r="E111" i="5"/>
  <c r="H91" i="4"/>
  <c r="K111" i="5"/>
  <c r="L91" i="4"/>
  <c r="Q111" i="5"/>
  <c r="M91" i="4"/>
  <c r="R111" i="5"/>
  <c r="T111" i="5"/>
  <c r="O91" i="4"/>
  <c r="U111" i="5"/>
  <c r="P91" i="4"/>
  <c r="W111" i="5"/>
  <c r="Q91" i="4"/>
  <c r="X111" i="5"/>
  <c r="S91" i="4"/>
  <c r="AA111" i="5"/>
  <c r="AI91" i="4"/>
  <c r="T91" i="4" a="1"/>
  <c r="T91" i="4"/>
  <c r="AC111" i="5"/>
  <c r="U91" i="4" a="1"/>
  <c r="U91" i="4"/>
  <c r="AD111" i="5"/>
  <c r="X91" i="4"/>
  <c r="AI111" i="5"/>
  <c r="Y91" i="4"/>
  <c r="AJ111" i="5"/>
  <c r="Z91" i="4"/>
  <c r="AL111" i="5"/>
  <c r="F111" i="5"/>
  <c r="H111" i="5"/>
  <c r="I111" i="5"/>
  <c r="L111" i="5"/>
  <c r="N111" i="5"/>
  <c r="O111" i="5"/>
  <c r="Z111" i="5"/>
  <c r="AN111" i="5"/>
  <c r="AG112" i="5"/>
  <c r="AF112" i="5"/>
  <c r="B92" i="4"/>
  <c r="C92" i="4"/>
  <c r="C112" i="5"/>
  <c r="D92" i="4"/>
  <c r="E112" i="5"/>
  <c r="H92" i="4"/>
  <c r="K112" i="5"/>
  <c r="L92" i="4"/>
  <c r="Q112" i="5"/>
  <c r="M92" i="4"/>
  <c r="R112" i="5"/>
  <c r="T112" i="5"/>
  <c r="O92" i="4"/>
  <c r="U112" i="5"/>
  <c r="P92" i="4"/>
  <c r="W112" i="5"/>
  <c r="Q92" i="4"/>
  <c r="X112" i="5"/>
  <c r="S92" i="4"/>
  <c r="AA112" i="5"/>
  <c r="AI92" i="4"/>
  <c r="T92" i="4" a="1"/>
  <c r="T92" i="4"/>
  <c r="AC112" i="5"/>
  <c r="U92" i="4" a="1"/>
  <c r="U92" i="4"/>
  <c r="AD112" i="5"/>
  <c r="X92" i="4"/>
  <c r="AI112" i="5"/>
  <c r="Y92" i="4"/>
  <c r="AJ112" i="5"/>
  <c r="Z92" i="4"/>
  <c r="AL112" i="5"/>
  <c r="F112" i="5"/>
  <c r="H112" i="5"/>
  <c r="I112" i="5"/>
  <c r="L112" i="5"/>
  <c r="N112" i="5"/>
  <c r="O112" i="5"/>
  <c r="Z112" i="5"/>
  <c r="AN112" i="5"/>
  <c r="AG113" i="5"/>
  <c r="AF113" i="5"/>
  <c r="B93" i="4"/>
  <c r="C93" i="4"/>
  <c r="C113" i="5"/>
  <c r="D93" i="4"/>
  <c r="E113" i="5"/>
  <c r="H93" i="4"/>
  <c r="K113" i="5"/>
  <c r="L93" i="4"/>
  <c r="Q113" i="5"/>
  <c r="M93" i="4"/>
  <c r="R113" i="5"/>
  <c r="T113" i="5"/>
  <c r="O93" i="4"/>
  <c r="U113" i="5"/>
  <c r="P93" i="4"/>
  <c r="W113" i="5"/>
  <c r="Q93" i="4"/>
  <c r="X113" i="5"/>
  <c r="S93" i="4"/>
  <c r="AA113" i="5"/>
  <c r="AI93" i="4"/>
  <c r="T93" i="4" a="1"/>
  <c r="T93" i="4"/>
  <c r="AC113" i="5"/>
  <c r="U93" i="4" a="1"/>
  <c r="U93" i="4"/>
  <c r="AD113" i="5"/>
  <c r="X93" i="4"/>
  <c r="AI113" i="5"/>
  <c r="Y93" i="4"/>
  <c r="AJ113" i="5"/>
  <c r="Z93" i="4"/>
  <c r="AL113" i="5"/>
  <c r="F113" i="5"/>
  <c r="H113" i="5"/>
  <c r="I113" i="5"/>
  <c r="L113" i="5"/>
  <c r="N113" i="5"/>
  <c r="O113" i="5"/>
  <c r="Z113" i="5"/>
  <c r="AN113" i="5"/>
  <c r="AG114" i="5"/>
  <c r="AF114" i="5"/>
  <c r="B94" i="4"/>
  <c r="C94" i="4"/>
  <c r="C114" i="5"/>
  <c r="D94" i="4"/>
  <c r="E114" i="5"/>
  <c r="K114" i="5"/>
  <c r="L94" i="4"/>
  <c r="Q114" i="5"/>
  <c r="M94" i="4"/>
  <c r="R114" i="5"/>
  <c r="T114" i="5"/>
  <c r="O94" i="4"/>
  <c r="U114" i="5"/>
  <c r="P94" i="4"/>
  <c r="W114" i="5"/>
  <c r="Q94" i="4"/>
  <c r="X114" i="5"/>
  <c r="S94" i="4"/>
  <c r="AA114" i="5"/>
  <c r="AI94" i="4"/>
  <c r="T94" i="4" a="1"/>
  <c r="T94" i="4"/>
  <c r="AC114" i="5"/>
  <c r="U94" i="4" a="1"/>
  <c r="U94" i="4"/>
  <c r="AD114" i="5"/>
  <c r="X94" i="4"/>
  <c r="AI114" i="5"/>
  <c r="Y94" i="4"/>
  <c r="AJ114" i="5"/>
  <c r="Z94" i="4"/>
  <c r="AL114" i="5"/>
  <c r="F114" i="5"/>
  <c r="H114" i="5"/>
  <c r="I114" i="5"/>
  <c r="L114" i="5"/>
  <c r="N114" i="5"/>
  <c r="O114" i="5"/>
  <c r="Z114" i="5"/>
  <c r="AN114" i="5"/>
  <c r="AG115" i="5"/>
  <c r="AF115" i="5"/>
  <c r="B95" i="4"/>
  <c r="C95" i="4"/>
  <c r="C115" i="5"/>
  <c r="D95" i="4"/>
  <c r="E115" i="5"/>
  <c r="H24" i="2"/>
  <c r="H95" i="4"/>
  <c r="K115" i="5"/>
  <c r="L95" i="4"/>
  <c r="Q115" i="5"/>
  <c r="M95" i="4"/>
  <c r="R115" i="5"/>
  <c r="T115" i="5"/>
  <c r="U115" i="5"/>
  <c r="P95" i="4"/>
  <c r="W115" i="5"/>
  <c r="Q95" i="4"/>
  <c r="X115" i="5"/>
  <c r="AA115" i="5"/>
  <c r="AI95" i="4"/>
  <c r="T95" i="4" a="1"/>
  <c r="T95" i="4"/>
  <c r="AC115" i="5"/>
  <c r="U95" i="4" a="1"/>
  <c r="U95" i="4"/>
  <c r="AD115" i="5"/>
  <c r="X95" i="4"/>
  <c r="AI115" i="5"/>
  <c r="Y95" i="4"/>
  <c r="AJ115" i="5"/>
  <c r="Z95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96" i="4"/>
  <c r="C96" i="4"/>
  <c r="C116" i="5"/>
  <c r="D96" i="4"/>
  <c r="E116" i="5"/>
  <c r="E14" i="2"/>
  <c r="E11" i="2"/>
  <c r="E96" i="4"/>
  <c r="F116" i="5"/>
  <c r="F14" i="2"/>
  <c r="F11" i="2"/>
  <c r="F96" i="4"/>
  <c r="H116" i="5"/>
  <c r="I116" i="5"/>
  <c r="I11" i="2"/>
  <c r="I96" i="4"/>
  <c r="L116" i="5"/>
  <c r="J11" i="2"/>
  <c r="J96" i="4"/>
  <c r="N116" i="5"/>
  <c r="L96" i="4"/>
  <c r="Q116" i="5"/>
  <c r="M96" i="4"/>
  <c r="R116" i="5"/>
  <c r="T116" i="5"/>
  <c r="U116" i="5"/>
  <c r="P96" i="4"/>
  <c r="W116" i="5"/>
  <c r="AA116" i="5"/>
  <c r="AI96" i="4"/>
  <c r="T96" i="4" a="1"/>
  <c r="T96" i="4"/>
  <c r="AC116" i="5"/>
  <c r="U96" i="4" a="1"/>
  <c r="U96" i="4"/>
  <c r="AD116" i="5"/>
  <c r="Y96" i="4"/>
  <c r="AJ116" i="5"/>
  <c r="Z96" i="4"/>
  <c r="AL116" i="5"/>
  <c r="X116" i="5"/>
  <c r="Z116" i="5"/>
  <c r="AN116" i="5"/>
  <c r="AG117" i="5"/>
  <c r="AF117" i="5"/>
  <c r="B292" i="4"/>
  <c r="C292" i="4"/>
  <c r="C117" i="5"/>
  <c r="D292" i="4"/>
  <c r="E117" i="5"/>
  <c r="K117" i="5"/>
  <c r="L292" i="4"/>
  <c r="Q117" i="5"/>
  <c r="M292" i="4"/>
  <c r="R117" i="5"/>
  <c r="T117" i="5"/>
  <c r="U117" i="5"/>
  <c r="P292" i="4"/>
  <c r="W117" i="5"/>
  <c r="Q292" i="4"/>
  <c r="X117" i="5"/>
  <c r="S292" i="4"/>
  <c r="AA117" i="5"/>
  <c r="AI292" i="4"/>
  <c r="T292" i="4" a="1"/>
  <c r="T292" i="4"/>
  <c r="AC117" i="5"/>
  <c r="U292" i="4" a="1"/>
  <c r="U292" i="4"/>
  <c r="AD117" i="5"/>
  <c r="X292" i="4"/>
  <c r="AI117" i="5"/>
  <c r="F117" i="5"/>
  <c r="H117" i="5"/>
  <c r="I117" i="5"/>
  <c r="L117" i="5"/>
  <c r="N117" i="5"/>
  <c r="O117" i="5"/>
  <c r="Z117" i="5"/>
  <c r="AN117" i="5"/>
  <c r="AA118" i="5"/>
  <c r="B293" i="4"/>
  <c r="P293" i="4"/>
  <c r="W118" i="5"/>
  <c r="AG118" i="5"/>
  <c r="AF118" i="5"/>
  <c r="C293" i="4"/>
  <c r="C118" i="5"/>
  <c r="D293" i="4"/>
  <c r="E118" i="5"/>
  <c r="K118" i="5"/>
  <c r="L293" i="4"/>
  <c r="Q118" i="5"/>
  <c r="M293" i="4"/>
  <c r="R118" i="5"/>
  <c r="T118" i="5"/>
  <c r="U118" i="5"/>
  <c r="Q293" i="4"/>
  <c r="X118" i="5"/>
  <c r="R7" i="2"/>
  <c r="R20" i="2"/>
  <c r="R14" i="2"/>
  <c r="R293" i="4"/>
  <c r="Z118" i="5"/>
  <c r="AI293" i="4"/>
  <c r="T293" i="4" a="1"/>
  <c r="T293" i="4"/>
  <c r="AC118" i="5"/>
  <c r="U293" i="4" a="1"/>
  <c r="U293" i="4"/>
  <c r="AD118" i="5"/>
  <c r="Y293" i="4"/>
  <c r="AJ118" i="5"/>
  <c r="Z293" i="4"/>
  <c r="AL118" i="5"/>
  <c r="F118" i="5"/>
  <c r="H118" i="5"/>
  <c r="I118" i="5"/>
  <c r="L118" i="5"/>
  <c r="N118" i="5"/>
  <c r="O118" i="5"/>
  <c r="AN118" i="5"/>
  <c r="AG119" i="5"/>
  <c r="AF119" i="5"/>
  <c r="B105" i="4"/>
  <c r="C105" i="4"/>
  <c r="C119" i="5"/>
  <c r="D105" i="4"/>
  <c r="E119" i="5"/>
  <c r="E105" i="4"/>
  <c r="F119" i="5"/>
  <c r="F105" i="4"/>
  <c r="H119" i="5"/>
  <c r="I119" i="5"/>
  <c r="K119" i="5"/>
  <c r="L105" i="4"/>
  <c r="Q119" i="5"/>
  <c r="M105" i="4"/>
  <c r="R119" i="5"/>
  <c r="T119" i="5"/>
  <c r="O105" i="4"/>
  <c r="U119" i="5"/>
  <c r="P105" i="4"/>
  <c r="W119" i="5"/>
  <c r="Q105" i="4"/>
  <c r="X119" i="5"/>
  <c r="AA119" i="5"/>
  <c r="AI105" i="4"/>
  <c r="T105" i="4" a="1"/>
  <c r="T105" i="4"/>
  <c r="AC119" i="5"/>
  <c r="U105" i="4" a="1"/>
  <c r="U105" i="4"/>
  <c r="AD119" i="5"/>
  <c r="X105" i="4"/>
  <c r="AI119" i="5"/>
  <c r="Y105" i="4"/>
  <c r="AJ119" i="5"/>
  <c r="Z105" i="4"/>
  <c r="AL119" i="5"/>
  <c r="L119" i="5"/>
  <c r="N119" i="5"/>
  <c r="O119" i="5"/>
  <c r="Z119" i="5"/>
  <c r="AN119" i="5"/>
  <c r="AG120" i="5"/>
  <c r="AF120" i="5"/>
  <c r="B6" i="4"/>
  <c r="C6" i="4"/>
  <c r="C120" i="5"/>
  <c r="D6" i="4"/>
  <c r="E120" i="5"/>
  <c r="H6" i="4"/>
  <c r="K120" i="5"/>
  <c r="L6" i="4"/>
  <c r="Q120" i="5"/>
  <c r="M6" i="4"/>
  <c r="R120" i="5"/>
  <c r="T120" i="5"/>
  <c r="O6" i="4"/>
  <c r="U120" i="5"/>
  <c r="W120" i="5"/>
  <c r="Q6" i="4"/>
  <c r="X120" i="5"/>
  <c r="AA120" i="5"/>
  <c r="AI6" i="4"/>
  <c r="T6" i="4" a="1"/>
  <c r="T6" i="4"/>
  <c r="AC120" i="5"/>
  <c r="U6" i="4" a="1"/>
  <c r="U6" i="4"/>
  <c r="AD120" i="5"/>
  <c r="Y6" i="4"/>
  <c r="AJ120" i="5"/>
  <c r="Z6" i="4"/>
  <c r="AL120" i="5"/>
  <c r="F120" i="5"/>
  <c r="H120" i="5"/>
  <c r="I120" i="5"/>
  <c r="L120" i="5"/>
  <c r="N120" i="5"/>
  <c r="O120" i="5"/>
  <c r="Z120" i="5"/>
  <c r="AN120" i="5"/>
  <c r="AG121" i="5"/>
  <c r="AF121" i="5"/>
  <c r="B107" i="4"/>
  <c r="C107" i="4"/>
  <c r="C121" i="5"/>
  <c r="D107" i="4"/>
  <c r="E121" i="5"/>
  <c r="H107" i="4"/>
  <c r="K121" i="5"/>
  <c r="L107" i="4"/>
  <c r="Q121" i="5"/>
  <c r="M107" i="4"/>
  <c r="R121" i="5"/>
  <c r="N107" i="4"/>
  <c r="T121" i="5"/>
  <c r="U121" i="5"/>
  <c r="W121" i="5"/>
  <c r="Q107" i="4"/>
  <c r="X121" i="5"/>
  <c r="AA121" i="5"/>
  <c r="AI107" i="4"/>
  <c r="T107" i="4" a="1"/>
  <c r="T107" i="4"/>
  <c r="AC121" i="5"/>
  <c r="U107" i="4" a="1"/>
  <c r="U107" i="4"/>
  <c r="AD121" i="5"/>
  <c r="X107" i="4"/>
  <c r="AI121" i="5"/>
  <c r="Y107" i="4"/>
  <c r="AJ121" i="5"/>
  <c r="Z107" i="4"/>
  <c r="AL121" i="5"/>
  <c r="F121" i="5"/>
  <c r="H121" i="5"/>
  <c r="I121" i="5"/>
  <c r="L121" i="5"/>
  <c r="N121" i="5"/>
  <c r="O121" i="5"/>
  <c r="Z121" i="5"/>
  <c r="AN121" i="5"/>
  <c r="AG122" i="5"/>
  <c r="AF122" i="5"/>
  <c r="B7" i="4"/>
  <c r="C7" i="4"/>
  <c r="C122" i="5"/>
  <c r="D7" i="4"/>
  <c r="E122" i="5"/>
  <c r="H7" i="4"/>
  <c r="K122" i="5"/>
  <c r="L7" i="4"/>
  <c r="Q122" i="5"/>
  <c r="R122" i="5"/>
  <c r="T122" i="5"/>
  <c r="O7" i="4"/>
  <c r="U122" i="5"/>
  <c r="P7" i="4"/>
  <c r="W122" i="5"/>
  <c r="Q7" i="4"/>
  <c r="X122" i="5"/>
  <c r="AA122" i="5"/>
  <c r="AI7" i="4"/>
  <c r="T7" i="4" a="1"/>
  <c r="T7" i="4"/>
  <c r="AC122" i="5"/>
  <c r="U7" i="4" a="1"/>
  <c r="U7" i="4"/>
  <c r="AD122" i="5"/>
  <c r="Y7" i="4"/>
  <c r="AJ122" i="5"/>
  <c r="Z7" i="4"/>
  <c r="AL122" i="5"/>
  <c r="F122" i="5"/>
  <c r="H122" i="5"/>
  <c r="I122" i="5"/>
  <c r="L122" i="5"/>
  <c r="N122" i="5"/>
  <c r="O122" i="5"/>
  <c r="Z122" i="5"/>
  <c r="AN122" i="5"/>
  <c r="O123" i="5"/>
  <c r="B108" i="4"/>
  <c r="H108" i="4"/>
  <c r="K123" i="5"/>
  <c r="AG123" i="5"/>
  <c r="AF123" i="5"/>
  <c r="C42" i="2"/>
  <c r="C108" i="4"/>
  <c r="C123" i="5"/>
  <c r="D108" i="4"/>
  <c r="E123" i="5"/>
  <c r="E108" i="4"/>
  <c r="F123" i="5"/>
  <c r="F108" i="4"/>
  <c r="H123" i="5"/>
  <c r="I123" i="5"/>
  <c r="I42" i="2"/>
  <c r="I108" i="4"/>
  <c r="L123" i="5"/>
  <c r="J42" i="2"/>
  <c r="J108" i="4"/>
  <c r="N123" i="5"/>
  <c r="L108" i="4"/>
  <c r="Q123" i="5"/>
  <c r="M108" i="4"/>
  <c r="R123" i="5"/>
  <c r="T123" i="5"/>
  <c r="O42" i="2"/>
  <c r="O108" i="4"/>
  <c r="U123" i="5"/>
  <c r="P42" i="2"/>
  <c r="P108" i="4"/>
  <c r="W123" i="5"/>
  <c r="Q42" i="2"/>
  <c r="Q108" i="4"/>
  <c r="X123" i="5"/>
  <c r="S108" i="4"/>
  <c r="AA123" i="5"/>
  <c r="AI108" i="4"/>
  <c r="T108" i="4" a="1"/>
  <c r="T108" i="4"/>
  <c r="AC123" i="5"/>
  <c r="U108" i="4" a="1"/>
  <c r="U108" i="4"/>
  <c r="AD123" i="5"/>
  <c r="X42" i="2"/>
  <c r="X108" i="4"/>
  <c r="AI123" i="5"/>
  <c r="Y42" i="2"/>
  <c r="Y108" i="4"/>
  <c r="AJ123" i="5"/>
  <c r="Z42" i="2"/>
  <c r="Z108" i="4"/>
  <c r="AL123" i="5"/>
  <c r="Z123" i="5"/>
  <c r="AN123" i="5"/>
  <c r="AG124" i="5"/>
  <c r="AF124" i="5"/>
  <c r="B109" i="4"/>
  <c r="C109" i="4"/>
  <c r="C124" i="5"/>
  <c r="D109" i="4"/>
  <c r="E124" i="5"/>
  <c r="H109" i="4"/>
  <c r="K124" i="5"/>
  <c r="L109" i="4"/>
  <c r="Q124" i="5"/>
  <c r="M109" i="4"/>
  <c r="R124" i="5"/>
  <c r="T124" i="5"/>
  <c r="O109" i="4"/>
  <c r="U124" i="5"/>
  <c r="P109" i="4"/>
  <c r="W124" i="5"/>
  <c r="Q109" i="4"/>
  <c r="X124" i="5"/>
  <c r="AA124" i="5"/>
  <c r="AI109" i="4"/>
  <c r="T109" i="4" a="1"/>
  <c r="T109" i="4"/>
  <c r="AC124" i="5"/>
  <c r="U109" i="4" a="1"/>
  <c r="U109" i="4"/>
  <c r="AD124" i="5"/>
  <c r="X109" i="4"/>
  <c r="AI124" i="5"/>
  <c r="Y109" i="4"/>
  <c r="AJ124" i="5"/>
  <c r="Z109" i="4"/>
  <c r="AL124" i="5"/>
  <c r="F124" i="5"/>
  <c r="H124" i="5"/>
  <c r="I124" i="5"/>
  <c r="L124" i="5"/>
  <c r="N124" i="5"/>
  <c r="O124" i="5"/>
  <c r="Z124" i="5"/>
  <c r="AN124" i="5"/>
  <c r="AG125" i="5"/>
  <c r="AF125" i="5"/>
  <c r="B112" i="4"/>
  <c r="C112" i="4"/>
  <c r="C125" i="5"/>
  <c r="D112" i="4"/>
  <c r="E125" i="5"/>
  <c r="H112" i="4"/>
  <c r="K125" i="5"/>
  <c r="L112" i="4"/>
  <c r="Q125" i="5"/>
  <c r="M112" i="4"/>
  <c r="R125" i="5"/>
  <c r="T125" i="5"/>
  <c r="U125" i="5"/>
  <c r="P112" i="4"/>
  <c r="W125" i="5"/>
  <c r="Q112" i="4"/>
  <c r="X125" i="5"/>
  <c r="S112" i="4"/>
  <c r="AA125" i="5"/>
  <c r="AI112" i="4"/>
  <c r="T112" i="4" a="1"/>
  <c r="T112" i="4"/>
  <c r="AC125" i="5"/>
  <c r="U112" i="4" a="1"/>
  <c r="U112" i="4"/>
  <c r="AD125" i="5"/>
  <c r="X112" i="4"/>
  <c r="AI125" i="5"/>
  <c r="Y112" i="4"/>
  <c r="AJ125" i="5"/>
  <c r="Z112" i="4"/>
  <c r="AL125" i="5"/>
  <c r="F125" i="5"/>
  <c r="H125" i="5"/>
  <c r="I125" i="5"/>
  <c r="L125" i="5"/>
  <c r="N125" i="5"/>
  <c r="O125" i="5"/>
  <c r="Z125" i="5"/>
  <c r="AN125" i="5"/>
  <c r="AG126" i="5"/>
  <c r="AF126" i="5"/>
  <c r="B113" i="4"/>
  <c r="C113" i="4"/>
  <c r="C126" i="5"/>
  <c r="D113" i="4"/>
  <c r="E126" i="5"/>
  <c r="H113" i="4"/>
  <c r="K126" i="5"/>
  <c r="L113" i="4"/>
  <c r="Q126" i="5"/>
  <c r="M113" i="4"/>
  <c r="R126" i="5"/>
  <c r="T126" i="5"/>
  <c r="O113" i="4"/>
  <c r="U126" i="5"/>
  <c r="P113" i="4"/>
  <c r="W126" i="5"/>
  <c r="Q113" i="4"/>
  <c r="X126" i="5"/>
  <c r="S113" i="4"/>
  <c r="AA126" i="5"/>
  <c r="AI113" i="4"/>
  <c r="T113" i="4" a="1"/>
  <c r="T113" i="4"/>
  <c r="AC126" i="5"/>
  <c r="U113" i="4" a="1"/>
  <c r="U113" i="4"/>
  <c r="AD126" i="5"/>
  <c r="X113" i="4"/>
  <c r="AI126" i="5"/>
  <c r="Y113" i="4"/>
  <c r="AJ126" i="5"/>
  <c r="Z113" i="4"/>
  <c r="AL126" i="5"/>
  <c r="F126" i="5"/>
  <c r="H126" i="5"/>
  <c r="I126" i="5"/>
  <c r="L126" i="5"/>
  <c r="N126" i="5"/>
  <c r="O126" i="5"/>
  <c r="Z126" i="5"/>
  <c r="AN126" i="5"/>
  <c r="AG127" i="5"/>
  <c r="AF127" i="5"/>
  <c r="B115" i="4"/>
  <c r="C115" i="4"/>
  <c r="C127" i="5"/>
  <c r="D115" i="4"/>
  <c r="E127" i="5"/>
  <c r="K127" i="5"/>
  <c r="L115" i="4"/>
  <c r="Q127" i="5"/>
  <c r="M115" i="4"/>
  <c r="R127" i="5"/>
  <c r="T127" i="5"/>
  <c r="O115" i="4"/>
  <c r="U127" i="5"/>
  <c r="P115" i="4"/>
  <c r="W127" i="5"/>
  <c r="Q115" i="4"/>
  <c r="X127" i="5"/>
  <c r="AA127" i="5"/>
  <c r="AI115" i="4"/>
  <c r="T115" i="4" a="1"/>
  <c r="T115" i="4"/>
  <c r="AC127" i="5"/>
  <c r="U115" i="4" a="1"/>
  <c r="U115" i="4"/>
  <c r="AD127" i="5"/>
  <c r="X115" i="4"/>
  <c r="AI127" i="5"/>
  <c r="Y115" i="4"/>
  <c r="AJ127" i="5"/>
  <c r="Z115" i="4"/>
  <c r="AL127" i="5"/>
  <c r="F127" i="5"/>
  <c r="H127" i="5"/>
  <c r="I127" i="5"/>
  <c r="L127" i="5"/>
  <c r="N127" i="5"/>
  <c r="O127" i="5"/>
  <c r="Z127" i="5"/>
  <c r="AN127" i="5"/>
  <c r="AG128" i="5"/>
  <c r="AF128" i="5"/>
  <c r="B116" i="4"/>
  <c r="C116" i="4"/>
  <c r="C128" i="5"/>
  <c r="D116" i="4"/>
  <c r="E128" i="5"/>
  <c r="E116" i="4"/>
  <c r="F128" i="5"/>
  <c r="F116" i="4"/>
  <c r="H128" i="5"/>
  <c r="I128" i="5"/>
  <c r="H116" i="4"/>
  <c r="K128" i="5"/>
  <c r="L116" i="4"/>
  <c r="Q128" i="5"/>
  <c r="M116" i="4"/>
  <c r="R128" i="5"/>
  <c r="T128" i="5"/>
  <c r="U128" i="5"/>
  <c r="P116" i="4"/>
  <c r="W128" i="5"/>
  <c r="Q116" i="4"/>
  <c r="X128" i="5"/>
  <c r="S116" i="4"/>
  <c r="AA128" i="5"/>
  <c r="AI116" i="4"/>
  <c r="T116" i="4" a="1"/>
  <c r="T116" i="4"/>
  <c r="AC128" i="5"/>
  <c r="U116" i="4" a="1"/>
  <c r="U116" i="4"/>
  <c r="AD128" i="5"/>
  <c r="X116" i="4"/>
  <c r="AI128" i="5"/>
  <c r="Y116" i="4"/>
  <c r="AJ128" i="5"/>
  <c r="Z116" i="4"/>
  <c r="AL128" i="5"/>
  <c r="L128" i="5"/>
  <c r="N128" i="5"/>
  <c r="O128" i="5"/>
  <c r="Z128" i="5"/>
  <c r="AN128" i="5"/>
  <c r="B117" i="4"/>
  <c r="S117" i="4"/>
  <c r="AA129" i="5"/>
  <c r="P117" i="4"/>
  <c r="W129" i="5"/>
  <c r="AG129" i="5"/>
  <c r="AF129" i="5"/>
  <c r="C117" i="4"/>
  <c r="C129" i="5"/>
  <c r="D117" i="4"/>
  <c r="E129" i="5"/>
  <c r="E117" i="4"/>
  <c r="F129" i="5"/>
  <c r="F117" i="4"/>
  <c r="H129" i="5"/>
  <c r="I129" i="5"/>
  <c r="K129" i="5"/>
  <c r="L117" i="4"/>
  <c r="Q129" i="5"/>
  <c r="U129" i="5"/>
  <c r="Q117" i="4"/>
  <c r="X129" i="5"/>
  <c r="R117" i="4"/>
  <c r="Z129" i="5"/>
  <c r="AI117" i="4"/>
  <c r="T117" i="4" a="1"/>
  <c r="T117" i="4"/>
  <c r="AC129" i="5"/>
  <c r="U117" i="4" a="1"/>
  <c r="U117" i="4"/>
  <c r="AD129" i="5"/>
  <c r="X117" i="4"/>
  <c r="AI129" i="5"/>
  <c r="Y117" i="4"/>
  <c r="AJ129" i="5"/>
  <c r="Z117" i="4"/>
  <c r="AL129" i="5"/>
  <c r="R129" i="5"/>
  <c r="T129" i="5"/>
  <c r="L129" i="5"/>
  <c r="N129" i="5"/>
  <c r="O129" i="5"/>
  <c r="AN129" i="5"/>
  <c r="AG130" i="5"/>
  <c r="AF130" i="5"/>
  <c r="C118" i="4"/>
  <c r="C130" i="5"/>
  <c r="D118" i="4"/>
  <c r="E130" i="5"/>
  <c r="E118" i="4"/>
  <c r="F130" i="5"/>
  <c r="F118" i="4"/>
  <c r="H130" i="5"/>
  <c r="I130" i="5"/>
  <c r="H118" i="4"/>
  <c r="K130" i="5"/>
  <c r="L118" i="4"/>
  <c r="Q130" i="5"/>
  <c r="M118" i="4"/>
  <c r="R130" i="5"/>
  <c r="T130" i="5"/>
  <c r="U130" i="5"/>
  <c r="P118" i="4"/>
  <c r="W130" i="5"/>
  <c r="Q118" i="4"/>
  <c r="X130" i="5"/>
  <c r="S118" i="4"/>
  <c r="AA130" i="5"/>
  <c r="AI118" i="4"/>
  <c r="T118" i="4" a="1"/>
  <c r="T118" i="4"/>
  <c r="AC130" i="5"/>
  <c r="U118" i="4" a="1"/>
  <c r="U118" i="4"/>
  <c r="AD130" i="5"/>
  <c r="X118" i="4"/>
  <c r="AI130" i="5"/>
  <c r="Y118" i="4"/>
  <c r="AJ130" i="5"/>
  <c r="Z118" i="4"/>
  <c r="AL130" i="5"/>
  <c r="Z130" i="5"/>
  <c r="L130" i="5"/>
  <c r="N130" i="5"/>
  <c r="O130" i="5"/>
  <c r="AN130" i="5"/>
  <c r="AG131" i="5"/>
  <c r="AF131" i="5"/>
  <c r="B119" i="4"/>
  <c r="C119" i="4"/>
  <c r="C131" i="5"/>
  <c r="D119" i="4"/>
  <c r="E131" i="5"/>
  <c r="E119" i="4"/>
  <c r="F131" i="5"/>
  <c r="F119" i="4"/>
  <c r="H131" i="5"/>
  <c r="I131" i="5"/>
  <c r="H119" i="4"/>
  <c r="K131" i="5"/>
  <c r="L119" i="4"/>
  <c r="Q131" i="5"/>
  <c r="M119" i="4"/>
  <c r="R131" i="5"/>
  <c r="T131" i="5"/>
  <c r="O20" i="2"/>
  <c r="O119" i="4"/>
  <c r="U131" i="5"/>
  <c r="P119" i="4"/>
  <c r="W131" i="5"/>
  <c r="Q119" i="4"/>
  <c r="X131" i="5"/>
  <c r="S119" i="4"/>
  <c r="AA131" i="5"/>
  <c r="AI119" i="4"/>
  <c r="T119" i="4" a="1"/>
  <c r="T119" i="4"/>
  <c r="AC131" i="5"/>
  <c r="U119" i="4" a="1"/>
  <c r="U119" i="4"/>
  <c r="AD131" i="5"/>
  <c r="X119" i="4"/>
  <c r="AI131" i="5"/>
  <c r="Y119" i="4"/>
  <c r="AJ131" i="5"/>
  <c r="Z119" i="4"/>
  <c r="AL131" i="5"/>
  <c r="Z131" i="5"/>
  <c r="L131" i="5"/>
  <c r="N131" i="5"/>
  <c r="O131" i="5"/>
  <c r="AN131" i="5"/>
  <c r="AG132" i="5"/>
  <c r="AF132" i="5"/>
  <c r="B120" i="4"/>
  <c r="C120" i="4"/>
  <c r="C132" i="5"/>
  <c r="D120" i="4"/>
  <c r="E132" i="5"/>
  <c r="E120" i="4"/>
  <c r="F132" i="5"/>
  <c r="F120" i="4"/>
  <c r="H132" i="5"/>
  <c r="I132" i="5"/>
  <c r="K132" i="5"/>
  <c r="L120" i="4"/>
  <c r="Q132" i="5"/>
  <c r="M120" i="4"/>
  <c r="R132" i="5"/>
  <c r="T132" i="5"/>
  <c r="U132" i="5"/>
  <c r="P120" i="4"/>
  <c r="W132" i="5"/>
  <c r="Q120" i="4"/>
  <c r="X132" i="5"/>
  <c r="S120" i="4"/>
  <c r="AA132" i="5"/>
  <c r="AI120" i="4"/>
  <c r="T120" i="4" a="1"/>
  <c r="T120" i="4"/>
  <c r="AC132" i="5"/>
  <c r="U120" i="4" a="1"/>
  <c r="U120" i="4"/>
  <c r="AD132" i="5"/>
  <c r="X120" i="4"/>
  <c r="AI132" i="5"/>
  <c r="Y120" i="4"/>
  <c r="AJ132" i="5"/>
  <c r="Z120" i="4"/>
  <c r="AL132" i="5"/>
  <c r="Z132" i="5"/>
  <c r="L132" i="5"/>
  <c r="N132" i="5"/>
  <c r="O132" i="5"/>
  <c r="AN132" i="5"/>
  <c r="AA133" i="5"/>
  <c r="B122" i="4"/>
  <c r="P122" i="4"/>
  <c r="W133" i="5"/>
  <c r="O133" i="5"/>
  <c r="K133" i="5"/>
  <c r="AG133" i="5"/>
  <c r="AF133" i="5"/>
  <c r="C122" i="4"/>
  <c r="C133" i="5"/>
  <c r="D122" i="4"/>
  <c r="E133" i="5"/>
  <c r="I32" i="2"/>
  <c r="I44" i="2"/>
  <c r="I122" i="4"/>
  <c r="L133" i="5"/>
  <c r="J32" i="2"/>
  <c r="J44" i="2"/>
  <c r="J122" i="4"/>
  <c r="N133" i="5"/>
  <c r="L122" i="4"/>
  <c r="Q133" i="5"/>
  <c r="M122" i="4"/>
  <c r="R133" i="5"/>
  <c r="T133" i="5"/>
  <c r="U133" i="5"/>
  <c r="Q122" i="4"/>
  <c r="X133" i="5"/>
  <c r="R32" i="2"/>
  <c r="R44" i="2"/>
  <c r="R122" i="4"/>
  <c r="Z133" i="5"/>
  <c r="AI122" i="4"/>
  <c r="T122" i="4" a="1"/>
  <c r="T122" i="4"/>
  <c r="AC133" i="5"/>
  <c r="U122" i="4" a="1"/>
  <c r="U122" i="4"/>
  <c r="AD133" i="5"/>
  <c r="X122" i="4"/>
  <c r="AI133" i="5"/>
  <c r="Y122" i="4"/>
  <c r="AJ133" i="5"/>
  <c r="Z122" i="4"/>
  <c r="AL133" i="5"/>
  <c r="F133" i="5"/>
  <c r="H133" i="5"/>
  <c r="I133" i="5"/>
  <c r="AN133" i="5"/>
  <c r="O134" i="5"/>
  <c r="K134" i="5"/>
  <c r="AG134" i="5"/>
  <c r="AF134" i="5"/>
  <c r="B123" i="4"/>
  <c r="C123" i="4"/>
  <c r="C134" i="5"/>
  <c r="D123" i="4"/>
  <c r="E134" i="5"/>
  <c r="I123" i="4"/>
  <c r="L134" i="5"/>
  <c r="J123" i="4"/>
  <c r="N134" i="5"/>
  <c r="L123" i="4"/>
  <c r="Q134" i="5"/>
  <c r="M123" i="4"/>
  <c r="R134" i="5"/>
  <c r="T134" i="5"/>
  <c r="U134" i="5"/>
  <c r="P123" i="4"/>
  <c r="W134" i="5"/>
  <c r="Q123" i="4"/>
  <c r="X134" i="5"/>
  <c r="AA134" i="5"/>
  <c r="AI123" i="4"/>
  <c r="T123" i="4" a="1"/>
  <c r="T123" i="4"/>
  <c r="AC134" i="5"/>
  <c r="U123" i="4" a="1"/>
  <c r="U123" i="4"/>
  <c r="AD134" i="5"/>
  <c r="X123" i="4"/>
  <c r="AI134" i="5"/>
  <c r="Y123" i="4"/>
  <c r="AJ134" i="5"/>
  <c r="Z123" i="4"/>
  <c r="AL134" i="5"/>
  <c r="Z134" i="5"/>
  <c r="F134" i="5"/>
  <c r="H134" i="5"/>
  <c r="I134" i="5"/>
  <c r="AN134" i="5"/>
  <c r="AG135" i="5"/>
  <c r="AF135" i="5"/>
  <c r="B125" i="4"/>
  <c r="C125" i="4"/>
  <c r="C135" i="5"/>
  <c r="D125" i="4"/>
  <c r="E135" i="5"/>
  <c r="H125" i="4"/>
  <c r="K135" i="5"/>
  <c r="L125" i="4"/>
  <c r="Q135" i="5"/>
  <c r="M125" i="4"/>
  <c r="R135" i="5"/>
  <c r="T135" i="5"/>
  <c r="O125" i="4"/>
  <c r="U135" i="5"/>
  <c r="P125" i="4"/>
  <c r="W135" i="5"/>
  <c r="Q125" i="4"/>
  <c r="X135" i="5"/>
  <c r="S125" i="4"/>
  <c r="AA135" i="5"/>
  <c r="AI125" i="4"/>
  <c r="T125" i="4" a="1"/>
  <c r="T125" i="4"/>
  <c r="AC135" i="5"/>
  <c r="U125" i="4" a="1"/>
  <c r="U125" i="4"/>
  <c r="AD135" i="5"/>
  <c r="X125" i="4"/>
  <c r="AI135" i="5"/>
  <c r="Y125" i="4"/>
  <c r="AJ135" i="5"/>
  <c r="Z125" i="4"/>
  <c r="AL135" i="5"/>
  <c r="L135" i="5"/>
  <c r="N135" i="5"/>
  <c r="O135" i="5"/>
  <c r="Z135" i="5"/>
  <c r="F135" i="5"/>
  <c r="H135" i="5"/>
  <c r="I135" i="5"/>
  <c r="AN135" i="5"/>
  <c r="O136" i="5"/>
  <c r="B126" i="4"/>
  <c r="H126" i="4"/>
  <c r="K136" i="5"/>
  <c r="AG136" i="5"/>
  <c r="AF136" i="5"/>
  <c r="C126" i="4"/>
  <c r="C136" i="5"/>
  <c r="D126" i="4"/>
  <c r="E136" i="5"/>
  <c r="I39" i="2"/>
  <c r="I126" i="4"/>
  <c r="L136" i="5"/>
  <c r="J39" i="2"/>
  <c r="J126" i="4"/>
  <c r="N136" i="5"/>
  <c r="L126" i="4"/>
  <c r="Q136" i="5"/>
  <c r="M126" i="4"/>
  <c r="R136" i="5"/>
  <c r="T136" i="5"/>
  <c r="U136" i="5"/>
  <c r="P126" i="4"/>
  <c r="W136" i="5"/>
  <c r="Q126" i="4"/>
  <c r="X136" i="5"/>
  <c r="AA136" i="5"/>
  <c r="AI126" i="4"/>
  <c r="T126" i="4" a="1"/>
  <c r="T126" i="4"/>
  <c r="AC136" i="5"/>
  <c r="U126" i="4" a="1"/>
  <c r="U126" i="4"/>
  <c r="AD136" i="5"/>
  <c r="X126" i="4"/>
  <c r="AI136" i="5"/>
  <c r="Y126" i="4"/>
  <c r="AJ136" i="5"/>
  <c r="Z126" i="4"/>
  <c r="AL136" i="5"/>
  <c r="Z136" i="5"/>
  <c r="F136" i="5"/>
  <c r="H136" i="5"/>
  <c r="I136" i="5"/>
  <c r="AN136" i="5"/>
  <c r="B128" i="4"/>
  <c r="S128" i="4"/>
  <c r="AA137" i="5"/>
  <c r="P128" i="4"/>
  <c r="W137" i="5"/>
  <c r="AG137" i="5"/>
  <c r="AF137" i="5"/>
  <c r="C128" i="4"/>
  <c r="C137" i="5"/>
  <c r="D128" i="4"/>
  <c r="E137" i="5"/>
  <c r="K137" i="5"/>
  <c r="L128" i="4"/>
  <c r="Q137" i="5"/>
  <c r="U137" i="5"/>
  <c r="Q128" i="4"/>
  <c r="X137" i="5"/>
  <c r="R128" i="4"/>
  <c r="Z137" i="5"/>
  <c r="AI128" i="4"/>
  <c r="T128" i="4" a="1"/>
  <c r="T128" i="4"/>
  <c r="AC137" i="5"/>
  <c r="U128" i="4" a="1"/>
  <c r="U128" i="4"/>
  <c r="AD137" i="5"/>
  <c r="X128" i="4"/>
  <c r="AI137" i="5"/>
  <c r="Y128" i="4"/>
  <c r="AJ137" i="5"/>
  <c r="Z128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129" i="4"/>
  <c r="C31" i="2"/>
  <c r="C129" i="4"/>
  <c r="C138" i="5"/>
  <c r="D35" i="2"/>
  <c r="D31" i="2"/>
  <c r="D129" i="4"/>
  <c r="E138" i="5"/>
  <c r="H35" i="2"/>
  <c r="H31" i="2"/>
  <c r="H129" i="4"/>
  <c r="K138" i="5"/>
  <c r="L35" i="2"/>
  <c r="L31" i="2"/>
  <c r="L129" i="4"/>
  <c r="Q138" i="5"/>
  <c r="M35" i="2"/>
  <c r="M31" i="2"/>
  <c r="M129" i="4"/>
  <c r="R138" i="5"/>
  <c r="T138" i="5"/>
  <c r="O35" i="2"/>
  <c r="O31" i="2"/>
  <c r="O129" i="4"/>
  <c r="U138" i="5"/>
  <c r="P35" i="2"/>
  <c r="P31" i="2"/>
  <c r="P129" i="4"/>
  <c r="W138" i="5"/>
  <c r="Q35" i="2"/>
  <c r="Q31" i="2"/>
  <c r="Q129" i="4"/>
  <c r="X138" i="5"/>
  <c r="S35" i="2"/>
  <c r="S31" i="2"/>
  <c r="S129" i="4"/>
  <c r="AA138" i="5"/>
  <c r="AI129" i="4"/>
  <c r="T129" i="4" a="1"/>
  <c r="T129" i="4"/>
  <c r="AC138" i="5"/>
  <c r="U129" i="4" a="1"/>
  <c r="U129" i="4"/>
  <c r="AD138" i="5"/>
  <c r="X35" i="2"/>
  <c r="X31" i="2"/>
  <c r="X129" i="4"/>
  <c r="AI138" i="5"/>
  <c r="Y35" i="2"/>
  <c r="Y31" i="2"/>
  <c r="Y129" i="4"/>
  <c r="AJ138" i="5"/>
  <c r="Z35" i="2"/>
  <c r="Z31" i="2"/>
  <c r="Z129" i="4"/>
  <c r="AL138" i="5"/>
  <c r="L138" i="5"/>
  <c r="N138" i="5"/>
  <c r="O138" i="5"/>
  <c r="F138" i="5"/>
  <c r="H138" i="5"/>
  <c r="I138" i="5"/>
  <c r="Z138" i="5"/>
  <c r="AN138" i="5"/>
  <c r="AG139" i="5"/>
  <c r="AF139" i="5"/>
  <c r="B130" i="4"/>
  <c r="C130" i="4"/>
  <c r="C139" i="5"/>
  <c r="D130" i="4"/>
  <c r="E139" i="5"/>
  <c r="E35" i="2"/>
  <c r="E130" i="4"/>
  <c r="F139" i="5"/>
  <c r="F35" i="2"/>
  <c r="F130" i="4"/>
  <c r="H139" i="5"/>
  <c r="I139" i="5"/>
  <c r="K139" i="5"/>
  <c r="L130" i="4"/>
  <c r="Q139" i="5"/>
  <c r="M130" i="4"/>
  <c r="R139" i="5"/>
  <c r="T139" i="5"/>
  <c r="U139" i="5"/>
  <c r="P130" i="4"/>
  <c r="W139" i="5"/>
  <c r="Q130" i="4"/>
  <c r="X139" i="5"/>
  <c r="S130" i="4"/>
  <c r="AA139" i="5"/>
  <c r="AI130" i="4"/>
  <c r="T130" i="4" a="1"/>
  <c r="T130" i="4"/>
  <c r="AC139" i="5"/>
  <c r="U130" i="4" a="1"/>
  <c r="U130" i="4"/>
  <c r="AD139" i="5"/>
  <c r="X130" i="4"/>
  <c r="AI139" i="5"/>
  <c r="Y130" i="4"/>
  <c r="AJ139" i="5"/>
  <c r="Z130" i="4"/>
  <c r="AL139" i="5"/>
  <c r="L139" i="5"/>
  <c r="N139" i="5"/>
  <c r="O139" i="5"/>
  <c r="Z139" i="5"/>
  <c r="AN139" i="5"/>
  <c r="AG140" i="5"/>
  <c r="AF140" i="5"/>
  <c r="B131" i="4"/>
  <c r="C131" i="4"/>
  <c r="C140" i="5"/>
  <c r="D131" i="4"/>
  <c r="E140" i="5"/>
  <c r="E131" i="4"/>
  <c r="F140" i="5"/>
  <c r="F131" i="4"/>
  <c r="H140" i="5"/>
  <c r="I140" i="5"/>
  <c r="H131" i="4"/>
  <c r="K140" i="5"/>
  <c r="L131" i="4"/>
  <c r="Q140" i="5"/>
  <c r="M131" i="4"/>
  <c r="R140" i="5"/>
  <c r="T140" i="5"/>
  <c r="U140" i="5"/>
  <c r="P131" i="4"/>
  <c r="W140" i="5"/>
  <c r="Q131" i="4"/>
  <c r="X140" i="5"/>
  <c r="S131" i="4"/>
  <c r="AA140" i="5"/>
  <c r="AI131" i="4"/>
  <c r="T131" i="4" a="1"/>
  <c r="T131" i="4"/>
  <c r="AC140" i="5"/>
  <c r="U131" i="4" a="1"/>
  <c r="U131" i="4"/>
  <c r="AD140" i="5"/>
  <c r="X131" i="4"/>
  <c r="AI140" i="5"/>
  <c r="Y131" i="4"/>
  <c r="AJ140" i="5"/>
  <c r="Z131" i="4"/>
  <c r="AL140" i="5"/>
  <c r="L140" i="5"/>
  <c r="N140" i="5"/>
  <c r="O140" i="5"/>
  <c r="Z140" i="5"/>
  <c r="AN140" i="5"/>
  <c r="AG141" i="5"/>
  <c r="AF141" i="5"/>
  <c r="C132" i="4"/>
  <c r="C141" i="5"/>
  <c r="D132" i="4"/>
  <c r="E141" i="5"/>
  <c r="E132" i="4"/>
  <c r="F141" i="5"/>
  <c r="F132" i="4"/>
  <c r="H141" i="5"/>
  <c r="I141" i="5"/>
  <c r="H132" i="4"/>
  <c r="K141" i="5"/>
  <c r="L132" i="4"/>
  <c r="Q141" i="5"/>
  <c r="M132" i="4"/>
  <c r="R141" i="5"/>
  <c r="T141" i="5"/>
  <c r="O132" i="4"/>
  <c r="U141" i="5"/>
  <c r="P132" i="4"/>
  <c r="W141" i="5"/>
  <c r="Q132" i="4"/>
  <c r="X141" i="5"/>
  <c r="S132" i="4"/>
  <c r="AA141" i="5"/>
  <c r="AI132" i="4"/>
  <c r="T132" i="4" a="1"/>
  <c r="T132" i="4"/>
  <c r="AC141" i="5"/>
  <c r="U132" i="4" a="1"/>
  <c r="U132" i="4"/>
  <c r="AD141" i="5"/>
  <c r="X132" i="4"/>
  <c r="AI141" i="5"/>
  <c r="Y132" i="4"/>
  <c r="AJ141" i="5"/>
  <c r="Z132" i="4"/>
  <c r="AL141" i="5"/>
  <c r="L141" i="5"/>
  <c r="N141" i="5"/>
  <c r="O141" i="5"/>
  <c r="Z141" i="5"/>
  <c r="AN141" i="5"/>
  <c r="O142" i="5"/>
  <c r="K142" i="5"/>
  <c r="AG142" i="5"/>
  <c r="AF142" i="5"/>
  <c r="B133" i="4"/>
  <c r="C133" i="4"/>
  <c r="C142" i="5"/>
  <c r="D133" i="4"/>
  <c r="E142" i="5"/>
  <c r="I133" i="4"/>
  <c r="L142" i="5"/>
  <c r="J133" i="4"/>
  <c r="N142" i="5"/>
  <c r="L133" i="4"/>
  <c r="Q142" i="5"/>
  <c r="M133" i="4"/>
  <c r="R142" i="5"/>
  <c r="T142" i="5"/>
  <c r="U142" i="5"/>
  <c r="P133" i="4"/>
  <c r="W142" i="5"/>
  <c r="Q133" i="4"/>
  <c r="X142" i="5"/>
  <c r="AA142" i="5"/>
  <c r="AI133" i="4"/>
  <c r="T133" i="4" a="1"/>
  <c r="T133" i="4"/>
  <c r="AC142" i="5"/>
  <c r="U133" i="4" a="1"/>
  <c r="U133" i="4"/>
  <c r="AD142" i="5"/>
  <c r="X133" i="4"/>
  <c r="AI142" i="5"/>
  <c r="Y133" i="4"/>
  <c r="AJ142" i="5"/>
  <c r="Z133" i="4"/>
  <c r="AL142" i="5"/>
  <c r="F142" i="5"/>
  <c r="H142" i="5"/>
  <c r="I142" i="5"/>
  <c r="Z142" i="5"/>
  <c r="AN142" i="5"/>
  <c r="AG143" i="5"/>
  <c r="AF143" i="5"/>
  <c r="B134" i="4"/>
  <c r="C134" i="4"/>
  <c r="C143" i="5"/>
  <c r="D134" i="4"/>
  <c r="E143" i="5"/>
  <c r="H134" i="4"/>
  <c r="K143" i="5"/>
  <c r="L134" i="4"/>
  <c r="Q143" i="5"/>
  <c r="M134" i="4"/>
  <c r="R143" i="5"/>
  <c r="T143" i="5"/>
  <c r="U143" i="5"/>
  <c r="P134" i="4"/>
  <c r="W143" i="5"/>
  <c r="Q134" i="4"/>
  <c r="X143" i="5"/>
  <c r="S134" i="4"/>
  <c r="AA143" i="5"/>
  <c r="AI134" i="4"/>
  <c r="T134" i="4" a="1"/>
  <c r="T134" i="4"/>
  <c r="AC143" i="5"/>
  <c r="U134" i="4" a="1"/>
  <c r="U134" i="4"/>
  <c r="AD143" i="5"/>
  <c r="X134" i="4"/>
  <c r="AI143" i="5"/>
  <c r="Y134" i="4"/>
  <c r="AJ143" i="5"/>
  <c r="Z134" i="4"/>
  <c r="AL143" i="5"/>
  <c r="F143" i="5"/>
  <c r="H143" i="5"/>
  <c r="I143" i="5"/>
  <c r="L143" i="5"/>
  <c r="N143" i="5"/>
  <c r="O143" i="5"/>
  <c r="Z143" i="5"/>
  <c r="AN143" i="5"/>
  <c r="O144" i="5"/>
  <c r="H135" i="4"/>
  <c r="K144" i="5"/>
  <c r="AG144" i="5"/>
  <c r="AF144" i="5"/>
  <c r="C135" i="4"/>
  <c r="C144" i="5"/>
  <c r="D135" i="4"/>
  <c r="E144" i="5"/>
  <c r="E135" i="4"/>
  <c r="F144" i="5"/>
  <c r="F135" i="4"/>
  <c r="H144" i="5"/>
  <c r="I144" i="5"/>
  <c r="I30" i="2"/>
  <c r="I135" i="4"/>
  <c r="L144" i="5"/>
  <c r="J30" i="2"/>
  <c r="J135" i="4"/>
  <c r="N144" i="5"/>
  <c r="L135" i="4"/>
  <c r="Q144" i="5"/>
  <c r="M135" i="4"/>
  <c r="R144" i="5"/>
  <c r="T144" i="5"/>
  <c r="O135" i="4"/>
  <c r="U144" i="5"/>
  <c r="P135" i="4"/>
  <c r="W144" i="5"/>
  <c r="Q135" i="4"/>
  <c r="X144" i="5"/>
  <c r="AA144" i="5"/>
  <c r="AI135" i="4"/>
  <c r="T135" i="4" a="1"/>
  <c r="T135" i="4"/>
  <c r="AC144" i="5"/>
  <c r="U135" i="4" a="1"/>
  <c r="U135" i="4"/>
  <c r="AD144" i="5"/>
  <c r="X135" i="4"/>
  <c r="AI144" i="5"/>
  <c r="Y135" i="4"/>
  <c r="AJ144" i="5"/>
  <c r="Z135" i="4"/>
  <c r="AL144" i="5"/>
  <c r="Z144" i="5"/>
  <c r="AN144" i="5"/>
  <c r="AG145" i="5"/>
  <c r="AF145" i="5"/>
  <c r="B136" i="4"/>
  <c r="C136" i="4"/>
  <c r="C145" i="5"/>
  <c r="D136" i="4"/>
  <c r="E145" i="5"/>
  <c r="E136" i="4"/>
  <c r="F145" i="5"/>
  <c r="F136" i="4"/>
  <c r="H145" i="5"/>
  <c r="I145" i="5"/>
  <c r="H136" i="4"/>
  <c r="K145" i="5"/>
  <c r="L136" i="4"/>
  <c r="Q145" i="5"/>
  <c r="M136" i="4"/>
  <c r="R145" i="5"/>
  <c r="T145" i="5"/>
  <c r="O136" i="4"/>
  <c r="U145" i="5"/>
  <c r="P136" i="4"/>
  <c r="W145" i="5"/>
  <c r="Q136" i="4"/>
  <c r="X145" i="5"/>
  <c r="S136" i="4"/>
  <c r="AA145" i="5"/>
  <c r="AI136" i="4"/>
  <c r="T136" i="4" a="1"/>
  <c r="T136" i="4"/>
  <c r="AC145" i="5"/>
  <c r="U136" i="4" a="1"/>
  <c r="U136" i="4"/>
  <c r="AD145" i="5"/>
  <c r="X136" i="4"/>
  <c r="AI145" i="5"/>
  <c r="Y136" i="4"/>
  <c r="AJ145" i="5"/>
  <c r="Z136" i="4"/>
  <c r="AL145" i="5"/>
  <c r="L145" i="5"/>
  <c r="N145" i="5"/>
  <c r="O145" i="5"/>
  <c r="Z145" i="5"/>
  <c r="AN145" i="5"/>
  <c r="AG146" i="5"/>
  <c r="AF146" i="5"/>
  <c r="B137" i="4"/>
  <c r="C137" i="4"/>
  <c r="C146" i="5"/>
  <c r="D137" i="4"/>
  <c r="E146" i="5"/>
  <c r="E137" i="4"/>
  <c r="F146" i="5"/>
  <c r="F137" i="4"/>
  <c r="H146" i="5"/>
  <c r="I146" i="5"/>
  <c r="H137" i="4"/>
  <c r="K146" i="5"/>
  <c r="L137" i="4"/>
  <c r="Q146" i="5"/>
  <c r="M137" i="4"/>
  <c r="R146" i="5"/>
  <c r="T146" i="5"/>
  <c r="O137" i="4"/>
  <c r="U146" i="5"/>
  <c r="P137" i="4"/>
  <c r="W146" i="5"/>
  <c r="Q137" i="4"/>
  <c r="X146" i="5"/>
  <c r="S137" i="4"/>
  <c r="AA146" i="5"/>
  <c r="AI137" i="4"/>
  <c r="T137" i="4" a="1"/>
  <c r="T137" i="4"/>
  <c r="AC146" i="5"/>
  <c r="U137" i="4" a="1"/>
  <c r="U137" i="4"/>
  <c r="AD146" i="5"/>
  <c r="X137" i="4"/>
  <c r="AI146" i="5"/>
  <c r="Y137" i="4"/>
  <c r="AJ146" i="5"/>
  <c r="Z137" i="4"/>
  <c r="AL146" i="5"/>
  <c r="L146" i="5"/>
  <c r="N146" i="5"/>
  <c r="O146" i="5"/>
  <c r="Z146" i="5"/>
  <c r="AN146" i="5"/>
  <c r="O147" i="5"/>
  <c r="K147" i="5"/>
  <c r="AG147" i="5"/>
  <c r="AF147" i="5"/>
  <c r="B139" i="4"/>
  <c r="C139" i="4"/>
  <c r="C147" i="5"/>
  <c r="D139" i="4"/>
  <c r="E147" i="5"/>
  <c r="I139" i="4"/>
  <c r="L147" i="5"/>
  <c r="J139" i="4"/>
  <c r="N147" i="5"/>
  <c r="L139" i="4"/>
  <c r="Q147" i="5"/>
  <c r="M139" i="4"/>
  <c r="R147" i="5"/>
  <c r="T147" i="5"/>
  <c r="U147" i="5"/>
  <c r="P139" i="4"/>
  <c r="W147" i="5"/>
  <c r="Q139" i="4"/>
  <c r="X147" i="5"/>
  <c r="AA147" i="5"/>
  <c r="AI139" i="4"/>
  <c r="T139" i="4" a="1"/>
  <c r="T139" i="4"/>
  <c r="AC147" i="5"/>
  <c r="U139" i="4" a="1"/>
  <c r="U139" i="4"/>
  <c r="AD147" i="5"/>
  <c r="X139" i="4"/>
  <c r="AI147" i="5"/>
  <c r="Y139" i="4"/>
  <c r="AJ147" i="5"/>
  <c r="Z139" i="4"/>
  <c r="AL147" i="5"/>
  <c r="F147" i="5"/>
  <c r="H147" i="5"/>
  <c r="I147" i="5"/>
  <c r="Z147" i="5"/>
  <c r="AN147" i="5"/>
  <c r="O148" i="5"/>
  <c r="K148" i="5"/>
  <c r="AG148" i="5"/>
  <c r="AF148" i="5"/>
  <c r="B140" i="4"/>
  <c r="C140" i="4"/>
  <c r="C148" i="5"/>
  <c r="D140" i="4"/>
  <c r="E148" i="5"/>
  <c r="E140" i="4"/>
  <c r="F148" i="5"/>
  <c r="F140" i="4"/>
  <c r="H148" i="5"/>
  <c r="I148" i="5"/>
  <c r="I140" i="4"/>
  <c r="L148" i="5"/>
  <c r="J140" i="4"/>
  <c r="N148" i="5"/>
  <c r="L140" i="4"/>
  <c r="Q148" i="5"/>
  <c r="M140" i="4"/>
  <c r="R148" i="5"/>
  <c r="T148" i="5"/>
  <c r="U148" i="5"/>
  <c r="P140" i="4"/>
  <c r="W148" i="5"/>
  <c r="Q140" i="4"/>
  <c r="X148" i="5"/>
  <c r="S140" i="4"/>
  <c r="AA148" i="5"/>
  <c r="AI140" i="4"/>
  <c r="T140" i="4" a="1"/>
  <c r="T140" i="4"/>
  <c r="AC148" i="5"/>
  <c r="U140" i="4" a="1"/>
  <c r="U140" i="4"/>
  <c r="AD148" i="5"/>
  <c r="X140" i="4"/>
  <c r="AI148" i="5"/>
  <c r="Y140" i="4"/>
  <c r="AJ148" i="5"/>
  <c r="Z140" i="4"/>
  <c r="AL148" i="5"/>
  <c r="Z148" i="5"/>
  <c r="AN148" i="5"/>
  <c r="B141" i="4"/>
  <c r="S141" i="4"/>
  <c r="AA149" i="5"/>
  <c r="P141" i="4"/>
  <c r="W149" i="5"/>
  <c r="AG149" i="5"/>
  <c r="AF149" i="5"/>
  <c r="C141" i="4"/>
  <c r="C149" i="5"/>
  <c r="D141" i="4"/>
  <c r="E149" i="5"/>
  <c r="K149" i="5"/>
  <c r="L141" i="4"/>
  <c r="Q149" i="5"/>
  <c r="U149" i="5"/>
  <c r="Q141" i="4"/>
  <c r="X149" i="5"/>
  <c r="R141" i="4"/>
  <c r="Z149" i="5"/>
  <c r="AI141" i="4"/>
  <c r="T141" i="4" a="1"/>
  <c r="T141" i="4"/>
  <c r="AC149" i="5"/>
  <c r="U141" i="4" a="1"/>
  <c r="U141" i="4"/>
  <c r="AD149" i="5"/>
  <c r="X141" i="4"/>
  <c r="AI149" i="5"/>
  <c r="Y141" i="4"/>
  <c r="AJ149" i="5"/>
  <c r="Z141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142" i="4"/>
  <c r="C142" i="4"/>
  <c r="C150" i="5"/>
  <c r="D142" i="4"/>
  <c r="E150" i="5"/>
  <c r="E142" i="4"/>
  <c r="F150" i="5"/>
  <c r="F142" i="4"/>
  <c r="H150" i="5"/>
  <c r="I150" i="5"/>
  <c r="H142" i="4"/>
  <c r="K150" i="5"/>
  <c r="L142" i="4"/>
  <c r="Q150" i="5"/>
  <c r="M142" i="4"/>
  <c r="R150" i="5"/>
  <c r="T150" i="5"/>
  <c r="O142" i="4"/>
  <c r="U150" i="5"/>
  <c r="P142" i="4"/>
  <c r="W150" i="5"/>
  <c r="Q142" i="4"/>
  <c r="X150" i="5"/>
  <c r="AA150" i="5"/>
  <c r="AI142" i="4"/>
  <c r="T142" i="4" a="1"/>
  <c r="T142" i="4"/>
  <c r="AC150" i="5"/>
  <c r="U142" i="4" a="1"/>
  <c r="U142" i="4"/>
  <c r="AD150" i="5"/>
  <c r="X142" i="4"/>
  <c r="AI150" i="5"/>
  <c r="Y142" i="4"/>
  <c r="AJ150" i="5"/>
  <c r="Z142" i="4"/>
  <c r="AL150" i="5"/>
  <c r="L150" i="5"/>
  <c r="N150" i="5"/>
  <c r="O150" i="5"/>
  <c r="Z150" i="5"/>
  <c r="AN150" i="5"/>
  <c r="O151" i="5"/>
  <c r="B146" i="4"/>
  <c r="H146" i="4"/>
  <c r="K151" i="5"/>
  <c r="AG151" i="5"/>
  <c r="AF151" i="5"/>
  <c r="C146" i="4"/>
  <c r="C151" i="5"/>
  <c r="D146" i="4"/>
  <c r="E151" i="5"/>
  <c r="I40" i="2"/>
  <c r="I146" i="4"/>
  <c r="L151" i="5"/>
  <c r="J40" i="2"/>
  <c r="J146" i="4"/>
  <c r="N151" i="5"/>
  <c r="L146" i="4"/>
  <c r="Q151" i="5"/>
  <c r="M146" i="4"/>
  <c r="R151" i="5"/>
  <c r="T151" i="5"/>
  <c r="U151" i="5"/>
  <c r="P146" i="4"/>
  <c r="W151" i="5"/>
  <c r="Q146" i="4"/>
  <c r="X151" i="5"/>
  <c r="S146" i="4"/>
  <c r="AA151" i="5"/>
  <c r="AI146" i="4"/>
  <c r="T146" i="4" a="1"/>
  <c r="T146" i="4"/>
  <c r="AC151" i="5"/>
  <c r="U146" i="4" a="1"/>
  <c r="U146" i="4"/>
  <c r="AD151" i="5"/>
  <c r="X146" i="4"/>
  <c r="AI151" i="5"/>
  <c r="Y146" i="4"/>
  <c r="AJ151" i="5"/>
  <c r="Z146" i="4"/>
  <c r="AL151" i="5"/>
  <c r="F151" i="5"/>
  <c r="H151" i="5"/>
  <c r="I151" i="5"/>
  <c r="Z151" i="5"/>
  <c r="AN151" i="5"/>
  <c r="S34" i="2"/>
  <c r="B147" i="4"/>
  <c r="S147" i="4"/>
  <c r="AA152" i="5"/>
  <c r="P34" i="2"/>
  <c r="P147" i="4"/>
  <c r="W152" i="5"/>
  <c r="AG152" i="5"/>
  <c r="AF152" i="5"/>
  <c r="C34" i="2"/>
  <c r="C147" i="4"/>
  <c r="C152" i="5"/>
  <c r="D34" i="2"/>
  <c r="D147" i="4"/>
  <c r="E152" i="5"/>
  <c r="E34" i="2"/>
  <c r="E147" i="4"/>
  <c r="F152" i="5"/>
  <c r="F34" i="2"/>
  <c r="F147" i="4"/>
  <c r="H152" i="5"/>
  <c r="I152" i="5"/>
  <c r="K152" i="5"/>
  <c r="L34" i="2"/>
  <c r="L147" i="4"/>
  <c r="Q152" i="5"/>
  <c r="M34" i="2"/>
  <c r="M147" i="4"/>
  <c r="R152" i="5"/>
  <c r="T152" i="5"/>
  <c r="O34" i="2"/>
  <c r="O147" i="4"/>
  <c r="U152" i="5"/>
  <c r="Q34" i="2"/>
  <c r="Q147" i="4"/>
  <c r="X152" i="5"/>
  <c r="R34" i="2"/>
  <c r="R35" i="2"/>
  <c r="R147" i="4"/>
  <c r="Z152" i="5"/>
  <c r="AI147" i="4"/>
  <c r="T147" i="4" a="1"/>
  <c r="T147" i="4"/>
  <c r="AC152" i="5"/>
  <c r="U147" i="4" a="1"/>
  <c r="U147" i="4"/>
  <c r="AD152" i="5"/>
  <c r="X34" i="2"/>
  <c r="X147" i="4"/>
  <c r="AI152" i="5"/>
  <c r="Y34" i="2"/>
  <c r="Y147" i="4"/>
  <c r="AJ152" i="5"/>
  <c r="Z34" i="2"/>
  <c r="Z147" i="4"/>
  <c r="AL152" i="5"/>
  <c r="L152" i="5"/>
  <c r="N152" i="5"/>
  <c r="O152" i="5"/>
  <c r="AN152" i="5"/>
  <c r="O153" i="5"/>
  <c r="B149" i="4"/>
  <c r="H149" i="4"/>
  <c r="K153" i="5"/>
  <c r="AG153" i="5"/>
  <c r="AF153" i="5"/>
  <c r="C149" i="4"/>
  <c r="C153" i="5"/>
  <c r="D149" i="4"/>
  <c r="E153" i="5"/>
  <c r="I149" i="4"/>
  <c r="L153" i="5"/>
  <c r="J149" i="4"/>
  <c r="N153" i="5"/>
  <c r="L149" i="4"/>
  <c r="Q153" i="5"/>
  <c r="M149" i="4"/>
  <c r="R153" i="5"/>
  <c r="T153" i="5"/>
  <c r="U153" i="5"/>
  <c r="P149" i="4"/>
  <c r="W153" i="5"/>
  <c r="Q149" i="4"/>
  <c r="X153" i="5"/>
  <c r="S149" i="4"/>
  <c r="AA153" i="5"/>
  <c r="AI149" i="4"/>
  <c r="T149" i="4" a="1"/>
  <c r="T149" i="4"/>
  <c r="AC153" i="5"/>
  <c r="U149" i="4" a="1"/>
  <c r="U149" i="4"/>
  <c r="AD153" i="5"/>
  <c r="X149" i="4"/>
  <c r="AI153" i="5"/>
  <c r="Y149" i="4"/>
  <c r="AJ153" i="5"/>
  <c r="Z149" i="4"/>
  <c r="AL153" i="5"/>
  <c r="F153" i="5"/>
  <c r="H153" i="5"/>
  <c r="I153" i="5"/>
  <c r="Z153" i="5"/>
  <c r="AN153" i="5"/>
  <c r="AG154" i="5"/>
  <c r="AF154" i="5"/>
  <c r="B150" i="4"/>
  <c r="C150" i="4"/>
  <c r="C154" i="5"/>
  <c r="D150" i="4"/>
  <c r="E154" i="5"/>
  <c r="H150" i="4"/>
  <c r="K154" i="5"/>
  <c r="L150" i="4"/>
  <c r="Q154" i="5"/>
  <c r="M150" i="4"/>
  <c r="R154" i="5"/>
  <c r="T154" i="5"/>
  <c r="O150" i="4"/>
  <c r="U154" i="5"/>
  <c r="P150" i="4"/>
  <c r="W154" i="5"/>
  <c r="Q150" i="4"/>
  <c r="X154" i="5"/>
  <c r="AA154" i="5"/>
  <c r="AI150" i="4"/>
  <c r="T150" i="4" a="1"/>
  <c r="T150" i="4"/>
  <c r="AC154" i="5"/>
  <c r="U150" i="4" a="1"/>
  <c r="U150" i="4"/>
  <c r="AD154" i="5"/>
  <c r="X150" i="4"/>
  <c r="AI154" i="5"/>
  <c r="Y150" i="4"/>
  <c r="AJ154" i="5"/>
  <c r="Z150" i="4"/>
  <c r="AL154" i="5"/>
  <c r="F154" i="5"/>
  <c r="H154" i="5"/>
  <c r="I154" i="5"/>
  <c r="L154" i="5"/>
  <c r="N154" i="5"/>
  <c r="O154" i="5"/>
  <c r="Z154" i="5"/>
  <c r="AN154" i="5"/>
  <c r="AG155" i="5"/>
  <c r="AF155" i="5"/>
  <c r="B151" i="4"/>
  <c r="C151" i="4"/>
  <c r="C155" i="5"/>
  <c r="D151" i="4"/>
  <c r="E155" i="5"/>
  <c r="E151" i="4"/>
  <c r="F155" i="5"/>
  <c r="F151" i="4"/>
  <c r="H155" i="5"/>
  <c r="I155" i="5"/>
  <c r="H151" i="4"/>
  <c r="K155" i="5"/>
  <c r="L151" i="4"/>
  <c r="Q155" i="5"/>
  <c r="M151" i="4"/>
  <c r="R155" i="5"/>
  <c r="T155" i="5"/>
  <c r="O151" i="4"/>
  <c r="U155" i="5"/>
  <c r="P151" i="4"/>
  <c r="W155" i="5"/>
  <c r="Q151" i="4"/>
  <c r="X155" i="5"/>
  <c r="S151" i="4"/>
  <c r="AA155" i="5"/>
  <c r="AI151" i="4"/>
  <c r="T151" i="4" a="1"/>
  <c r="T151" i="4"/>
  <c r="AC155" i="5"/>
  <c r="U151" i="4" a="1"/>
  <c r="U151" i="4"/>
  <c r="AD155" i="5"/>
  <c r="X151" i="4"/>
  <c r="AI155" i="5"/>
  <c r="Y151" i="4"/>
  <c r="AJ155" i="5"/>
  <c r="Z151" i="4"/>
  <c r="AL155" i="5"/>
  <c r="L155" i="5"/>
  <c r="N155" i="5"/>
  <c r="O155" i="5"/>
  <c r="Z155" i="5"/>
  <c r="AN155" i="5"/>
  <c r="AA156" i="5"/>
  <c r="B152" i="4"/>
  <c r="P152" i="4"/>
  <c r="W156" i="5"/>
  <c r="O156" i="5"/>
  <c r="H152" i="4"/>
  <c r="K156" i="5"/>
  <c r="AG156" i="5"/>
  <c r="AF156" i="5"/>
  <c r="C152" i="4"/>
  <c r="C156" i="5"/>
  <c r="D152" i="4"/>
  <c r="E156" i="5"/>
  <c r="I152" i="4"/>
  <c r="L156" i="5"/>
  <c r="J152" i="4"/>
  <c r="N156" i="5"/>
  <c r="L152" i="4"/>
  <c r="Q156" i="5"/>
  <c r="M152" i="4"/>
  <c r="R156" i="5"/>
  <c r="T156" i="5"/>
  <c r="O152" i="4"/>
  <c r="U156" i="5"/>
  <c r="Q152" i="4"/>
  <c r="X156" i="5"/>
  <c r="R40" i="2"/>
  <c r="R152" i="4"/>
  <c r="Z156" i="5"/>
  <c r="AI152" i="4"/>
  <c r="T152" i="4" a="1"/>
  <c r="T152" i="4"/>
  <c r="AC156" i="5"/>
  <c r="U152" i="4" a="1"/>
  <c r="U152" i="4"/>
  <c r="AD156" i="5"/>
  <c r="X152" i="4"/>
  <c r="AI156" i="5"/>
  <c r="Y152" i="4"/>
  <c r="AJ156" i="5"/>
  <c r="Z152" i="4"/>
  <c r="AL156" i="5"/>
  <c r="F156" i="5"/>
  <c r="H156" i="5"/>
  <c r="I156" i="5"/>
  <c r="AN156" i="5"/>
  <c r="AG157" i="5"/>
  <c r="AF157" i="5"/>
  <c r="B153" i="4"/>
  <c r="C153" i="4"/>
  <c r="C157" i="5"/>
  <c r="D153" i="4"/>
  <c r="E157" i="5"/>
  <c r="H153" i="4"/>
  <c r="K157" i="5"/>
  <c r="L153" i="4"/>
  <c r="Q157" i="5"/>
  <c r="M153" i="4"/>
  <c r="R157" i="5"/>
  <c r="T157" i="5"/>
  <c r="U157" i="5"/>
  <c r="P153" i="4"/>
  <c r="W157" i="5"/>
  <c r="Q153" i="4"/>
  <c r="X157" i="5"/>
  <c r="S153" i="4"/>
  <c r="AA157" i="5"/>
  <c r="AI153" i="4"/>
  <c r="T153" i="4" a="1"/>
  <c r="T153" i="4"/>
  <c r="AC157" i="5"/>
  <c r="U153" i="4" a="1"/>
  <c r="U153" i="4"/>
  <c r="AD157" i="5"/>
  <c r="X153" i="4"/>
  <c r="AI157" i="5"/>
  <c r="Y153" i="4"/>
  <c r="AJ157" i="5"/>
  <c r="Z153" i="4"/>
  <c r="AL157" i="5"/>
  <c r="F157" i="5"/>
  <c r="H157" i="5"/>
  <c r="I157" i="5"/>
  <c r="L157" i="5"/>
  <c r="N157" i="5"/>
  <c r="O157" i="5"/>
  <c r="Z157" i="5"/>
  <c r="AN157" i="5"/>
  <c r="AG158" i="5"/>
  <c r="AF158" i="5"/>
  <c r="B154" i="4"/>
  <c r="C154" i="4"/>
  <c r="C158" i="5"/>
  <c r="D154" i="4"/>
  <c r="E158" i="5"/>
  <c r="E154" i="4"/>
  <c r="F158" i="5"/>
  <c r="F154" i="4"/>
  <c r="H158" i="5"/>
  <c r="I158" i="5"/>
  <c r="H154" i="4"/>
  <c r="K158" i="5"/>
  <c r="L154" i="4"/>
  <c r="Q158" i="5"/>
  <c r="M154" i="4"/>
  <c r="R158" i="5"/>
  <c r="T158" i="5"/>
  <c r="O154" i="4"/>
  <c r="U158" i="5"/>
  <c r="P154" i="4"/>
  <c r="W158" i="5"/>
  <c r="Q154" i="4"/>
  <c r="X158" i="5"/>
  <c r="S154" i="4"/>
  <c r="AA158" i="5"/>
  <c r="AI154" i="4"/>
  <c r="T154" i="4" a="1"/>
  <c r="T154" i="4"/>
  <c r="AC158" i="5"/>
  <c r="U154" i="4" a="1"/>
  <c r="U154" i="4"/>
  <c r="AD158" i="5"/>
  <c r="X154" i="4"/>
  <c r="AI158" i="5"/>
  <c r="Y154" i="4"/>
  <c r="AJ158" i="5"/>
  <c r="Z154" i="4"/>
  <c r="AL158" i="5"/>
  <c r="L158" i="5"/>
  <c r="N158" i="5"/>
  <c r="O158" i="5"/>
  <c r="Z158" i="5"/>
  <c r="AN158" i="5"/>
  <c r="AG159" i="5"/>
  <c r="AF159" i="5"/>
  <c r="B155" i="4"/>
  <c r="C155" i="4"/>
  <c r="C159" i="5"/>
  <c r="D155" i="4"/>
  <c r="E159" i="5"/>
  <c r="E155" i="4"/>
  <c r="F159" i="5"/>
  <c r="F155" i="4"/>
  <c r="H159" i="5"/>
  <c r="I159" i="5"/>
  <c r="H155" i="4"/>
  <c r="K159" i="5"/>
  <c r="L155" i="4"/>
  <c r="Q159" i="5"/>
  <c r="M155" i="4"/>
  <c r="R159" i="5"/>
  <c r="T159" i="5"/>
  <c r="O155" i="4"/>
  <c r="U159" i="5"/>
  <c r="P155" i="4"/>
  <c r="W159" i="5"/>
  <c r="Q155" i="4"/>
  <c r="X159" i="5"/>
  <c r="S155" i="4"/>
  <c r="AA159" i="5"/>
  <c r="AI155" i="4"/>
  <c r="T155" i="4" a="1"/>
  <c r="T155" i="4"/>
  <c r="AC159" i="5"/>
  <c r="U155" i="4" a="1"/>
  <c r="U155" i="4"/>
  <c r="AD159" i="5"/>
  <c r="X155" i="4"/>
  <c r="AI159" i="5"/>
  <c r="Y155" i="4"/>
  <c r="AJ159" i="5"/>
  <c r="Z155" i="4"/>
  <c r="AL159" i="5"/>
  <c r="L159" i="5"/>
  <c r="N159" i="5"/>
  <c r="O159" i="5"/>
  <c r="Z159" i="5"/>
  <c r="AN159" i="5"/>
  <c r="AG160" i="5"/>
  <c r="AF160" i="5"/>
  <c r="B156" i="4"/>
  <c r="C156" i="4"/>
  <c r="C160" i="5"/>
  <c r="D156" i="4"/>
  <c r="E160" i="5"/>
  <c r="E156" i="4"/>
  <c r="F160" i="5"/>
  <c r="F156" i="4"/>
  <c r="H160" i="5"/>
  <c r="I160" i="5"/>
  <c r="H156" i="4"/>
  <c r="K160" i="5"/>
  <c r="L156" i="4"/>
  <c r="Q160" i="5"/>
  <c r="M156" i="4"/>
  <c r="R160" i="5"/>
  <c r="T160" i="5"/>
  <c r="O156" i="4"/>
  <c r="U160" i="5"/>
  <c r="P156" i="4"/>
  <c r="W160" i="5"/>
  <c r="Q156" i="4"/>
  <c r="X160" i="5"/>
  <c r="S156" i="4"/>
  <c r="AA160" i="5"/>
  <c r="AI156" i="4"/>
  <c r="T156" i="4" a="1"/>
  <c r="T156" i="4"/>
  <c r="AC160" i="5"/>
  <c r="U156" i="4" a="1"/>
  <c r="U156" i="4"/>
  <c r="AD160" i="5"/>
  <c r="X156" i="4"/>
  <c r="AI160" i="5"/>
  <c r="Y156" i="4"/>
  <c r="AJ160" i="5"/>
  <c r="Z156" i="4"/>
  <c r="AL160" i="5"/>
  <c r="L160" i="5"/>
  <c r="N160" i="5"/>
  <c r="O160" i="5"/>
  <c r="Z160" i="5"/>
  <c r="AN160" i="5"/>
  <c r="AG161" i="5"/>
  <c r="AF161" i="5"/>
  <c r="B157" i="4"/>
  <c r="C157" i="4"/>
  <c r="C161" i="5"/>
  <c r="D157" i="4"/>
  <c r="E161" i="5"/>
  <c r="H157" i="4"/>
  <c r="K161" i="5"/>
  <c r="L157" i="4"/>
  <c r="Q161" i="5"/>
  <c r="M157" i="4"/>
  <c r="R161" i="5"/>
  <c r="N27" i="2"/>
  <c r="N157" i="4"/>
  <c r="T161" i="5"/>
  <c r="O157" i="4"/>
  <c r="U161" i="5"/>
  <c r="P157" i="4"/>
  <c r="W161" i="5"/>
  <c r="Q157" i="4"/>
  <c r="X161" i="5"/>
  <c r="AA161" i="5"/>
  <c r="AI157" i="4"/>
  <c r="T157" i="4" a="1"/>
  <c r="T157" i="4"/>
  <c r="AC161" i="5"/>
  <c r="U157" i="4" a="1"/>
  <c r="U157" i="4"/>
  <c r="AD161" i="5"/>
  <c r="X157" i="4"/>
  <c r="AI161" i="5"/>
  <c r="Y157" i="4"/>
  <c r="AJ161" i="5"/>
  <c r="Z157" i="4"/>
  <c r="AL161" i="5"/>
  <c r="F161" i="5"/>
  <c r="H161" i="5"/>
  <c r="I161" i="5"/>
  <c r="L161" i="5"/>
  <c r="N161" i="5"/>
  <c r="O161" i="5"/>
  <c r="Z161" i="5"/>
  <c r="AN161" i="5"/>
  <c r="AG162" i="5"/>
  <c r="AF162" i="5"/>
  <c r="B158" i="4"/>
  <c r="C158" i="4"/>
  <c r="C162" i="5"/>
  <c r="D158" i="4"/>
  <c r="E162" i="5"/>
  <c r="H158" i="4"/>
  <c r="K162" i="5"/>
  <c r="L158" i="4"/>
  <c r="Q162" i="5"/>
  <c r="M158" i="4"/>
  <c r="R162" i="5"/>
  <c r="T162" i="5"/>
  <c r="U162" i="5"/>
  <c r="P158" i="4"/>
  <c r="W162" i="5"/>
  <c r="Q158" i="4"/>
  <c r="X162" i="5"/>
  <c r="AA162" i="5"/>
  <c r="AI158" i="4"/>
  <c r="T158" i="4" a="1"/>
  <c r="T158" i="4"/>
  <c r="AC162" i="5"/>
  <c r="U158" i="4" a="1"/>
  <c r="U158" i="4"/>
  <c r="AD162" i="5"/>
  <c r="Y158" i="4"/>
  <c r="AJ162" i="5"/>
  <c r="Z158" i="4"/>
  <c r="AL162" i="5"/>
  <c r="F162" i="5"/>
  <c r="H162" i="5"/>
  <c r="I162" i="5"/>
  <c r="L162" i="5"/>
  <c r="N162" i="5"/>
  <c r="O162" i="5"/>
  <c r="Z162" i="5"/>
  <c r="AN162" i="5"/>
  <c r="AG163" i="5"/>
  <c r="AF163" i="5"/>
  <c r="B161" i="4"/>
  <c r="C161" i="4"/>
  <c r="C163" i="5"/>
  <c r="D161" i="4"/>
  <c r="E163" i="5"/>
  <c r="H161" i="4"/>
  <c r="K163" i="5"/>
  <c r="L161" i="4"/>
  <c r="Q163" i="5"/>
  <c r="M161" i="4"/>
  <c r="R163" i="5"/>
  <c r="T163" i="5"/>
  <c r="O161" i="4"/>
  <c r="U163" i="5"/>
  <c r="P161" i="4"/>
  <c r="W163" i="5"/>
  <c r="Q161" i="4"/>
  <c r="X163" i="5"/>
  <c r="S161" i="4"/>
  <c r="AA163" i="5"/>
  <c r="AI161" i="4"/>
  <c r="T161" i="4" a="1"/>
  <c r="T161" i="4"/>
  <c r="AC163" i="5"/>
  <c r="U161" i="4" a="1"/>
  <c r="U161" i="4"/>
  <c r="AD163" i="5"/>
  <c r="X161" i="4"/>
  <c r="AI163" i="5"/>
  <c r="Y161" i="4"/>
  <c r="AJ163" i="5"/>
  <c r="Z161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162" i="4"/>
  <c r="C162" i="4"/>
  <c r="C164" i="5"/>
  <c r="D162" i="4"/>
  <c r="E164" i="5"/>
  <c r="E162" i="4"/>
  <c r="F164" i="5"/>
  <c r="F162" i="4"/>
  <c r="H164" i="5"/>
  <c r="I164" i="5"/>
  <c r="I18" i="2"/>
  <c r="I162" i="4"/>
  <c r="L164" i="5"/>
  <c r="J18" i="2"/>
  <c r="J162" i="4"/>
  <c r="N164" i="5"/>
  <c r="L162" i="4"/>
  <c r="Q164" i="5"/>
  <c r="M162" i="4"/>
  <c r="R164" i="5"/>
  <c r="T164" i="5"/>
  <c r="O162" i="4"/>
  <c r="U164" i="5"/>
  <c r="P162" i="4"/>
  <c r="W164" i="5"/>
  <c r="Q162" i="4"/>
  <c r="X164" i="5"/>
  <c r="S162" i="4"/>
  <c r="AA164" i="5"/>
  <c r="AI162" i="4"/>
  <c r="T162" i="4" a="1"/>
  <c r="T162" i="4"/>
  <c r="AC164" i="5"/>
  <c r="U162" i="4" a="1"/>
  <c r="U162" i="4"/>
  <c r="AD164" i="5"/>
  <c r="X162" i="4"/>
  <c r="AI164" i="5"/>
  <c r="Y162" i="4"/>
  <c r="AJ164" i="5"/>
  <c r="Z162" i="4"/>
  <c r="AL164" i="5"/>
  <c r="Z164" i="5"/>
  <c r="AN164" i="5"/>
  <c r="O165" i="5"/>
  <c r="B163" i="4"/>
  <c r="H163" i="4"/>
  <c r="K165" i="5"/>
  <c r="AG165" i="5"/>
  <c r="AF165" i="5"/>
  <c r="C163" i="4"/>
  <c r="C165" i="5"/>
  <c r="D163" i="4"/>
  <c r="E165" i="5"/>
  <c r="E15" i="2"/>
  <c r="E163" i="4"/>
  <c r="F165" i="5"/>
  <c r="F15" i="2"/>
  <c r="F163" i="4"/>
  <c r="H165" i="5"/>
  <c r="I165" i="5"/>
  <c r="L165" i="5"/>
  <c r="J15" i="2"/>
  <c r="J163" i="4"/>
  <c r="N165" i="5"/>
  <c r="L163" i="4"/>
  <c r="Q165" i="5"/>
  <c r="M163" i="4"/>
  <c r="R165" i="5"/>
  <c r="T165" i="5"/>
  <c r="O163" i="4"/>
  <c r="U165" i="5"/>
  <c r="P163" i="4"/>
  <c r="W165" i="5"/>
  <c r="Q163" i="4"/>
  <c r="X165" i="5"/>
  <c r="S163" i="4"/>
  <c r="AA165" i="5"/>
  <c r="AI163" i="4"/>
  <c r="T163" i="4" a="1"/>
  <c r="T163" i="4"/>
  <c r="AC165" i="5"/>
  <c r="U163" i="4" a="1"/>
  <c r="U163" i="4"/>
  <c r="AD165" i="5"/>
  <c r="X163" i="4"/>
  <c r="AI165" i="5"/>
  <c r="Y163" i="4"/>
  <c r="AJ165" i="5"/>
  <c r="Z163" i="4"/>
  <c r="AL165" i="5"/>
  <c r="Z165" i="5"/>
  <c r="AN165" i="5"/>
  <c r="O166" i="5"/>
  <c r="B164" i="4"/>
  <c r="H164" i="4"/>
  <c r="K166" i="5"/>
  <c r="AG166" i="5"/>
  <c r="AF166" i="5"/>
  <c r="C164" i="4"/>
  <c r="C166" i="5"/>
  <c r="D164" i="4"/>
  <c r="E166" i="5"/>
  <c r="E164" i="4"/>
  <c r="F166" i="5"/>
  <c r="F164" i="4"/>
  <c r="H166" i="5"/>
  <c r="I166" i="5"/>
  <c r="I16" i="2"/>
  <c r="I164" i="4"/>
  <c r="L166" i="5"/>
  <c r="J16" i="2"/>
  <c r="J164" i="4"/>
  <c r="N166" i="5"/>
  <c r="L164" i="4"/>
  <c r="Q166" i="5"/>
  <c r="M164" i="4"/>
  <c r="R166" i="5"/>
  <c r="T166" i="5"/>
  <c r="O164" i="4"/>
  <c r="U166" i="5"/>
  <c r="P164" i="4"/>
  <c r="W166" i="5"/>
  <c r="Q164" i="4"/>
  <c r="X166" i="5"/>
  <c r="AA166" i="5"/>
  <c r="AI164" i="4"/>
  <c r="T164" i="4" a="1"/>
  <c r="T164" i="4"/>
  <c r="AC166" i="5"/>
  <c r="U164" i="4" a="1"/>
  <c r="U164" i="4"/>
  <c r="AD166" i="5"/>
  <c r="AI166" i="5"/>
  <c r="Y164" i="4"/>
  <c r="AJ166" i="5"/>
  <c r="Z164" i="4"/>
  <c r="AL166" i="5"/>
  <c r="Z166" i="5"/>
  <c r="AN166" i="5"/>
  <c r="AG167" i="5"/>
  <c r="AF167" i="5"/>
  <c r="B168" i="4"/>
  <c r="C168" i="4"/>
  <c r="C167" i="5"/>
  <c r="D168" i="4"/>
  <c r="E167" i="5"/>
  <c r="K167" i="5"/>
  <c r="L168" i="4"/>
  <c r="Q167" i="5"/>
  <c r="M168" i="4"/>
  <c r="R167" i="5"/>
  <c r="T167" i="5"/>
  <c r="U167" i="5"/>
  <c r="P168" i="4"/>
  <c r="W167" i="5"/>
  <c r="Q168" i="4"/>
  <c r="X167" i="5"/>
  <c r="S168" i="4"/>
  <c r="AA167" i="5"/>
  <c r="AI168" i="4"/>
  <c r="T168" i="4" a="1"/>
  <c r="T168" i="4"/>
  <c r="AC167" i="5"/>
  <c r="U168" i="4" a="1"/>
  <c r="U168" i="4"/>
  <c r="AD167" i="5"/>
  <c r="X168" i="4"/>
  <c r="AI167" i="5"/>
  <c r="Y168" i="4"/>
  <c r="AJ167" i="5"/>
  <c r="Z168" i="4"/>
  <c r="AL167" i="5"/>
  <c r="F167" i="5"/>
  <c r="H167" i="5"/>
  <c r="I167" i="5"/>
  <c r="L167" i="5"/>
  <c r="N167" i="5"/>
  <c r="O167" i="5"/>
  <c r="Z167" i="5"/>
  <c r="AN167" i="5"/>
  <c r="AG168" i="5"/>
  <c r="AF168" i="5"/>
  <c r="B169" i="4"/>
  <c r="C169" i="4"/>
  <c r="C168" i="5"/>
  <c r="D169" i="4"/>
  <c r="E168" i="5"/>
  <c r="K168" i="5"/>
  <c r="L169" i="4"/>
  <c r="Q168" i="5"/>
  <c r="M169" i="4"/>
  <c r="R168" i="5"/>
  <c r="T168" i="5"/>
  <c r="U168" i="5"/>
  <c r="P169" i="4"/>
  <c r="W168" i="5"/>
  <c r="Q169" i="4"/>
  <c r="X168" i="5"/>
  <c r="S169" i="4"/>
  <c r="AA168" i="5"/>
  <c r="AI169" i="4"/>
  <c r="T169" i="4" a="1"/>
  <c r="T169" i="4"/>
  <c r="AC168" i="5"/>
  <c r="U169" i="4" a="1"/>
  <c r="U169" i="4"/>
  <c r="AD168" i="5"/>
  <c r="X169" i="4"/>
  <c r="AI168" i="5"/>
  <c r="Y169" i="4"/>
  <c r="AJ168" i="5"/>
  <c r="Z169" i="4"/>
  <c r="AL168" i="5"/>
  <c r="F168" i="5"/>
  <c r="H168" i="5"/>
  <c r="I168" i="5"/>
  <c r="L168" i="5"/>
  <c r="N168" i="5"/>
  <c r="O168" i="5"/>
  <c r="Z168" i="5"/>
  <c r="AN168" i="5"/>
  <c r="AG169" i="5"/>
  <c r="AF169" i="5"/>
  <c r="B170" i="4"/>
  <c r="C170" i="4"/>
  <c r="C169" i="5"/>
  <c r="E169" i="5"/>
  <c r="K169" i="5"/>
  <c r="L170" i="4"/>
  <c r="Q169" i="5"/>
  <c r="M170" i="4"/>
  <c r="R169" i="5"/>
  <c r="T169" i="5"/>
  <c r="O170" i="4"/>
  <c r="U169" i="5"/>
  <c r="P170" i="4"/>
  <c r="W169" i="5"/>
  <c r="Q170" i="4"/>
  <c r="X169" i="5"/>
  <c r="S170" i="4"/>
  <c r="AA169" i="5"/>
  <c r="AI170" i="4"/>
  <c r="T170" i="4" a="1"/>
  <c r="T170" i="4"/>
  <c r="AC169" i="5"/>
  <c r="U170" i="4" a="1"/>
  <c r="U170" i="4"/>
  <c r="AD169" i="5"/>
  <c r="X170" i="4"/>
  <c r="AI169" i="5"/>
  <c r="Y170" i="4"/>
  <c r="AJ169" i="5"/>
  <c r="Z170" i="4"/>
  <c r="AL169" i="5"/>
  <c r="F169" i="5"/>
  <c r="H169" i="5"/>
  <c r="I169" i="5"/>
  <c r="L169" i="5"/>
  <c r="N169" i="5"/>
  <c r="O169" i="5"/>
  <c r="Z169" i="5"/>
  <c r="AN169" i="5"/>
  <c r="AG170" i="5"/>
  <c r="AF170" i="5"/>
  <c r="B171" i="4"/>
  <c r="C171" i="4"/>
  <c r="C170" i="5"/>
  <c r="D171" i="4"/>
  <c r="E170" i="5"/>
  <c r="H171" i="4"/>
  <c r="K170" i="5"/>
  <c r="L171" i="4"/>
  <c r="Q170" i="5"/>
  <c r="M171" i="4"/>
  <c r="R170" i="5"/>
  <c r="T170" i="5"/>
  <c r="O171" i="4"/>
  <c r="U170" i="5"/>
  <c r="P171" i="4"/>
  <c r="W170" i="5"/>
  <c r="Q171" i="4"/>
  <c r="X170" i="5"/>
  <c r="S171" i="4"/>
  <c r="AA170" i="5"/>
  <c r="AI171" i="4"/>
  <c r="T171" i="4" a="1"/>
  <c r="T171" i="4"/>
  <c r="AC170" i="5"/>
  <c r="U171" i="4" a="1"/>
  <c r="U171" i="4"/>
  <c r="AD170" i="5"/>
  <c r="X171" i="4"/>
  <c r="AI170" i="5"/>
  <c r="Y171" i="4"/>
  <c r="AJ170" i="5"/>
  <c r="Z171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173" i="4"/>
  <c r="C173" i="4"/>
  <c r="C172" i="5"/>
  <c r="D173" i="4"/>
  <c r="E172" i="5"/>
  <c r="K172" i="5"/>
  <c r="L173" i="4"/>
  <c r="Q172" i="5"/>
  <c r="M173" i="4"/>
  <c r="R172" i="5"/>
  <c r="T172" i="5"/>
  <c r="U172" i="5"/>
  <c r="P173" i="4"/>
  <c r="W172" i="5"/>
  <c r="Q173" i="4"/>
  <c r="X172" i="5"/>
  <c r="AA172" i="5"/>
  <c r="AI173" i="4"/>
  <c r="T173" i="4" a="1"/>
  <c r="T173" i="4"/>
  <c r="AC172" i="5"/>
  <c r="U173" i="4" a="1"/>
  <c r="U173" i="4"/>
  <c r="AD172" i="5"/>
  <c r="AI172" i="5"/>
  <c r="Y173" i="4"/>
  <c r="AJ172" i="5"/>
  <c r="Z173" i="4"/>
  <c r="AL172" i="5"/>
  <c r="F172" i="5"/>
  <c r="H172" i="5"/>
  <c r="I172" i="5"/>
  <c r="L172" i="5"/>
  <c r="N172" i="5"/>
  <c r="O172" i="5"/>
  <c r="Z172" i="5"/>
  <c r="AN172" i="5"/>
  <c r="B174" i="4"/>
  <c r="S174" i="4"/>
  <c r="AA173" i="5"/>
  <c r="P174" i="4"/>
  <c r="W173" i="5"/>
  <c r="O173" i="5"/>
  <c r="K173" i="5"/>
  <c r="AG173" i="5"/>
  <c r="AF173" i="5"/>
  <c r="C174" i="4"/>
  <c r="C173" i="5"/>
  <c r="D174" i="4"/>
  <c r="E173" i="5"/>
  <c r="E174" i="4"/>
  <c r="F173" i="5"/>
  <c r="F174" i="4"/>
  <c r="H173" i="5"/>
  <c r="I173" i="5"/>
  <c r="L174" i="4"/>
  <c r="Q173" i="5"/>
  <c r="M174" i="4"/>
  <c r="R173" i="5"/>
  <c r="T173" i="5"/>
  <c r="O174" i="4"/>
  <c r="U173" i="5"/>
  <c r="Q174" i="4"/>
  <c r="X173" i="5"/>
  <c r="R18" i="2"/>
  <c r="R174" i="4"/>
  <c r="Z173" i="5"/>
  <c r="AI174" i="4"/>
  <c r="T174" i="4" a="1"/>
  <c r="T174" i="4"/>
  <c r="AC173" i="5"/>
  <c r="U174" i="4" a="1"/>
  <c r="U174" i="4"/>
  <c r="AD173" i="5"/>
  <c r="X174" i="4"/>
  <c r="AI173" i="5"/>
  <c r="Y174" i="4"/>
  <c r="AJ173" i="5"/>
  <c r="Z174" i="4"/>
  <c r="AL173" i="5"/>
  <c r="AN173" i="5"/>
  <c r="B175" i="4"/>
  <c r="S175" i="4"/>
  <c r="AA174" i="5"/>
  <c r="P175" i="4"/>
  <c r="W174" i="5"/>
  <c r="O174" i="5"/>
  <c r="H2" i="2"/>
  <c r="H175" i="4"/>
  <c r="K174" i="5"/>
  <c r="AG174" i="5"/>
  <c r="AF174" i="5"/>
  <c r="C175" i="4"/>
  <c r="C174" i="5"/>
  <c r="D175" i="4"/>
  <c r="E174" i="5"/>
  <c r="E2" i="2"/>
  <c r="E175" i="4"/>
  <c r="F174" i="5"/>
  <c r="F2" i="2"/>
  <c r="F175" i="4"/>
  <c r="H174" i="5"/>
  <c r="I174" i="5"/>
  <c r="I2" i="2"/>
  <c r="I175" i="4"/>
  <c r="L174" i="5"/>
  <c r="J2" i="2"/>
  <c r="J175" i="4"/>
  <c r="N174" i="5"/>
  <c r="L175" i="4"/>
  <c r="Q174" i="5"/>
  <c r="M175" i="4"/>
  <c r="R174" i="5"/>
  <c r="T174" i="5"/>
  <c r="U174" i="5"/>
  <c r="Q175" i="4"/>
  <c r="X174" i="5"/>
  <c r="R2" i="2"/>
  <c r="R175" i="4"/>
  <c r="Z174" i="5"/>
  <c r="AI175" i="4"/>
  <c r="T175" i="4" a="1"/>
  <c r="T175" i="4"/>
  <c r="AC174" i="5"/>
  <c r="U175" i="4" a="1"/>
  <c r="U175" i="4"/>
  <c r="AD174" i="5"/>
  <c r="X175" i="4"/>
  <c r="AI174" i="5"/>
  <c r="Y175" i="4"/>
  <c r="AJ174" i="5"/>
  <c r="Z175" i="4"/>
  <c r="AL174" i="5"/>
  <c r="AN174" i="5"/>
  <c r="AA175" i="5"/>
  <c r="B176" i="4"/>
  <c r="P176" i="4"/>
  <c r="W175" i="5"/>
  <c r="O175" i="5"/>
  <c r="K175" i="5"/>
  <c r="AG175" i="5"/>
  <c r="AF175" i="5"/>
  <c r="C176" i="4"/>
  <c r="C175" i="5"/>
  <c r="D176" i="4"/>
  <c r="E175" i="5"/>
  <c r="L175" i="5"/>
  <c r="N175" i="5"/>
  <c r="L176" i="4"/>
  <c r="Q175" i="5"/>
  <c r="O176" i="4"/>
  <c r="U175" i="5"/>
  <c r="Q176" i="4"/>
  <c r="X175" i="5"/>
  <c r="R176" i="4"/>
  <c r="Z175" i="5"/>
  <c r="AI176" i="4"/>
  <c r="T176" i="4" a="1"/>
  <c r="T176" i="4"/>
  <c r="AC175" i="5"/>
  <c r="AD175" i="5"/>
  <c r="X176" i="4"/>
  <c r="AI175" i="5"/>
  <c r="Y176" i="4"/>
  <c r="AJ175" i="5"/>
  <c r="Z176" i="4"/>
  <c r="AL175" i="5"/>
  <c r="F175" i="5"/>
  <c r="R175" i="5"/>
  <c r="T175" i="5"/>
  <c r="H175" i="5"/>
  <c r="I175" i="5"/>
  <c r="AN175" i="5"/>
  <c r="AA176" i="5"/>
  <c r="B177" i="4"/>
  <c r="P177" i="4"/>
  <c r="W176" i="5"/>
  <c r="O176" i="5"/>
  <c r="K176" i="5"/>
  <c r="AG176" i="5"/>
  <c r="AF176" i="5"/>
  <c r="C177" i="4"/>
  <c r="C176" i="5"/>
  <c r="D177" i="4"/>
  <c r="E176" i="5"/>
  <c r="L176" i="5"/>
  <c r="N176" i="5"/>
  <c r="L177" i="4"/>
  <c r="Q176" i="5"/>
  <c r="O177" i="4"/>
  <c r="U176" i="5"/>
  <c r="Q177" i="4"/>
  <c r="X176" i="5"/>
  <c r="R177" i="4"/>
  <c r="Z176" i="5"/>
  <c r="AI177" i="4"/>
  <c r="T177" i="4" a="1"/>
  <c r="T177" i="4"/>
  <c r="AC176" i="5"/>
  <c r="AD176" i="5"/>
  <c r="X177" i="4"/>
  <c r="AI176" i="5"/>
  <c r="Y177" i="4"/>
  <c r="AJ176" i="5"/>
  <c r="Z177" i="4"/>
  <c r="AL176" i="5"/>
  <c r="F176" i="5"/>
  <c r="R176" i="5"/>
  <c r="T176" i="5"/>
  <c r="H176" i="5"/>
  <c r="I176" i="5"/>
  <c r="AN176" i="5"/>
  <c r="AA177" i="5"/>
  <c r="B178" i="4"/>
  <c r="P178" i="4"/>
  <c r="W177" i="5"/>
  <c r="O177" i="5"/>
  <c r="H178" i="4"/>
  <c r="K177" i="5"/>
  <c r="AG177" i="5"/>
  <c r="AF177" i="5"/>
  <c r="C178" i="4"/>
  <c r="C177" i="5"/>
  <c r="D178" i="4"/>
  <c r="E177" i="5"/>
  <c r="L177" i="5"/>
  <c r="J178" i="4"/>
  <c r="N177" i="5"/>
  <c r="L178" i="4"/>
  <c r="Q177" i="5"/>
  <c r="M178" i="4"/>
  <c r="R177" i="5"/>
  <c r="T177" i="5"/>
  <c r="O178" i="4"/>
  <c r="U177" i="5"/>
  <c r="Q178" i="4"/>
  <c r="X177" i="5"/>
  <c r="R178" i="4"/>
  <c r="Z177" i="5"/>
  <c r="AI178" i="4"/>
  <c r="T178" i="4" a="1"/>
  <c r="T178" i="4"/>
  <c r="AC177" i="5"/>
  <c r="AD177" i="5"/>
  <c r="X178" i="4"/>
  <c r="AI177" i="5"/>
  <c r="Y178" i="4"/>
  <c r="AJ177" i="5"/>
  <c r="Z178" i="4"/>
  <c r="AL177" i="5"/>
  <c r="F177" i="5"/>
  <c r="H177" i="5"/>
  <c r="I177" i="5"/>
  <c r="AN177" i="5"/>
  <c r="AG178" i="5"/>
  <c r="AF178" i="5"/>
  <c r="B179" i="4"/>
  <c r="C179" i="4"/>
  <c r="C178" i="5"/>
  <c r="D179" i="4"/>
  <c r="E178" i="5"/>
  <c r="H179" i="4"/>
  <c r="K178" i="5"/>
  <c r="L179" i="4"/>
  <c r="Q178" i="5"/>
  <c r="M179" i="4"/>
  <c r="R178" i="5"/>
  <c r="T178" i="5"/>
  <c r="U178" i="5"/>
  <c r="P179" i="4"/>
  <c r="W178" i="5"/>
  <c r="Q179" i="4"/>
  <c r="X178" i="5"/>
  <c r="S179" i="4"/>
  <c r="AA178" i="5"/>
  <c r="AI179" i="4"/>
  <c r="T179" i="4" a="1"/>
  <c r="T179" i="4"/>
  <c r="AC178" i="5"/>
  <c r="U179" i="4" a="1"/>
  <c r="U179" i="4"/>
  <c r="AD178" i="5"/>
  <c r="X179" i="4"/>
  <c r="AI178" i="5"/>
  <c r="Y179" i="4"/>
  <c r="AJ178" i="5"/>
  <c r="Z179" i="4"/>
  <c r="AL178" i="5"/>
  <c r="F178" i="5"/>
  <c r="L178" i="5"/>
  <c r="N178" i="5"/>
  <c r="O178" i="5"/>
  <c r="Z178" i="5"/>
  <c r="H178" i="5"/>
  <c r="I178" i="5"/>
  <c r="AN178" i="5"/>
  <c r="AG179" i="5"/>
  <c r="AF179" i="5"/>
  <c r="B180" i="4"/>
  <c r="C180" i="4"/>
  <c r="C179" i="5"/>
  <c r="D180" i="4"/>
  <c r="E179" i="5"/>
  <c r="E180" i="4"/>
  <c r="F179" i="5"/>
  <c r="F180" i="4"/>
  <c r="H179" i="5"/>
  <c r="I179" i="5"/>
  <c r="H180" i="4"/>
  <c r="K179" i="5"/>
  <c r="L180" i="4"/>
  <c r="Q179" i="5"/>
  <c r="M180" i="4"/>
  <c r="R179" i="5"/>
  <c r="T179" i="5"/>
  <c r="O180" i="4"/>
  <c r="U179" i="5"/>
  <c r="P180" i="4"/>
  <c r="W179" i="5"/>
  <c r="Q180" i="4"/>
  <c r="X179" i="5"/>
  <c r="S180" i="4"/>
  <c r="AA179" i="5"/>
  <c r="AI180" i="4"/>
  <c r="T180" i="4" a="1"/>
  <c r="T180" i="4"/>
  <c r="AC179" i="5"/>
  <c r="U180" i="4" a="1"/>
  <c r="U180" i="4"/>
  <c r="AD179" i="5"/>
  <c r="X180" i="4"/>
  <c r="AI179" i="5"/>
  <c r="Y180" i="4"/>
  <c r="AJ179" i="5"/>
  <c r="Z180" i="4"/>
  <c r="AL179" i="5"/>
  <c r="L179" i="5"/>
  <c r="N179" i="5"/>
  <c r="O179" i="5"/>
  <c r="Z179" i="5"/>
  <c r="AN179" i="5"/>
  <c r="B181" i="4"/>
  <c r="S181" i="4"/>
  <c r="AA180" i="5"/>
  <c r="P181" i="4"/>
  <c r="W180" i="5"/>
  <c r="O180" i="5"/>
  <c r="K180" i="5"/>
  <c r="AG180" i="5"/>
  <c r="AF180" i="5"/>
  <c r="C181" i="4"/>
  <c r="C180" i="5"/>
  <c r="D181" i="4"/>
  <c r="E180" i="5"/>
  <c r="E181" i="4"/>
  <c r="F180" i="5"/>
  <c r="F181" i="4"/>
  <c r="H180" i="5"/>
  <c r="I180" i="5"/>
  <c r="I181" i="4"/>
  <c r="L180" i="5"/>
  <c r="J181" i="4"/>
  <c r="N180" i="5"/>
  <c r="L181" i="4"/>
  <c r="Q180" i="5"/>
  <c r="M181" i="4"/>
  <c r="R180" i="5"/>
  <c r="T180" i="5"/>
  <c r="U180" i="5"/>
  <c r="Q181" i="4"/>
  <c r="X180" i="5"/>
  <c r="R181" i="4"/>
  <c r="Z180" i="5"/>
  <c r="AI181" i="4"/>
  <c r="T181" i="4" a="1"/>
  <c r="T181" i="4"/>
  <c r="AC180" i="5"/>
  <c r="U181" i="4" a="1"/>
  <c r="U181" i="4"/>
  <c r="AD180" i="5"/>
  <c r="AI180" i="5"/>
  <c r="Y181" i="4"/>
  <c r="AJ180" i="5"/>
  <c r="Z181" i="4"/>
  <c r="AL180" i="5"/>
  <c r="AN180" i="5"/>
  <c r="B182" i="4"/>
  <c r="S182" i="4"/>
  <c r="AA181" i="5"/>
  <c r="P182" i="4"/>
  <c r="W181" i="5"/>
  <c r="O181" i="5"/>
  <c r="H182" i="4"/>
  <c r="K181" i="5"/>
  <c r="AG181" i="5"/>
  <c r="AF181" i="5"/>
  <c r="C182" i="4"/>
  <c r="C181" i="5"/>
  <c r="D182" i="4"/>
  <c r="E181" i="5"/>
  <c r="E182" i="4"/>
  <c r="F181" i="5"/>
  <c r="F182" i="4"/>
  <c r="H181" i="5"/>
  <c r="I181" i="5"/>
  <c r="I22" i="2"/>
  <c r="I182" i="4"/>
  <c r="L181" i="5"/>
  <c r="J22" i="2"/>
  <c r="J182" i="4"/>
  <c r="N181" i="5"/>
  <c r="L182" i="4"/>
  <c r="Q181" i="5"/>
  <c r="M182" i="4"/>
  <c r="R181" i="5"/>
  <c r="T181" i="5"/>
  <c r="U181" i="5"/>
  <c r="Q182" i="4"/>
  <c r="X181" i="5"/>
  <c r="R22" i="2"/>
  <c r="R182" i="4"/>
  <c r="Z181" i="5"/>
  <c r="AI182" i="4"/>
  <c r="T182" i="4" a="1"/>
  <c r="T182" i="4"/>
  <c r="AC181" i="5"/>
  <c r="U182" i="4" a="1"/>
  <c r="U182" i="4"/>
  <c r="AD181" i="5"/>
  <c r="X182" i="4"/>
  <c r="AI181" i="5"/>
  <c r="Y182" i="4"/>
  <c r="AJ181" i="5"/>
  <c r="Z182" i="4"/>
  <c r="AL181" i="5"/>
  <c r="AN181" i="5"/>
  <c r="B183" i="4"/>
  <c r="S183" i="4"/>
  <c r="AA182" i="5"/>
  <c r="P183" i="4"/>
  <c r="W182" i="5"/>
  <c r="O182" i="5"/>
  <c r="H183" i="4"/>
  <c r="K182" i="5"/>
  <c r="AG182" i="5"/>
  <c r="AF182" i="5"/>
  <c r="C183" i="4"/>
  <c r="C182" i="5"/>
  <c r="D183" i="4"/>
  <c r="E182" i="5"/>
  <c r="E183" i="4"/>
  <c r="F182" i="5"/>
  <c r="F183" i="4"/>
  <c r="H182" i="5"/>
  <c r="I182" i="5"/>
  <c r="I183" i="4"/>
  <c r="L182" i="5"/>
  <c r="J183" i="4"/>
  <c r="N182" i="5"/>
  <c r="L183" i="4"/>
  <c r="Q182" i="5"/>
  <c r="M183" i="4"/>
  <c r="R182" i="5"/>
  <c r="T182" i="5"/>
  <c r="U182" i="5"/>
  <c r="Q183" i="4"/>
  <c r="X182" i="5"/>
  <c r="R183" i="4"/>
  <c r="Z182" i="5"/>
  <c r="AI183" i="4"/>
  <c r="T183" i="4" a="1"/>
  <c r="T183" i="4"/>
  <c r="AC182" i="5"/>
  <c r="U183" i="4" a="1"/>
  <c r="U183" i="4"/>
  <c r="AD182" i="5"/>
  <c r="AI182" i="5"/>
  <c r="Y183" i="4"/>
  <c r="AJ182" i="5"/>
  <c r="Z183" i="4"/>
  <c r="AL182" i="5"/>
  <c r="AN182" i="5"/>
  <c r="B184" i="4"/>
  <c r="S184" i="4"/>
  <c r="AA183" i="5"/>
  <c r="P184" i="4"/>
  <c r="W183" i="5"/>
  <c r="O183" i="5"/>
  <c r="K183" i="5"/>
  <c r="AG183" i="5"/>
  <c r="AF183" i="5"/>
  <c r="C184" i="4"/>
  <c r="C183" i="5"/>
  <c r="D184" i="4"/>
  <c r="E183" i="5"/>
  <c r="E184" i="4"/>
  <c r="F183" i="5"/>
  <c r="F184" i="4"/>
  <c r="H183" i="5"/>
  <c r="I183" i="5"/>
  <c r="I184" i="4"/>
  <c r="L183" i="5"/>
  <c r="J184" i="4"/>
  <c r="N183" i="5"/>
  <c r="L184" i="4"/>
  <c r="Q183" i="5"/>
  <c r="M184" i="4"/>
  <c r="R183" i="5"/>
  <c r="T183" i="5"/>
  <c r="U183" i="5"/>
  <c r="Q184" i="4"/>
  <c r="X183" i="5"/>
  <c r="R184" i="4"/>
  <c r="Z183" i="5"/>
  <c r="AI184" i="4"/>
  <c r="T184" i="4" a="1"/>
  <c r="T184" i="4"/>
  <c r="AC183" i="5"/>
  <c r="U184" i="4" a="1"/>
  <c r="U184" i="4"/>
  <c r="AD183" i="5"/>
  <c r="X184" i="4"/>
  <c r="AI183" i="5"/>
  <c r="Y184" i="4"/>
  <c r="AJ183" i="5"/>
  <c r="Z184" i="4"/>
  <c r="AL183" i="5"/>
  <c r="AN183" i="5"/>
  <c r="B185" i="4"/>
  <c r="S185" i="4"/>
  <c r="AA184" i="5"/>
  <c r="P185" i="4"/>
  <c r="W184" i="5"/>
  <c r="O184" i="5"/>
  <c r="K184" i="5"/>
  <c r="AG184" i="5"/>
  <c r="AF184" i="5"/>
  <c r="C185" i="4"/>
  <c r="C184" i="5"/>
  <c r="D185" i="4"/>
  <c r="E184" i="5"/>
  <c r="E185" i="4"/>
  <c r="F184" i="5"/>
  <c r="F185" i="4"/>
  <c r="H184" i="5"/>
  <c r="I184" i="5"/>
  <c r="I185" i="4"/>
  <c r="L184" i="5"/>
  <c r="J185" i="4"/>
  <c r="N184" i="5"/>
  <c r="L185" i="4"/>
  <c r="Q184" i="5"/>
  <c r="M185" i="4"/>
  <c r="R184" i="5"/>
  <c r="T184" i="5"/>
  <c r="U184" i="5"/>
  <c r="Q185" i="4"/>
  <c r="X184" i="5"/>
  <c r="R185" i="4"/>
  <c r="Z184" i="5"/>
  <c r="AI185" i="4"/>
  <c r="T185" i="4" a="1"/>
  <c r="T185" i="4"/>
  <c r="AC184" i="5"/>
  <c r="U185" i="4" a="1"/>
  <c r="U185" i="4"/>
  <c r="AD184" i="5"/>
  <c r="X185" i="4"/>
  <c r="AI184" i="5"/>
  <c r="Y185" i="4"/>
  <c r="AJ184" i="5"/>
  <c r="Z185" i="4"/>
  <c r="AL184" i="5"/>
  <c r="AN184" i="5"/>
  <c r="B186" i="4"/>
  <c r="S186" i="4"/>
  <c r="AA185" i="5"/>
  <c r="P186" i="4"/>
  <c r="W185" i="5"/>
  <c r="O185" i="5"/>
  <c r="H186" i="4"/>
  <c r="K185" i="5"/>
  <c r="AG185" i="5"/>
  <c r="AF185" i="5"/>
  <c r="C186" i="4"/>
  <c r="C185" i="5"/>
  <c r="D186" i="4"/>
  <c r="E185" i="5"/>
  <c r="E186" i="4"/>
  <c r="F185" i="5"/>
  <c r="F186" i="4"/>
  <c r="H185" i="5"/>
  <c r="I185" i="5"/>
  <c r="I186" i="4"/>
  <c r="L185" i="5"/>
  <c r="J186" i="4"/>
  <c r="N185" i="5"/>
  <c r="L186" i="4"/>
  <c r="Q185" i="5"/>
  <c r="M186" i="4"/>
  <c r="R185" i="5"/>
  <c r="T185" i="5"/>
  <c r="O186" i="4"/>
  <c r="U185" i="5"/>
  <c r="Q186" i="4"/>
  <c r="X185" i="5"/>
  <c r="R186" i="4"/>
  <c r="Z185" i="5"/>
  <c r="AI186" i="4"/>
  <c r="T186" i="4" a="1"/>
  <c r="T186" i="4"/>
  <c r="AC185" i="5"/>
  <c r="U186" i="4" a="1"/>
  <c r="U186" i="4"/>
  <c r="AD185" i="5"/>
  <c r="AI185" i="5"/>
  <c r="Y186" i="4"/>
  <c r="AJ185" i="5"/>
  <c r="Z186" i="4"/>
  <c r="AL185" i="5"/>
  <c r="AN185" i="5"/>
  <c r="B187" i="4"/>
  <c r="S187" i="4"/>
  <c r="AA186" i="5"/>
  <c r="P187" i="4"/>
  <c r="W186" i="5"/>
  <c r="O186" i="5"/>
  <c r="K186" i="5"/>
  <c r="AG186" i="5"/>
  <c r="AF186" i="5"/>
  <c r="C187" i="4"/>
  <c r="C186" i="5"/>
  <c r="D187" i="4"/>
  <c r="E186" i="5"/>
  <c r="E187" i="4"/>
  <c r="F186" i="5"/>
  <c r="F187" i="4"/>
  <c r="H186" i="5"/>
  <c r="I186" i="5"/>
  <c r="I187" i="4"/>
  <c r="L186" i="5"/>
  <c r="J187" i="4"/>
  <c r="N186" i="5"/>
  <c r="L187" i="4"/>
  <c r="Q186" i="5"/>
  <c r="M187" i="4"/>
  <c r="R186" i="5"/>
  <c r="T186" i="5"/>
  <c r="U186" i="5"/>
  <c r="Q187" i="4"/>
  <c r="X186" i="5"/>
  <c r="R187" i="4"/>
  <c r="Z186" i="5"/>
  <c r="AI187" i="4"/>
  <c r="T187" i="4" a="1"/>
  <c r="T187" i="4"/>
  <c r="AC186" i="5"/>
  <c r="U187" i="4" a="1"/>
  <c r="U187" i="4"/>
  <c r="AD186" i="5"/>
  <c r="X187" i="4"/>
  <c r="AI186" i="5"/>
  <c r="Y187" i="4"/>
  <c r="AJ186" i="5"/>
  <c r="Z187" i="4"/>
  <c r="AL186" i="5"/>
  <c r="AN186" i="5"/>
  <c r="B188" i="4"/>
  <c r="S188" i="4"/>
  <c r="AA187" i="5"/>
  <c r="P188" i="4"/>
  <c r="W187" i="5"/>
  <c r="O187" i="5"/>
  <c r="K187" i="5"/>
  <c r="AG187" i="5"/>
  <c r="AF187" i="5"/>
  <c r="C188" i="4"/>
  <c r="C187" i="5"/>
  <c r="D188" i="4"/>
  <c r="E187" i="5"/>
  <c r="E188" i="4"/>
  <c r="F187" i="5"/>
  <c r="F188" i="4"/>
  <c r="H187" i="5"/>
  <c r="I187" i="5"/>
  <c r="I34" i="2"/>
  <c r="I188" i="4"/>
  <c r="L187" i="5"/>
  <c r="J34" i="2"/>
  <c r="J188" i="4"/>
  <c r="N187" i="5"/>
  <c r="L188" i="4"/>
  <c r="Q187" i="5"/>
  <c r="M188" i="4"/>
  <c r="R187" i="5"/>
  <c r="T187" i="5"/>
  <c r="U187" i="5"/>
  <c r="Q188" i="4"/>
  <c r="X187" i="5"/>
  <c r="R188" i="4"/>
  <c r="Z187" i="5"/>
  <c r="AI188" i="4"/>
  <c r="T188" i="4" a="1"/>
  <c r="T188" i="4"/>
  <c r="AC187" i="5"/>
  <c r="U188" i="4" a="1"/>
  <c r="U188" i="4"/>
  <c r="AD187" i="5"/>
  <c r="AI187" i="5"/>
  <c r="Y188" i="4"/>
  <c r="AJ187" i="5"/>
  <c r="Z188" i="4"/>
  <c r="AL187" i="5"/>
  <c r="AN187" i="5"/>
  <c r="AA188" i="5"/>
  <c r="B189" i="4"/>
  <c r="P189" i="4"/>
  <c r="W188" i="5"/>
  <c r="O188" i="5"/>
  <c r="K188" i="5"/>
  <c r="AG188" i="5"/>
  <c r="AF188" i="5"/>
  <c r="C189" i="4"/>
  <c r="C188" i="5"/>
  <c r="D189" i="4"/>
  <c r="E188" i="5"/>
  <c r="L188" i="5"/>
  <c r="N188" i="5"/>
  <c r="L189" i="4"/>
  <c r="Q188" i="5"/>
  <c r="O189" i="4"/>
  <c r="U188" i="5"/>
  <c r="Q189" i="4"/>
  <c r="X188" i="5"/>
  <c r="R189" i="4"/>
  <c r="Z188" i="5"/>
  <c r="AI189" i="4"/>
  <c r="T189" i="4" a="1"/>
  <c r="T189" i="4"/>
  <c r="AC188" i="5"/>
  <c r="AD188" i="5"/>
  <c r="X189" i="4"/>
  <c r="AI188" i="5"/>
  <c r="Y189" i="4"/>
  <c r="AJ188" i="5"/>
  <c r="Z189" i="4"/>
  <c r="AL188" i="5"/>
  <c r="R188" i="5"/>
  <c r="T188" i="5"/>
  <c r="F188" i="5"/>
  <c r="H188" i="5"/>
  <c r="I188" i="5"/>
  <c r="AN188" i="5"/>
  <c r="AG189" i="5"/>
  <c r="AF189" i="5"/>
  <c r="B190" i="4"/>
  <c r="C190" i="4"/>
  <c r="C189" i="5"/>
  <c r="D190" i="4"/>
  <c r="E189" i="5"/>
  <c r="K189" i="5"/>
  <c r="L190" i="4"/>
  <c r="Q189" i="5"/>
  <c r="M190" i="4"/>
  <c r="R189" i="5"/>
  <c r="T189" i="5"/>
  <c r="O190" i="4"/>
  <c r="U189" i="5"/>
  <c r="P190" i="4"/>
  <c r="W189" i="5"/>
  <c r="Q190" i="4"/>
  <c r="X189" i="5"/>
  <c r="S190" i="4"/>
  <c r="AA189" i="5"/>
  <c r="AI190" i="4"/>
  <c r="T190" i="4" a="1"/>
  <c r="T190" i="4"/>
  <c r="AC189" i="5"/>
  <c r="U190" i="4" a="1"/>
  <c r="U190" i="4"/>
  <c r="AD189" i="5"/>
  <c r="X190" i="4"/>
  <c r="AI189" i="5"/>
  <c r="Y190" i="4"/>
  <c r="AJ189" i="5"/>
  <c r="Z190" i="4"/>
  <c r="AL189" i="5"/>
  <c r="F189" i="5"/>
  <c r="H189" i="5"/>
  <c r="I189" i="5"/>
  <c r="L189" i="5"/>
  <c r="N189" i="5"/>
  <c r="O189" i="5"/>
  <c r="Z189" i="5"/>
  <c r="AN189" i="5"/>
  <c r="AG190" i="5"/>
  <c r="AF190" i="5"/>
  <c r="B191" i="4"/>
  <c r="C191" i="4"/>
  <c r="C190" i="5"/>
  <c r="D191" i="4"/>
  <c r="E190" i="5"/>
  <c r="H191" i="4"/>
  <c r="K190" i="5"/>
  <c r="L191" i="4"/>
  <c r="Q190" i="5"/>
  <c r="R190" i="5"/>
  <c r="T190" i="5"/>
  <c r="O191" i="4"/>
  <c r="U190" i="5"/>
  <c r="P191" i="4"/>
  <c r="W190" i="5"/>
  <c r="Q191" i="4"/>
  <c r="X190" i="5"/>
  <c r="AA190" i="5"/>
  <c r="AI191" i="4"/>
  <c r="T191" i="4" a="1"/>
  <c r="T191" i="4"/>
  <c r="AC190" i="5"/>
  <c r="U191" i="4" a="1"/>
  <c r="U191" i="4"/>
  <c r="AD190" i="5"/>
  <c r="X191" i="4"/>
  <c r="AI190" i="5"/>
  <c r="Y191" i="4"/>
  <c r="AJ190" i="5"/>
  <c r="Z191" i="4"/>
  <c r="AL190" i="5"/>
  <c r="F190" i="5"/>
  <c r="H190" i="5"/>
  <c r="I190" i="5"/>
  <c r="L190" i="5"/>
  <c r="N190" i="5"/>
  <c r="O190" i="5"/>
  <c r="Z190" i="5"/>
  <c r="AN190" i="5"/>
  <c r="AG191" i="5"/>
  <c r="AF191" i="5"/>
  <c r="B192" i="4"/>
  <c r="C192" i="4"/>
  <c r="C191" i="5"/>
  <c r="D192" i="4"/>
  <c r="E191" i="5"/>
  <c r="H192" i="4"/>
  <c r="K191" i="5"/>
  <c r="L192" i="4"/>
  <c r="Q191" i="5"/>
  <c r="M192" i="4"/>
  <c r="R191" i="5"/>
  <c r="T191" i="5"/>
  <c r="O192" i="4"/>
  <c r="U191" i="5"/>
  <c r="P192" i="4"/>
  <c r="W191" i="5"/>
  <c r="Q192" i="4"/>
  <c r="X191" i="5"/>
  <c r="AA191" i="5"/>
  <c r="AI192" i="4"/>
  <c r="T192" i="4" a="1"/>
  <c r="T192" i="4"/>
  <c r="AC191" i="5"/>
  <c r="U192" i="4" a="1"/>
  <c r="U192" i="4"/>
  <c r="AD191" i="5"/>
  <c r="X192" i="4"/>
  <c r="AI191" i="5"/>
  <c r="Y192" i="4"/>
  <c r="AJ191" i="5"/>
  <c r="Z192" i="4"/>
  <c r="AL191" i="5"/>
  <c r="F191" i="5"/>
  <c r="H191" i="5"/>
  <c r="I191" i="5"/>
  <c r="L191" i="5"/>
  <c r="N191" i="5"/>
  <c r="O191" i="5"/>
  <c r="Z191" i="5"/>
  <c r="AN191" i="5"/>
  <c r="AG192" i="5"/>
  <c r="AF192" i="5"/>
  <c r="B193" i="4"/>
  <c r="C193" i="4"/>
  <c r="C192" i="5"/>
  <c r="D193" i="4"/>
  <c r="E192" i="5"/>
  <c r="H193" i="4"/>
  <c r="K192" i="5"/>
  <c r="L193" i="4"/>
  <c r="Q192" i="5"/>
  <c r="M193" i="4"/>
  <c r="R192" i="5"/>
  <c r="T192" i="5"/>
  <c r="O193" i="4"/>
  <c r="U192" i="5"/>
  <c r="P193" i="4"/>
  <c r="W192" i="5"/>
  <c r="Q193" i="4"/>
  <c r="X192" i="5"/>
  <c r="AA192" i="5"/>
  <c r="AI193" i="4"/>
  <c r="T193" i="4" a="1"/>
  <c r="T193" i="4"/>
  <c r="AC192" i="5"/>
  <c r="U193" i="4" a="1"/>
  <c r="U193" i="4"/>
  <c r="AD192" i="5"/>
  <c r="X193" i="4"/>
  <c r="AI192" i="5"/>
  <c r="Y193" i="4"/>
  <c r="AJ192" i="5"/>
  <c r="Z193" i="4"/>
  <c r="AL192" i="5"/>
  <c r="F192" i="5"/>
  <c r="H192" i="5"/>
  <c r="I192" i="5"/>
  <c r="L192" i="5"/>
  <c r="N192" i="5"/>
  <c r="O192" i="5"/>
  <c r="Z192" i="5"/>
  <c r="AN192" i="5"/>
  <c r="AG193" i="5"/>
  <c r="AF193" i="5"/>
  <c r="B197" i="4"/>
  <c r="C197" i="4"/>
  <c r="C193" i="5"/>
  <c r="D197" i="4"/>
  <c r="E193" i="5"/>
  <c r="H197" i="4"/>
  <c r="K193" i="5"/>
  <c r="L197" i="4"/>
  <c r="Q193" i="5"/>
  <c r="M197" i="4"/>
  <c r="R193" i="5"/>
  <c r="T193" i="5"/>
  <c r="U193" i="5"/>
  <c r="P197" i="4"/>
  <c r="W193" i="5"/>
  <c r="Q197" i="4"/>
  <c r="X193" i="5"/>
  <c r="S197" i="4"/>
  <c r="AA193" i="5"/>
  <c r="AI197" i="4"/>
  <c r="T197" i="4" a="1"/>
  <c r="T197" i="4"/>
  <c r="AC193" i="5"/>
  <c r="U197" i="4" a="1"/>
  <c r="U197" i="4"/>
  <c r="AD193" i="5"/>
  <c r="X197" i="4"/>
  <c r="AI193" i="5"/>
  <c r="Y197" i="4"/>
  <c r="AJ193" i="5"/>
  <c r="Z197" i="4"/>
  <c r="AL193" i="5"/>
  <c r="F193" i="5"/>
  <c r="H193" i="5"/>
  <c r="I193" i="5"/>
  <c r="L193" i="5"/>
  <c r="N193" i="5"/>
  <c r="O193" i="5"/>
  <c r="Z193" i="5"/>
  <c r="AN193" i="5"/>
  <c r="AG194" i="5"/>
  <c r="AF194" i="5"/>
  <c r="B198" i="4"/>
  <c r="C198" i="4"/>
  <c r="C194" i="5"/>
  <c r="D198" i="4"/>
  <c r="E194" i="5"/>
  <c r="K194" i="5"/>
  <c r="L198" i="4"/>
  <c r="Q194" i="5"/>
  <c r="M198" i="4"/>
  <c r="R194" i="5"/>
  <c r="T194" i="5"/>
  <c r="O198" i="4"/>
  <c r="U194" i="5"/>
  <c r="P198" i="4"/>
  <c r="W194" i="5"/>
  <c r="Q198" i="4"/>
  <c r="X194" i="5"/>
  <c r="S198" i="4"/>
  <c r="AA194" i="5"/>
  <c r="AI198" i="4"/>
  <c r="T198" i="4" a="1"/>
  <c r="T198" i="4"/>
  <c r="AC194" i="5"/>
  <c r="U198" i="4" a="1"/>
  <c r="U198" i="4"/>
  <c r="AD194" i="5"/>
  <c r="X198" i="4"/>
  <c r="AI194" i="5"/>
  <c r="Y198" i="4"/>
  <c r="AJ194" i="5"/>
  <c r="Z198" i="4"/>
  <c r="AL194" i="5"/>
  <c r="F194" i="5"/>
  <c r="H194" i="5"/>
  <c r="I194" i="5"/>
  <c r="L194" i="5"/>
  <c r="N194" i="5"/>
  <c r="O194" i="5"/>
  <c r="Z194" i="5"/>
  <c r="AN194" i="5"/>
  <c r="AG195" i="5"/>
  <c r="AF195" i="5"/>
  <c r="B199" i="4"/>
  <c r="C199" i="4"/>
  <c r="C195" i="5"/>
  <c r="D199" i="4"/>
  <c r="E195" i="5"/>
  <c r="K195" i="5"/>
  <c r="L199" i="4"/>
  <c r="Q195" i="5"/>
  <c r="M199" i="4"/>
  <c r="R195" i="5"/>
  <c r="T195" i="5"/>
  <c r="O199" i="4"/>
  <c r="U195" i="5"/>
  <c r="P199" i="4"/>
  <c r="W195" i="5"/>
  <c r="Q199" i="4"/>
  <c r="X195" i="5"/>
  <c r="S199" i="4"/>
  <c r="AA195" i="5"/>
  <c r="AI199" i="4"/>
  <c r="T199" i="4" a="1"/>
  <c r="T199" i="4"/>
  <c r="AC195" i="5"/>
  <c r="U199" i="4" a="1"/>
  <c r="U199" i="4"/>
  <c r="AD195" i="5"/>
  <c r="X199" i="4"/>
  <c r="AI195" i="5"/>
  <c r="Y199" i="4"/>
  <c r="AJ195" i="5"/>
  <c r="Z199" i="4"/>
  <c r="AL195" i="5"/>
  <c r="F195" i="5"/>
  <c r="H195" i="5"/>
  <c r="I195" i="5"/>
  <c r="L195" i="5"/>
  <c r="N195" i="5"/>
  <c r="O195" i="5"/>
  <c r="Z195" i="5"/>
  <c r="AN195" i="5"/>
  <c r="AG196" i="5"/>
  <c r="AF196" i="5"/>
  <c r="C209" i="4"/>
  <c r="C196" i="5"/>
  <c r="D209" i="4"/>
  <c r="E196" i="5"/>
  <c r="H209" i="4"/>
  <c r="K196" i="5"/>
  <c r="L209" i="4"/>
  <c r="Q196" i="5"/>
  <c r="M209" i="4"/>
  <c r="R196" i="5"/>
  <c r="T196" i="5"/>
  <c r="O209" i="4"/>
  <c r="U196" i="5"/>
  <c r="P209" i="4"/>
  <c r="W196" i="5"/>
  <c r="Q209" i="4"/>
  <c r="X196" i="5"/>
  <c r="S209" i="4"/>
  <c r="AA196" i="5"/>
  <c r="AI209" i="4"/>
  <c r="T209" i="4" a="1"/>
  <c r="T209" i="4"/>
  <c r="AC196" i="5"/>
  <c r="U209" i="4" a="1"/>
  <c r="U209" i="4"/>
  <c r="AD196" i="5"/>
  <c r="X209" i="4"/>
  <c r="AI196" i="5"/>
  <c r="Y209" i="4"/>
  <c r="AJ196" i="5"/>
  <c r="Z209" i="4"/>
  <c r="AL196" i="5"/>
  <c r="F196" i="5"/>
  <c r="H196" i="5"/>
  <c r="I196" i="5"/>
  <c r="L196" i="5"/>
  <c r="N196" i="5"/>
  <c r="O196" i="5"/>
  <c r="Z196" i="5"/>
  <c r="AN196" i="5"/>
  <c r="AG197" i="5"/>
  <c r="AF197" i="5"/>
  <c r="C210" i="4"/>
  <c r="C197" i="5"/>
  <c r="D210" i="4"/>
  <c r="E197" i="5"/>
  <c r="H210" i="4"/>
  <c r="K197" i="5"/>
  <c r="I210" i="4"/>
  <c r="L197" i="5"/>
  <c r="J210" i="4"/>
  <c r="N197" i="5"/>
  <c r="O197" i="5"/>
  <c r="L210" i="4"/>
  <c r="Q197" i="5"/>
  <c r="M210" i="4"/>
  <c r="R197" i="5"/>
  <c r="T197" i="5"/>
  <c r="O210" i="4"/>
  <c r="U197" i="5"/>
  <c r="P210" i="4"/>
  <c r="W197" i="5"/>
  <c r="Q210" i="4"/>
  <c r="X197" i="5"/>
  <c r="S210" i="4"/>
  <c r="AA197" i="5"/>
  <c r="AI210" i="4"/>
  <c r="T210" i="4" a="1"/>
  <c r="T210" i="4"/>
  <c r="AC197" i="5"/>
  <c r="U210" i="4" a="1"/>
  <c r="U210" i="4"/>
  <c r="AD197" i="5"/>
  <c r="X210" i="4"/>
  <c r="AI197" i="5"/>
  <c r="Y210" i="4"/>
  <c r="AJ197" i="5"/>
  <c r="Z210" i="4"/>
  <c r="AL197" i="5"/>
  <c r="F197" i="5"/>
  <c r="H197" i="5"/>
  <c r="I197" i="5"/>
  <c r="Z197" i="5"/>
  <c r="AN197" i="5"/>
  <c r="AG198" i="5"/>
  <c r="AF198" i="5"/>
  <c r="C211" i="4"/>
  <c r="C198" i="5"/>
  <c r="D211" i="4"/>
  <c r="E198" i="5"/>
  <c r="E211" i="4"/>
  <c r="F198" i="5"/>
  <c r="F211" i="4"/>
  <c r="H198" i="5"/>
  <c r="I198" i="5"/>
  <c r="H211" i="4"/>
  <c r="K198" i="5"/>
  <c r="L211" i="4"/>
  <c r="Q198" i="5"/>
  <c r="M211" i="4"/>
  <c r="R198" i="5"/>
  <c r="T198" i="5"/>
  <c r="O211" i="4"/>
  <c r="U198" i="5"/>
  <c r="P211" i="4"/>
  <c r="W198" i="5"/>
  <c r="Q211" i="4"/>
  <c r="X198" i="5"/>
  <c r="S211" i="4"/>
  <c r="AA198" i="5"/>
  <c r="AI211" i="4"/>
  <c r="T211" i="4" a="1"/>
  <c r="T211" i="4"/>
  <c r="AC198" i="5"/>
  <c r="U211" i="4" a="1"/>
  <c r="U211" i="4"/>
  <c r="AD198" i="5"/>
  <c r="X211" i="4"/>
  <c r="AI198" i="5"/>
  <c r="Y211" i="4"/>
  <c r="AJ198" i="5"/>
  <c r="Z211" i="4"/>
  <c r="AL198" i="5"/>
  <c r="L198" i="5"/>
  <c r="N198" i="5"/>
  <c r="O198" i="5"/>
  <c r="Z198" i="5"/>
  <c r="AN198" i="5"/>
  <c r="AG199" i="5"/>
  <c r="AF199" i="5"/>
  <c r="B212" i="4"/>
  <c r="C212" i="4"/>
  <c r="C199" i="5"/>
  <c r="E199" i="5"/>
  <c r="F199" i="5"/>
  <c r="H199" i="5"/>
  <c r="I199" i="5"/>
  <c r="H212" i="4"/>
  <c r="K199" i="5"/>
  <c r="L212" i="4"/>
  <c r="Q199" i="5"/>
  <c r="M212" i="4"/>
  <c r="R199" i="5"/>
  <c r="T199" i="5"/>
  <c r="O212" i="4"/>
  <c r="U199" i="5"/>
  <c r="P212" i="4"/>
  <c r="W199" i="5"/>
  <c r="Q212" i="4"/>
  <c r="X199" i="5"/>
  <c r="S212" i="4"/>
  <c r="AA199" i="5"/>
  <c r="AI212" i="4"/>
  <c r="T212" i="4" a="1"/>
  <c r="T212" i="4"/>
  <c r="AC199" i="5"/>
  <c r="U212" i="4" a="1"/>
  <c r="U212" i="4"/>
  <c r="AD199" i="5"/>
  <c r="X212" i="4"/>
  <c r="AI199" i="5"/>
  <c r="Y212" i="4"/>
  <c r="AJ199" i="5"/>
  <c r="Z212" i="4"/>
  <c r="AL199" i="5"/>
  <c r="L199" i="5"/>
  <c r="N199" i="5"/>
  <c r="O199" i="5"/>
  <c r="Z199" i="5"/>
  <c r="AN199" i="5"/>
  <c r="AG200" i="5"/>
  <c r="AF200" i="5"/>
  <c r="B214" i="4"/>
  <c r="C214" i="4"/>
  <c r="C200" i="5"/>
  <c r="D214" i="4"/>
  <c r="E200" i="5"/>
  <c r="L214" i="4"/>
  <c r="Q200" i="5"/>
  <c r="M214" i="4"/>
  <c r="R200" i="5"/>
  <c r="T200" i="5"/>
  <c r="O214" i="4"/>
  <c r="U200" i="5"/>
  <c r="P214" i="4"/>
  <c r="W200" i="5"/>
  <c r="Q214" i="4"/>
  <c r="X200" i="5"/>
  <c r="S214" i="4"/>
  <c r="AA200" i="5"/>
  <c r="AI214" i="4"/>
  <c r="T214" i="4" a="1"/>
  <c r="T214" i="4"/>
  <c r="AC200" i="5"/>
  <c r="U214" i="4" a="1"/>
  <c r="U214" i="4"/>
  <c r="AD200" i="5"/>
  <c r="X214" i="4"/>
  <c r="AI200" i="5"/>
  <c r="Y214" i="4"/>
  <c r="AJ200" i="5"/>
  <c r="Z214" i="4"/>
  <c r="AL200" i="5"/>
  <c r="L200" i="5"/>
  <c r="N200" i="5"/>
  <c r="O200" i="5"/>
  <c r="F200" i="5"/>
  <c r="H200" i="5"/>
  <c r="I200" i="5"/>
  <c r="Z200" i="5"/>
  <c r="AN200" i="5"/>
  <c r="AG201" i="5"/>
  <c r="AF201" i="5"/>
  <c r="B216" i="4"/>
  <c r="C216" i="4"/>
  <c r="C201" i="5"/>
  <c r="D216" i="4"/>
  <c r="E201" i="5"/>
  <c r="K201" i="5"/>
  <c r="L216" i="4"/>
  <c r="Q201" i="5"/>
  <c r="M216" i="4"/>
  <c r="R201" i="5"/>
  <c r="N35" i="2"/>
  <c r="N216" i="4"/>
  <c r="T201" i="5"/>
  <c r="O216" i="4"/>
  <c r="U201" i="5"/>
  <c r="P216" i="4"/>
  <c r="W201" i="5"/>
  <c r="Q216" i="4"/>
  <c r="X201" i="5"/>
  <c r="S216" i="4"/>
  <c r="AA201" i="5"/>
  <c r="AI216" i="4"/>
  <c r="T216" i="4" a="1"/>
  <c r="T216" i="4"/>
  <c r="AC201" i="5"/>
  <c r="U216" i="4" a="1"/>
  <c r="U216" i="4"/>
  <c r="AD201" i="5"/>
  <c r="X216" i="4"/>
  <c r="AI201" i="5"/>
  <c r="Y216" i="4"/>
  <c r="AJ201" i="5"/>
  <c r="Z216" i="4"/>
  <c r="AL201" i="5"/>
  <c r="L201" i="5"/>
  <c r="N201" i="5"/>
  <c r="O201" i="5"/>
  <c r="F201" i="5"/>
  <c r="H201" i="5"/>
  <c r="I201" i="5"/>
  <c r="Z201" i="5"/>
  <c r="AN201" i="5"/>
  <c r="AG202" i="5"/>
  <c r="AF202" i="5"/>
  <c r="B217" i="4"/>
  <c r="C217" i="4"/>
  <c r="C202" i="5"/>
  <c r="D217" i="4"/>
  <c r="E202" i="5"/>
  <c r="K202" i="5"/>
  <c r="I35" i="2"/>
  <c r="I217" i="4"/>
  <c r="L202" i="5"/>
  <c r="J35" i="2"/>
  <c r="J217" i="4"/>
  <c r="N202" i="5"/>
  <c r="O202" i="5"/>
  <c r="L217" i="4"/>
  <c r="Q202" i="5"/>
  <c r="M217" i="4"/>
  <c r="R202" i="5"/>
  <c r="N217" i="4"/>
  <c r="T202" i="5"/>
  <c r="O217" i="4"/>
  <c r="U202" i="5"/>
  <c r="P217" i="4"/>
  <c r="W202" i="5"/>
  <c r="Q217" i="4"/>
  <c r="X202" i="5"/>
  <c r="S217" i="4"/>
  <c r="AA202" i="5"/>
  <c r="AI217" i="4"/>
  <c r="T217" i="4" a="1"/>
  <c r="T217" i="4"/>
  <c r="AC202" i="5"/>
  <c r="U217" i="4" a="1"/>
  <c r="U217" i="4"/>
  <c r="AD202" i="5"/>
  <c r="X217" i="4"/>
  <c r="AI202" i="5"/>
  <c r="Y217" i="4"/>
  <c r="AJ202" i="5"/>
  <c r="Z217" i="4"/>
  <c r="AL202" i="5"/>
  <c r="F202" i="5"/>
  <c r="H202" i="5"/>
  <c r="I202" i="5"/>
  <c r="Z202" i="5"/>
  <c r="AN202" i="5"/>
  <c r="AG203" i="5"/>
  <c r="AF203" i="5"/>
  <c r="B218" i="4"/>
  <c r="C218" i="4"/>
  <c r="C203" i="5"/>
  <c r="D218" i="4"/>
  <c r="E203" i="5"/>
  <c r="K203" i="5"/>
  <c r="L218" i="4"/>
  <c r="Q203" i="5"/>
  <c r="M218" i="4"/>
  <c r="R203" i="5"/>
  <c r="N218" i="4"/>
  <c r="T203" i="5"/>
  <c r="O218" i="4"/>
  <c r="U203" i="5"/>
  <c r="P218" i="4"/>
  <c r="W203" i="5"/>
  <c r="Q218" i="4"/>
  <c r="X203" i="5"/>
  <c r="S218" i="4"/>
  <c r="AA203" i="5"/>
  <c r="AI218" i="4"/>
  <c r="T218" i="4" a="1"/>
  <c r="T218" i="4"/>
  <c r="AC203" i="5"/>
  <c r="U218" i="4" a="1"/>
  <c r="U218" i="4"/>
  <c r="AD203" i="5"/>
  <c r="X218" i="4"/>
  <c r="AI203" i="5"/>
  <c r="Y218" i="4"/>
  <c r="AJ203" i="5"/>
  <c r="Z218" i="4"/>
  <c r="AL203" i="5"/>
  <c r="L203" i="5"/>
  <c r="N203" i="5"/>
  <c r="O203" i="5"/>
  <c r="F203" i="5"/>
  <c r="H203" i="5"/>
  <c r="I203" i="5"/>
  <c r="Z203" i="5"/>
  <c r="AN203" i="5"/>
  <c r="AG204" i="5"/>
  <c r="AF204" i="5"/>
  <c r="B219" i="4"/>
  <c r="C219" i="4"/>
  <c r="C204" i="5"/>
  <c r="D219" i="4"/>
  <c r="E204" i="5"/>
  <c r="K204" i="5"/>
  <c r="L219" i="4"/>
  <c r="Q204" i="5"/>
  <c r="M219" i="4"/>
  <c r="R204" i="5"/>
  <c r="T204" i="5"/>
  <c r="U204" i="5"/>
  <c r="P219" i="4"/>
  <c r="W204" i="5"/>
  <c r="Q219" i="4"/>
  <c r="X204" i="5"/>
  <c r="S219" i="4"/>
  <c r="AA204" i="5"/>
  <c r="AI219" i="4"/>
  <c r="T219" i="4" a="1"/>
  <c r="T219" i="4"/>
  <c r="AC204" i="5"/>
  <c r="U219" i="4" a="1"/>
  <c r="U219" i="4"/>
  <c r="AD204" i="5"/>
  <c r="X219" i="4"/>
  <c r="AI204" i="5"/>
  <c r="Y219" i="4"/>
  <c r="AJ204" i="5"/>
  <c r="Z219" i="4"/>
  <c r="AL204" i="5"/>
  <c r="L204" i="5"/>
  <c r="N204" i="5"/>
  <c r="O204" i="5"/>
  <c r="F204" i="5"/>
  <c r="H204" i="5"/>
  <c r="I204" i="5"/>
  <c r="Z204" i="5"/>
  <c r="AN204" i="5"/>
  <c r="AG205" i="5"/>
  <c r="AF205" i="5"/>
  <c r="B220" i="4"/>
  <c r="C220" i="4"/>
  <c r="C205" i="5"/>
  <c r="D220" i="4"/>
  <c r="E205" i="5"/>
  <c r="K205" i="5"/>
  <c r="I220" i="4"/>
  <c r="L205" i="5"/>
  <c r="J220" i="4"/>
  <c r="N205" i="5"/>
  <c r="O205" i="5"/>
  <c r="L220" i="4"/>
  <c r="Q205" i="5"/>
  <c r="M220" i="4"/>
  <c r="R205" i="5"/>
  <c r="N34" i="2"/>
  <c r="N220" i="4"/>
  <c r="T205" i="5"/>
  <c r="O220" i="4"/>
  <c r="U205" i="5"/>
  <c r="P220" i="4"/>
  <c r="W205" i="5"/>
  <c r="Q220" i="4"/>
  <c r="X205" i="5"/>
  <c r="S220" i="4"/>
  <c r="AA205" i="5"/>
  <c r="AI220" i="4"/>
  <c r="T220" i="4" a="1"/>
  <c r="T220" i="4"/>
  <c r="AC205" i="5"/>
  <c r="U220" i="4" a="1"/>
  <c r="U220" i="4"/>
  <c r="AD205" i="5"/>
  <c r="X220" i="4"/>
  <c r="AI205" i="5"/>
  <c r="Y220" i="4"/>
  <c r="AJ205" i="5"/>
  <c r="Z220" i="4"/>
  <c r="AL205" i="5"/>
  <c r="F205" i="5"/>
  <c r="H205" i="5"/>
  <c r="I205" i="5"/>
  <c r="Z205" i="5"/>
  <c r="AN205" i="5"/>
  <c r="AG206" i="5"/>
  <c r="AF206" i="5"/>
  <c r="C33" i="2"/>
  <c r="B221" i="4"/>
  <c r="C221" i="4"/>
  <c r="C206" i="5"/>
  <c r="D33" i="2"/>
  <c r="D221" i="4"/>
  <c r="E206" i="5"/>
  <c r="K206" i="5"/>
  <c r="L33" i="2"/>
  <c r="L221" i="4"/>
  <c r="Q206" i="5"/>
  <c r="M33" i="2"/>
  <c r="M221" i="4"/>
  <c r="R206" i="5"/>
  <c r="N33" i="2"/>
  <c r="N221" i="4"/>
  <c r="T206" i="5"/>
  <c r="O33" i="2"/>
  <c r="O221" i="4"/>
  <c r="U206" i="5"/>
  <c r="P33" i="2"/>
  <c r="P221" i="4"/>
  <c r="W206" i="5"/>
  <c r="Q33" i="2"/>
  <c r="Q221" i="4"/>
  <c r="X206" i="5"/>
  <c r="S33" i="2"/>
  <c r="S221" i="4"/>
  <c r="AA206" i="5"/>
  <c r="AI221" i="4"/>
  <c r="T221" i="4" a="1"/>
  <c r="T221" i="4"/>
  <c r="AC206" i="5"/>
  <c r="U221" i="4" a="1"/>
  <c r="U221" i="4"/>
  <c r="AD206" i="5"/>
  <c r="X33" i="2"/>
  <c r="X221" i="4"/>
  <c r="AI206" i="5"/>
  <c r="Y33" i="2"/>
  <c r="Y221" i="4"/>
  <c r="AJ206" i="5"/>
  <c r="Z33" i="2"/>
  <c r="Z221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25" i="4"/>
  <c r="C225" i="4"/>
  <c r="C207" i="5"/>
  <c r="D37" i="2"/>
  <c r="D225" i="4"/>
  <c r="E207" i="5"/>
  <c r="H37" i="2"/>
  <c r="H225" i="4"/>
  <c r="K207" i="5"/>
  <c r="I37" i="2"/>
  <c r="I225" i="4"/>
  <c r="L207" i="5"/>
  <c r="J37" i="2"/>
  <c r="J225" i="4"/>
  <c r="N207" i="5"/>
  <c r="O207" i="5"/>
  <c r="L37" i="2"/>
  <c r="L225" i="4"/>
  <c r="Q207" i="5"/>
  <c r="M37" i="2"/>
  <c r="M225" i="4"/>
  <c r="R207" i="5"/>
  <c r="N37" i="2"/>
  <c r="N225" i="4"/>
  <c r="T207" i="5"/>
  <c r="O37" i="2"/>
  <c r="O225" i="4"/>
  <c r="U207" i="5"/>
  <c r="P37" i="2"/>
  <c r="P225" i="4"/>
  <c r="W207" i="5"/>
  <c r="Q37" i="2"/>
  <c r="Q225" i="4"/>
  <c r="X207" i="5"/>
  <c r="S37" i="2"/>
  <c r="S225" i="4"/>
  <c r="AA207" i="5"/>
  <c r="X37" i="2"/>
  <c r="X225" i="4"/>
  <c r="AI207" i="5"/>
  <c r="Y37" i="2"/>
  <c r="Y225" i="4"/>
  <c r="AJ207" i="5"/>
  <c r="Z37" i="2"/>
  <c r="Z225" i="4"/>
  <c r="AL207" i="5"/>
  <c r="F207" i="5"/>
  <c r="H207" i="5"/>
  <c r="I207" i="5"/>
  <c r="Z207" i="5"/>
  <c r="AN207" i="5"/>
  <c r="AG208" i="5"/>
  <c r="AF208" i="5"/>
  <c r="C230" i="4"/>
  <c r="C208" i="5"/>
  <c r="D230" i="4"/>
  <c r="E208" i="5"/>
  <c r="H230" i="4"/>
  <c r="K208" i="5"/>
  <c r="L230" i="4"/>
  <c r="Q208" i="5"/>
  <c r="M230" i="4"/>
  <c r="R208" i="5"/>
  <c r="T208" i="5"/>
  <c r="O230" i="4"/>
  <c r="U208" i="5"/>
  <c r="P230" i="4"/>
  <c r="W208" i="5"/>
  <c r="Q230" i="4"/>
  <c r="X208" i="5"/>
  <c r="S230" i="4"/>
  <c r="AA208" i="5"/>
  <c r="AI230" i="4"/>
  <c r="T230" i="4" a="1"/>
  <c r="T230" i="4"/>
  <c r="AC208" i="5"/>
  <c r="U230" i="4" a="1"/>
  <c r="U230" i="4"/>
  <c r="AD208" i="5"/>
  <c r="X230" i="4"/>
  <c r="AI208" i="5"/>
  <c r="Y230" i="4"/>
  <c r="AJ208" i="5"/>
  <c r="Z230" i="4"/>
  <c r="AL208" i="5"/>
  <c r="F208" i="5"/>
  <c r="H208" i="5"/>
  <c r="I208" i="5"/>
  <c r="L208" i="5"/>
  <c r="N208" i="5"/>
  <c r="O208" i="5"/>
  <c r="Z208" i="5"/>
  <c r="AN208" i="5"/>
  <c r="AG209" i="5"/>
  <c r="AF209" i="5"/>
  <c r="C231" i="4"/>
  <c r="C209" i="5"/>
  <c r="D231" i="4"/>
  <c r="E209" i="5"/>
  <c r="E231" i="4"/>
  <c r="F209" i="5"/>
  <c r="F231" i="4"/>
  <c r="H209" i="5"/>
  <c r="I209" i="5"/>
  <c r="H231" i="4"/>
  <c r="K209" i="5"/>
  <c r="L231" i="4"/>
  <c r="Q209" i="5"/>
  <c r="M231" i="4"/>
  <c r="R209" i="5"/>
  <c r="T209" i="5"/>
  <c r="O231" i="4"/>
  <c r="U209" i="5"/>
  <c r="P231" i="4"/>
  <c r="W209" i="5"/>
  <c r="Q231" i="4"/>
  <c r="X209" i="5"/>
  <c r="S231" i="4"/>
  <c r="AA209" i="5"/>
  <c r="AI231" i="4"/>
  <c r="T231" i="4" a="1"/>
  <c r="T231" i="4"/>
  <c r="AC209" i="5"/>
  <c r="U231" i="4" a="1"/>
  <c r="U231" i="4"/>
  <c r="AD209" i="5"/>
  <c r="X231" i="4"/>
  <c r="AI209" i="5"/>
  <c r="Y231" i="4"/>
  <c r="AJ209" i="5"/>
  <c r="Z231" i="4"/>
  <c r="AL209" i="5"/>
  <c r="L209" i="5"/>
  <c r="N209" i="5"/>
  <c r="O209" i="5"/>
  <c r="Z209" i="5"/>
  <c r="AN209" i="5"/>
  <c r="AG210" i="5"/>
  <c r="AF210" i="5"/>
  <c r="B233" i="4"/>
  <c r="C233" i="4"/>
  <c r="C210" i="5"/>
  <c r="D233" i="4"/>
  <c r="E210" i="5"/>
  <c r="E233" i="4"/>
  <c r="F210" i="5"/>
  <c r="F233" i="4"/>
  <c r="H210" i="5"/>
  <c r="I210" i="5"/>
  <c r="H233" i="4"/>
  <c r="K210" i="5"/>
  <c r="L233" i="4"/>
  <c r="Q210" i="5"/>
  <c r="M233" i="4"/>
  <c r="R210" i="5"/>
  <c r="N233" i="4"/>
  <c r="T210" i="5"/>
  <c r="O233" i="4"/>
  <c r="U210" i="5"/>
  <c r="P233" i="4"/>
  <c r="W210" i="5"/>
  <c r="Q233" i="4"/>
  <c r="X210" i="5"/>
  <c r="S233" i="4"/>
  <c r="AA210" i="5"/>
  <c r="AC210" i="5"/>
  <c r="AD210" i="5"/>
  <c r="X233" i="4"/>
  <c r="AI210" i="5"/>
  <c r="Y233" i="4"/>
  <c r="AJ210" i="5"/>
  <c r="Z233" i="4"/>
  <c r="AL210" i="5"/>
  <c r="L210" i="5"/>
  <c r="N210" i="5"/>
  <c r="O210" i="5"/>
  <c r="Z210" i="5"/>
  <c r="AN210" i="5"/>
  <c r="AG211" i="5"/>
  <c r="AF211" i="5"/>
  <c r="C234" i="4"/>
  <c r="C211" i="5"/>
  <c r="D234" i="4"/>
  <c r="E211" i="5"/>
  <c r="E234" i="4"/>
  <c r="F211" i="5"/>
  <c r="F234" i="4"/>
  <c r="H211" i="5"/>
  <c r="I211" i="5"/>
  <c r="H234" i="4"/>
  <c r="K211" i="5"/>
  <c r="L234" i="4"/>
  <c r="Q211" i="5"/>
  <c r="M234" i="4"/>
  <c r="R211" i="5"/>
  <c r="T211" i="5"/>
  <c r="O234" i="4"/>
  <c r="U211" i="5"/>
  <c r="P234" i="4"/>
  <c r="W211" i="5"/>
  <c r="Q234" i="4"/>
  <c r="X211" i="5"/>
  <c r="S234" i="4"/>
  <c r="AA211" i="5"/>
  <c r="AI234" i="4"/>
  <c r="T234" i="4" a="1"/>
  <c r="T234" i="4"/>
  <c r="AC211" i="5"/>
  <c r="U234" i="4" a="1"/>
  <c r="U234" i="4"/>
  <c r="AD211" i="5"/>
  <c r="X234" i="4"/>
  <c r="AI211" i="5"/>
  <c r="Y234" i="4"/>
  <c r="AJ211" i="5"/>
  <c r="Z234" i="4"/>
  <c r="AL211" i="5"/>
  <c r="L211" i="5"/>
  <c r="N211" i="5"/>
  <c r="O211" i="5"/>
  <c r="Z211" i="5"/>
  <c r="AN211" i="5"/>
  <c r="AG212" i="5"/>
  <c r="AF212" i="5"/>
  <c r="C235" i="4"/>
  <c r="C212" i="5"/>
  <c r="D235" i="4"/>
  <c r="E212" i="5"/>
  <c r="E235" i="4"/>
  <c r="F212" i="5"/>
  <c r="F235" i="4"/>
  <c r="H212" i="5"/>
  <c r="I212" i="5"/>
  <c r="H235" i="4"/>
  <c r="K212" i="5"/>
  <c r="L235" i="4"/>
  <c r="Q212" i="5"/>
  <c r="M235" i="4"/>
  <c r="R212" i="5"/>
  <c r="T212" i="5"/>
  <c r="U212" i="5"/>
  <c r="P235" i="4"/>
  <c r="W212" i="5"/>
  <c r="Q235" i="4"/>
  <c r="X212" i="5"/>
  <c r="S235" i="4"/>
  <c r="AA212" i="5"/>
  <c r="AI235" i="4"/>
  <c r="T235" i="4" a="1"/>
  <c r="T235" i="4"/>
  <c r="AC212" i="5"/>
  <c r="U235" i="4" a="1"/>
  <c r="U235" i="4"/>
  <c r="AD212" i="5"/>
  <c r="X235" i="4"/>
  <c r="AI212" i="5"/>
  <c r="Y235" i="4"/>
  <c r="AJ212" i="5"/>
  <c r="Z235" i="4"/>
  <c r="AL212" i="5"/>
  <c r="L212" i="5"/>
  <c r="N212" i="5"/>
  <c r="O212" i="5"/>
  <c r="Z212" i="5"/>
  <c r="AN212" i="5"/>
  <c r="AG213" i="5"/>
  <c r="AF213" i="5"/>
  <c r="B237" i="4"/>
  <c r="C237" i="4"/>
  <c r="C213" i="5"/>
  <c r="D237" i="4"/>
  <c r="E213" i="5"/>
  <c r="E237" i="4"/>
  <c r="F213" i="5"/>
  <c r="F237" i="4"/>
  <c r="H213" i="5"/>
  <c r="I213" i="5"/>
  <c r="H237" i="4"/>
  <c r="K213" i="5"/>
  <c r="L237" i="4"/>
  <c r="Q213" i="5"/>
  <c r="M237" i="4"/>
  <c r="R213" i="5"/>
  <c r="T213" i="5"/>
  <c r="O237" i="4"/>
  <c r="U213" i="5"/>
  <c r="P237" i="4"/>
  <c r="W213" i="5"/>
  <c r="Q237" i="4"/>
  <c r="X213" i="5"/>
  <c r="S237" i="4"/>
  <c r="AA213" i="5"/>
  <c r="AI237" i="4"/>
  <c r="T237" i="4" a="1"/>
  <c r="T237" i="4"/>
  <c r="AC213" i="5"/>
  <c r="U237" i="4" a="1"/>
  <c r="U237" i="4"/>
  <c r="AD213" i="5"/>
  <c r="X237" i="4"/>
  <c r="AI213" i="5"/>
  <c r="Y237" i="4"/>
  <c r="AJ213" i="5"/>
  <c r="Z237" i="4"/>
  <c r="AL213" i="5"/>
  <c r="L213" i="5"/>
  <c r="N213" i="5"/>
  <c r="O213" i="5"/>
  <c r="Z213" i="5"/>
  <c r="AN213" i="5"/>
  <c r="AG214" i="5"/>
  <c r="AF214" i="5"/>
  <c r="B239" i="4"/>
  <c r="C239" i="4"/>
  <c r="C214" i="5"/>
  <c r="D239" i="4"/>
  <c r="E214" i="5"/>
  <c r="E239" i="4"/>
  <c r="F214" i="5"/>
  <c r="F239" i="4"/>
  <c r="H214" i="5"/>
  <c r="I214" i="5"/>
  <c r="H239" i="4"/>
  <c r="K214" i="5"/>
  <c r="L239" i="4"/>
  <c r="Q214" i="5"/>
  <c r="M239" i="4"/>
  <c r="R214" i="5"/>
  <c r="T214" i="5"/>
  <c r="O239" i="4"/>
  <c r="U214" i="5"/>
  <c r="P239" i="4"/>
  <c r="W214" i="5"/>
  <c r="Q239" i="4"/>
  <c r="X214" i="5"/>
  <c r="S239" i="4"/>
  <c r="AA214" i="5"/>
  <c r="AI239" i="4"/>
  <c r="T239" i="4" a="1"/>
  <c r="T239" i="4"/>
  <c r="AC214" i="5"/>
  <c r="U239" i="4" a="1"/>
  <c r="U239" i="4"/>
  <c r="AD214" i="5"/>
  <c r="X239" i="4"/>
  <c r="AI214" i="5"/>
  <c r="Y239" i="4"/>
  <c r="AJ214" i="5"/>
  <c r="Z239" i="4"/>
  <c r="AL214" i="5"/>
  <c r="L214" i="5"/>
  <c r="N214" i="5"/>
  <c r="O214" i="5"/>
  <c r="Z214" i="5"/>
  <c r="AN214" i="5"/>
  <c r="O215" i="5"/>
  <c r="B240" i="4"/>
  <c r="H240" i="4"/>
  <c r="K215" i="5"/>
  <c r="AG215" i="5"/>
  <c r="AF215" i="5"/>
  <c r="C240" i="4"/>
  <c r="C215" i="5"/>
  <c r="D240" i="4"/>
  <c r="E215" i="5"/>
  <c r="E240" i="4"/>
  <c r="F215" i="5"/>
  <c r="F240" i="4"/>
  <c r="H215" i="5"/>
  <c r="I215" i="5"/>
  <c r="I240" i="4"/>
  <c r="L215" i="5"/>
  <c r="J240" i="4"/>
  <c r="N215" i="5"/>
  <c r="L240" i="4"/>
  <c r="Q215" i="5"/>
  <c r="M240" i="4"/>
  <c r="R215" i="5"/>
  <c r="N240" i="4"/>
  <c r="T215" i="5"/>
  <c r="O240" i="4"/>
  <c r="U215" i="5"/>
  <c r="P240" i="4"/>
  <c r="W215" i="5"/>
  <c r="Q240" i="4"/>
  <c r="X215" i="5"/>
  <c r="S240" i="4"/>
  <c r="AA215" i="5"/>
  <c r="AI240" i="4"/>
  <c r="T240" i="4" a="1"/>
  <c r="T240" i="4"/>
  <c r="AC215" i="5"/>
  <c r="U240" i="4" a="1"/>
  <c r="U240" i="4"/>
  <c r="AD215" i="5"/>
  <c r="X240" i="4"/>
  <c r="AI215" i="5"/>
  <c r="Y240" i="4"/>
  <c r="AJ215" i="5"/>
  <c r="Z240" i="4"/>
  <c r="AL215" i="5"/>
  <c r="Z215" i="5"/>
  <c r="AN215" i="5"/>
  <c r="O216" i="5"/>
  <c r="B241" i="4"/>
  <c r="H241" i="4"/>
  <c r="K216" i="5"/>
  <c r="AG216" i="5"/>
  <c r="AF216" i="5"/>
  <c r="C241" i="4"/>
  <c r="C216" i="5"/>
  <c r="D241" i="4"/>
  <c r="E216" i="5"/>
  <c r="E241" i="4"/>
  <c r="F216" i="5"/>
  <c r="F241" i="4"/>
  <c r="H216" i="5"/>
  <c r="I216" i="5"/>
  <c r="L241" i="4"/>
  <c r="Q216" i="5"/>
  <c r="M241" i="4"/>
  <c r="R216" i="5"/>
  <c r="T216" i="5"/>
  <c r="O241" i="4"/>
  <c r="U216" i="5"/>
  <c r="P241" i="4"/>
  <c r="W216" i="5"/>
  <c r="Q241" i="4"/>
  <c r="X216" i="5"/>
  <c r="S241" i="4"/>
  <c r="AA216" i="5"/>
  <c r="AI241" i="4"/>
  <c r="T241" i="4" a="1"/>
  <c r="T241" i="4"/>
  <c r="AC216" i="5"/>
  <c r="U241" i="4" a="1"/>
  <c r="U241" i="4"/>
  <c r="AD216" i="5"/>
  <c r="X241" i="4"/>
  <c r="AI216" i="5"/>
  <c r="Y241" i="4"/>
  <c r="AJ216" i="5"/>
  <c r="Z241" i="4"/>
  <c r="AL216" i="5"/>
  <c r="Z216" i="5"/>
  <c r="AN216" i="5"/>
  <c r="O217" i="5"/>
  <c r="B242" i="4"/>
  <c r="H242" i="4"/>
  <c r="K217" i="5"/>
  <c r="AG217" i="5"/>
  <c r="AF217" i="5"/>
  <c r="C242" i="4"/>
  <c r="C217" i="5"/>
  <c r="D242" i="4"/>
  <c r="E217" i="5"/>
  <c r="E242" i="4"/>
  <c r="F217" i="5"/>
  <c r="F242" i="4"/>
  <c r="H217" i="5"/>
  <c r="I217" i="5"/>
  <c r="I242" i="4"/>
  <c r="L217" i="5"/>
  <c r="J242" i="4"/>
  <c r="N217" i="5"/>
  <c r="L242" i="4"/>
  <c r="Q217" i="5"/>
  <c r="M242" i="4"/>
  <c r="R217" i="5"/>
  <c r="T217" i="5"/>
  <c r="O242" i="4"/>
  <c r="U217" i="5"/>
  <c r="P242" i="4"/>
  <c r="W217" i="5"/>
  <c r="Q242" i="4"/>
  <c r="X217" i="5"/>
  <c r="S242" i="4"/>
  <c r="AA217" i="5"/>
  <c r="AI242" i="4"/>
  <c r="T242" i="4" a="1"/>
  <c r="T242" i="4"/>
  <c r="AC217" i="5"/>
  <c r="U242" i="4" a="1"/>
  <c r="U242" i="4"/>
  <c r="AD217" i="5"/>
  <c r="X242" i="4"/>
  <c r="AI217" i="5"/>
  <c r="Y242" i="4"/>
  <c r="AJ217" i="5"/>
  <c r="Z242" i="4"/>
  <c r="AL217" i="5"/>
  <c r="Z217" i="5"/>
  <c r="AN217" i="5"/>
  <c r="AG218" i="5"/>
  <c r="AF218" i="5"/>
  <c r="B243" i="4"/>
  <c r="C243" i="4"/>
  <c r="C218" i="5"/>
  <c r="D243" i="4"/>
  <c r="E218" i="5"/>
  <c r="H243" i="4"/>
  <c r="K218" i="5"/>
  <c r="L243" i="4"/>
  <c r="Q218" i="5"/>
  <c r="M243" i="4"/>
  <c r="R218" i="5"/>
  <c r="N243" i="4"/>
  <c r="T218" i="5"/>
  <c r="O243" i="4"/>
  <c r="U218" i="5"/>
  <c r="P243" i="4"/>
  <c r="W218" i="5"/>
  <c r="Q243" i="4"/>
  <c r="X218" i="5"/>
  <c r="S243" i="4"/>
  <c r="AA218" i="5"/>
  <c r="AI243" i="4"/>
  <c r="T243" i="4" a="1"/>
  <c r="T243" i="4"/>
  <c r="AC218" i="5"/>
  <c r="U243" i="4" a="1"/>
  <c r="U243" i="4"/>
  <c r="AD218" i="5"/>
  <c r="X243" i="4"/>
  <c r="AI218" i="5"/>
  <c r="Y243" i="4"/>
  <c r="AJ218" i="5"/>
  <c r="Z243" i="4"/>
  <c r="AL218" i="5"/>
  <c r="F218" i="5"/>
  <c r="H218" i="5"/>
  <c r="I218" i="5"/>
  <c r="L218" i="5"/>
  <c r="N218" i="5"/>
  <c r="O218" i="5"/>
  <c r="Z218" i="5"/>
  <c r="AN218" i="5"/>
  <c r="AG219" i="5"/>
  <c r="AF219" i="5"/>
  <c r="B298" i="4"/>
  <c r="C298" i="4"/>
  <c r="C219" i="5"/>
  <c r="D298" i="4"/>
  <c r="E219" i="5"/>
  <c r="E298" i="4"/>
  <c r="F219" i="5"/>
  <c r="F298" i="4"/>
  <c r="H219" i="5"/>
  <c r="I219" i="5"/>
  <c r="H298" i="4"/>
  <c r="K219" i="5"/>
  <c r="L298" i="4"/>
  <c r="Q219" i="5"/>
  <c r="M298" i="4"/>
  <c r="R219" i="5"/>
  <c r="T219" i="5"/>
  <c r="O298" i="4"/>
  <c r="U219" i="5"/>
  <c r="P298" i="4"/>
  <c r="W219" i="5"/>
  <c r="Q298" i="4"/>
  <c r="X219" i="5"/>
  <c r="AA219" i="5"/>
  <c r="AI298" i="4"/>
  <c r="T298" i="4" a="1"/>
  <c r="T298" i="4"/>
  <c r="AC219" i="5"/>
  <c r="U298" i="4" a="1"/>
  <c r="U298" i="4"/>
  <c r="AD219" i="5"/>
  <c r="X298" i="4"/>
  <c r="AI219" i="5"/>
  <c r="L219" i="5"/>
  <c r="N219" i="5"/>
  <c r="O219" i="5"/>
  <c r="Z219" i="5"/>
  <c r="AN219" i="5"/>
  <c r="AG220" i="5"/>
  <c r="AF220" i="5"/>
  <c r="B245" i="4"/>
  <c r="C245" i="4"/>
  <c r="C220" i="5"/>
  <c r="D245" i="4"/>
  <c r="E220" i="5"/>
  <c r="E245" i="4"/>
  <c r="F220" i="5"/>
  <c r="F245" i="4"/>
  <c r="H220" i="5"/>
  <c r="I220" i="5"/>
  <c r="H245" i="4"/>
  <c r="K220" i="5"/>
  <c r="L245" i="4"/>
  <c r="Q220" i="5"/>
  <c r="M245" i="4"/>
  <c r="R220" i="5"/>
  <c r="T220" i="5"/>
  <c r="O245" i="4"/>
  <c r="U220" i="5"/>
  <c r="P245" i="4"/>
  <c r="W220" i="5"/>
  <c r="Q245" i="4"/>
  <c r="X220" i="5"/>
  <c r="S245" i="4"/>
  <c r="AA220" i="5"/>
  <c r="AI245" i="4"/>
  <c r="T245" i="4" a="1"/>
  <c r="T245" i="4"/>
  <c r="AC220" i="5"/>
  <c r="U245" i="4" a="1"/>
  <c r="U245" i="4"/>
  <c r="AD220" i="5"/>
  <c r="X245" i="4"/>
  <c r="AI220" i="5"/>
  <c r="Y245" i="4"/>
  <c r="AJ220" i="5"/>
  <c r="Z245" i="4"/>
  <c r="AL220" i="5"/>
  <c r="L220" i="5"/>
  <c r="N220" i="5"/>
  <c r="O220" i="5"/>
  <c r="Z220" i="5"/>
  <c r="AN220" i="5"/>
  <c r="O221" i="5"/>
  <c r="B246" i="4"/>
  <c r="H246" i="4"/>
  <c r="K221" i="5"/>
  <c r="AG221" i="5"/>
  <c r="AF221" i="5"/>
  <c r="C246" i="4"/>
  <c r="C221" i="5"/>
  <c r="D246" i="4"/>
  <c r="E221" i="5"/>
  <c r="E246" i="4"/>
  <c r="F221" i="5"/>
  <c r="F246" i="4"/>
  <c r="H221" i="5"/>
  <c r="I221" i="5"/>
  <c r="I15" i="2"/>
  <c r="I246" i="4"/>
  <c r="L221" i="5"/>
  <c r="J246" i="4"/>
  <c r="N221" i="5"/>
  <c r="L246" i="4"/>
  <c r="Q221" i="5"/>
  <c r="M246" i="4"/>
  <c r="R221" i="5"/>
  <c r="T221" i="5"/>
  <c r="O246" i="4"/>
  <c r="U221" i="5"/>
  <c r="P246" i="4"/>
  <c r="W221" i="5"/>
  <c r="Q246" i="4"/>
  <c r="X221" i="5"/>
  <c r="S246" i="4"/>
  <c r="AA221" i="5"/>
  <c r="AI246" i="4"/>
  <c r="T246" i="4" a="1"/>
  <c r="T246" i="4"/>
  <c r="AC221" i="5"/>
  <c r="U246" i="4" a="1"/>
  <c r="U246" i="4"/>
  <c r="AD221" i="5"/>
  <c r="X246" i="4"/>
  <c r="AI221" i="5"/>
  <c r="Y246" i="4"/>
  <c r="AJ221" i="5"/>
  <c r="Z246" i="4"/>
  <c r="AL221" i="5"/>
  <c r="Z221" i="5"/>
  <c r="AN221" i="5"/>
  <c r="AG222" i="5"/>
  <c r="AF222" i="5"/>
  <c r="C247" i="4"/>
  <c r="C222" i="5"/>
  <c r="T222" i="5"/>
  <c r="O247" i="4"/>
  <c r="U222" i="5"/>
  <c r="P247" i="4"/>
  <c r="W222" i="5"/>
  <c r="Q247" i="4"/>
  <c r="X222" i="5"/>
  <c r="S247" i="4"/>
  <c r="AA222" i="5"/>
  <c r="AI247" i="4"/>
  <c r="T247" i="4" a="1"/>
  <c r="T247" i="4"/>
  <c r="AC222" i="5"/>
  <c r="U247" i="4" a="1"/>
  <c r="U247" i="4"/>
  <c r="AD222" i="5"/>
  <c r="AI222" i="5"/>
  <c r="Y247" i="4"/>
  <c r="AJ222" i="5"/>
  <c r="Z247" i="4"/>
  <c r="AL222" i="5"/>
  <c r="L222" i="5"/>
  <c r="N222" i="5"/>
  <c r="O222" i="5"/>
  <c r="Z222" i="5"/>
  <c r="AN222" i="5"/>
  <c r="AG223" i="5"/>
  <c r="AF223" i="5"/>
  <c r="B248" i="4"/>
  <c r="C248" i="4"/>
  <c r="C223" i="5"/>
  <c r="E223" i="5"/>
  <c r="K223" i="5"/>
  <c r="L248" i="4"/>
  <c r="Q223" i="5"/>
  <c r="M21" i="2"/>
  <c r="M248" i="4"/>
  <c r="R223" i="5"/>
  <c r="T223" i="5"/>
  <c r="O248" i="4"/>
  <c r="U223" i="5"/>
  <c r="P248" i="4"/>
  <c r="W223" i="5"/>
  <c r="X223" i="5"/>
  <c r="S248" i="4"/>
  <c r="AA223" i="5"/>
  <c r="AI248" i="4"/>
  <c r="T248" i="4" a="1"/>
  <c r="T248" i="4"/>
  <c r="AC223" i="5"/>
  <c r="U248" i="4" a="1"/>
  <c r="U248" i="4"/>
  <c r="AD223" i="5"/>
  <c r="X248" i="4"/>
  <c r="AI223" i="5"/>
  <c r="Y248" i="4"/>
  <c r="AJ223" i="5"/>
  <c r="Z248" i="4"/>
  <c r="AL223" i="5"/>
  <c r="F223" i="5"/>
  <c r="H223" i="5"/>
  <c r="I223" i="5"/>
  <c r="L223" i="5"/>
  <c r="N223" i="5"/>
  <c r="O223" i="5"/>
  <c r="Z223" i="5"/>
  <c r="AN223" i="5"/>
  <c r="O224" i="5"/>
  <c r="B249" i="4"/>
  <c r="H249" i="4"/>
  <c r="K224" i="5"/>
  <c r="AG224" i="5"/>
  <c r="AF224" i="5"/>
  <c r="C249" i="4"/>
  <c r="C224" i="5"/>
  <c r="D249" i="4"/>
  <c r="E224" i="5"/>
  <c r="I249" i="4"/>
  <c r="L224" i="5"/>
  <c r="J249" i="4"/>
  <c r="N224" i="5"/>
  <c r="L249" i="4"/>
  <c r="Q224" i="5"/>
  <c r="M249" i="4"/>
  <c r="R224" i="5"/>
  <c r="T224" i="5"/>
  <c r="O249" i="4"/>
  <c r="U224" i="5"/>
  <c r="P249" i="4"/>
  <c r="W224" i="5"/>
  <c r="Q249" i="4"/>
  <c r="X224" i="5"/>
  <c r="AA224" i="5"/>
  <c r="AI249" i="4"/>
  <c r="T249" i="4" a="1"/>
  <c r="T249" i="4"/>
  <c r="AC224" i="5"/>
  <c r="U249" i="4" a="1"/>
  <c r="U249" i="4"/>
  <c r="AD224" i="5"/>
  <c r="X249" i="4"/>
  <c r="AI224" i="5"/>
  <c r="Y249" i="4"/>
  <c r="AJ224" i="5"/>
  <c r="Z249" i="4"/>
  <c r="AL224" i="5"/>
  <c r="F224" i="5"/>
  <c r="H224" i="5"/>
  <c r="I224" i="5"/>
  <c r="Z224" i="5"/>
  <c r="AN224" i="5"/>
  <c r="AG225" i="5"/>
  <c r="AF225" i="5"/>
  <c r="C250" i="4"/>
  <c r="C225" i="5"/>
  <c r="E29" i="2"/>
  <c r="F29" i="2"/>
  <c r="T225" i="5"/>
  <c r="O250" i="4"/>
  <c r="U225" i="5"/>
  <c r="P250" i="4"/>
  <c r="W225" i="5"/>
  <c r="S250" i="4"/>
  <c r="AA225" i="5"/>
  <c r="AI250" i="4"/>
  <c r="T250" i="4" a="1"/>
  <c r="T250" i="4"/>
  <c r="AC225" i="5"/>
  <c r="U250" i="4" a="1"/>
  <c r="U250" i="4"/>
  <c r="AD225" i="5"/>
  <c r="X250" i="4"/>
  <c r="AI225" i="5"/>
  <c r="Y250" i="4"/>
  <c r="AJ225" i="5"/>
  <c r="Z250" i="4"/>
  <c r="AL225" i="5"/>
  <c r="L225" i="5"/>
  <c r="N225" i="5"/>
  <c r="O225" i="5"/>
  <c r="X225" i="5"/>
  <c r="Z225" i="5"/>
  <c r="AN225" i="5"/>
  <c r="AG226" i="5"/>
  <c r="AF226" i="5"/>
  <c r="C251" i="4"/>
  <c r="C226" i="5"/>
  <c r="T226" i="5"/>
  <c r="U226" i="5"/>
  <c r="P251" i="4"/>
  <c r="W226" i="5"/>
  <c r="Q251" i="4"/>
  <c r="X226" i="5"/>
  <c r="R251" i="4"/>
  <c r="Z226" i="5"/>
  <c r="S251" i="4"/>
  <c r="AA226" i="5"/>
  <c r="AI251" i="4"/>
  <c r="T251" i="4" a="1"/>
  <c r="T251" i="4"/>
  <c r="AC226" i="5"/>
  <c r="U251" i="4" a="1"/>
  <c r="U251" i="4"/>
  <c r="AD226" i="5"/>
  <c r="X251" i="4"/>
  <c r="AI226" i="5"/>
  <c r="Y251" i="4"/>
  <c r="AJ226" i="5"/>
  <c r="Z251" i="4"/>
  <c r="AL226" i="5"/>
  <c r="AN226" i="5"/>
  <c r="AG227" i="5"/>
  <c r="AF227" i="5"/>
  <c r="B252" i="4"/>
  <c r="C252" i="4"/>
  <c r="C227" i="5"/>
  <c r="E227" i="5"/>
  <c r="H252" i="4"/>
  <c r="K227" i="5"/>
  <c r="L252" i="4"/>
  <c r="Q227" i="5"/>
  <c r="M252" i="4"/>
  <c r="R227" i="5"/>
  <c r="T227" i="5"/>
  <c r="O252" i="4"/>
  <c r="U227" i="5"/>
  <c r="P252" i="4"/>
  <c r="W227" i="5"/>
  <c r="X227" i="5"/>
  <c r="AA227" i="5"/>
  <c r="AI252" i="4"/>
  <c r="T252" i="4" a="1"/>
  <c r="T252" i="4"/>
  <c r="AC227" i="5"/>
  <c r="U252" i="4" a="1"/>
  <c r="U252" i="4"/>
  <c r="AD227" i="5"/>
  <c r="AI227" i="5"/>
  <c r="AJ227" i="5"/>
  <c r="Z252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253" i="4"/>
  <c r="C253" i="4"/>
  <c r="C228" i="5"/>
  <c r="D253" i="4"/>
  <c r="E228" i="5"/>
  <c r="E253" i="4"/>
  <c r="F228" i="5"/>
  <c r="F253" i="4"/>
  <c r="H228" i="5"/>
  <c r="I228" i="5"/>
  <c r="I19" i="2"/>
  <c r="I253" i="4"/>
  <c r="L228" i="5"/>
  <c r="J19" i="2"/>
  <c r="J253" i="4"/>
  <c r="N228" i="5"/>
  <c r="L253" i="4"/>
  <c r="Q228" i="5"/>
  <c r="M253" i="4"/>
  <c r="R228" i="5"/>
  <c r="T228" i="5"/>
  <c r="O253" i="4"/>
  <c r="U228" i="5"/>
  <c r="P253" i="4"/>
  <c r="W228" i="5"/>
  <c r="Q253" i="4"/>
  <c r="X228" i="5"/>
  <c r="S253" i="4"/>
  <c r="AA228" i="5"/>
  <c r="AI253" i="4"/>
  <c r="T253" i="4" a="1"/>
  <c r="T253" i="4"/>
  <c r="AC228" i="5"/>
  <c r="U253" i="4" a="1"/>
  <c r="U253" i="4"/>
  <c r="AD228" i="5"/>
  <c r="AI228" i="5"/>
  <c r="Y253" i="4"/>
  <c r="AJ228" i="5"/>
  <c r="Z253" i="4"/>
  <c r="AL228" i="5"/>
  <c r="Z228" i="5"/>
  <c r="AN228" i="5"/>
  <c r="AG229" i="5"/>
  <c r="AF229" i="5"/>
  <c r="B255" i="4"/>
  <c r="C255" i="4"/>
  <c r="C229" i="5"/>
  <c r="D255" i="4"/>
  <c r="E229" i="5"/>
  <c r="E255" i="4"/>
  <c r="F229" i="5"/>
  <c r="F255" i="4"/>
  <c r="H229" i="5"/>
  <c r="I229" i="5"/>
  <c r="H255" i="4"/>
  <c r="K229" i="5"/>
  <c r="L255" i="4"/>
  <c r="Q229" i="5"/>
  <c r="M255" i="4"/>
  <c r="R229" i="5"/>
  <c r="T229" i="5"/>
  <c r="O255" i="4"/>
  <c r="U229" i="5"/>
  <c r="P255" i="4"/>
  <c r="W229" i="5"/>
  <c r="Q255" i="4"/>
  <c r="X229" i="5"/>
  <c r="S255" i="4"/>
  <c r="AA229" i="5"/>
  <c r="AI255" i="4"/>
  <c r="T255" i="4" a="1"/>
  <c r="T255" i="4"/>
  <c r="AC229" i="5"/>
  <c r="U255" i="4" a="1"/>
  <c r="U255" i="4"/>
  <c r="AD229" i="5"/>
  <c r="X255" i="4"/>
  <c r="AI229" i="5"/>
  <c r="Y255" i="4"/>
  <c r="AJ229" i="5"/>
  <c r="Z255" i="4"/>
  <c r="AL229" i="5"/>
  <c r="L229" i="5"/>
  <c r="N229" i="5"/>
  <c r="O229" i="5"/>
  <c r="Z229" i="5"/>
  <c r="AN229" i="5"/>
  <c r="AG230" i="5"/>
  <c r="AF230" i="5"/>
  <c r="C256" i="4"/>
  <c r="C230" i="5"/>
  <c r="E24" i="2"/>
  <c r="F24" i="2"/>
  <c r="T230" i="5"/>
  <c r="U230" i="5"/>
  <c r="P256" i="4"/>
  <c r="W230" i="5"/>
  <c r="Q256" i="4"/>
  <c r="X230" i="5"/>
  <c r="S256" i="4"/>
  <c r="AA230" i="5"/>
  <c r="AI256" i="4"/>
  <c r="T256" i="4" a="1"/>
  <c r="T256" i="4"/>
  <c r="AC230" i="5"/>
  <c r="U256" i="4" a="1"/>
  <c r="U256" i="4"/>
  <c r="AD230" i="5"/>
  <c r="X256" i="4"/>
  <c r="AI230" i="5"/>
  <c r="Y256" i="4"/>
  <c r="AJ230" i="5"/>
  <c r="Z256" i="4"/>
  <c r="AL230" i="5"/>
  <c r="Z230" i="5"/>
  <c r="AN230" i="5"/>
  <c r="AG231" i="5"/>
  <c r="AF231" i="5"/>
  <c r="B260" i="4"/>
  <c r="C260" i="4"/>
  <c r="C231" i="5"/>
  <c r="D260" i="4"/>
  <c r="E231" i="5"/>
  <c r="H260" i="4"/>
  <c r="K231" i="5"/>
  <c r="L260" i="4"/>
  <c r="Q231" i="5"/>
  <c r="M260" i="4"/>
  <c r="R231" i="5"/>
  <c r="T231" i="5"/>
  <c r="O260" i="4"/>
  <c r="U231" i="5"/>
  <c r="P260" i="4"/>
  <c r="W231" i="5"/>
  <c r="Q260" i="4"/>
  <c r="X231" i="5"/>
  <c r="S260" i="4"/>
  <c r="AA231" i="5"/>
  <c r="AI260" i="4"/>
  <c r="T260" i="4" a="1"/>
  <c r="T260" i="4"/>
  <c r="AC231" i="5"/>
  <c r="U260" i="4" a="1"/>
  <c r="U260" i="4"/>
  <c r="AD231" i="5"/>
  <c r="X260" i="4"/>
  <c r="AI231" i="5"/>
  <c r="Y260" i="4"/>
  <c r="AJ231" i="5"/>
  <c r="Z260" i="4"/>
  <c r="AL231" i="5"/>
  <c r="L231" i="5"/>
  <c r="N231" i="5"/>
  <c r="O231" i="5"/>
  <c r="F231" i="5"/>
  <c r="H231" i="5"/>
  <c r="I231" i="5"/>
  <c r="Z231" i="5"/>
  <c r="AN231" i="5"/>
  <c r="AG232" i="5"/>
  <c r="AF232" i="5"/>
  <c r="B262" i="4"/>
  <c r="C262" i="4"/>
  <c r="C232" i="5"/>
  <c r="D262" i="4"/>
  <c r="E232" i="5"/>
  <c r="H262" i="4"/>
  <c r="K232" i="5"/>
  <c r="L262" i="4"/>
  <c r="Q232" i="5"/>
  <c r="M262" i="4"/>
  <c r="R232" i="5"/>
  <c r="T232" i="5"/>
  <c r="O262" i="4"/>
  <c r="U232" i="5"/>
  <c r="P262" i="4"/>
  <c r="W232" i="5"/>
  <c r="Q262" i="4"/>
  <c r="X232" i="5"/>
  <c r="S262" i="4"/>
  <c r="AA232" i="5"/>
  <c r="AI262" i="4"/>
  <c r="T262" i="4" a="1"/>
  <c r="T262" i="4"/>
  <c r="AC232" i="5"/>
  <c r="U262" i="4" a="1"/>
  <c r="U262" i="4"/>
  <c r="AD232" i="5"/>
  <c r="X262" i="4"/>
  <c r="AI232" i="5"/>
  <c r="Y262" i="4"/>
  <c r="AJ232" i="5"/>
  <c r="Z262" i="4"/>
  <c r="AL232" i="5"/>
  <c r="L232" i="5"/>
  <c r="N232" i="5"/>
  <c r="O232" i="5"/>
  <c r="F232" i="5"/>
  <c r="H232" i="5"/>
  <c r="I232" i="5"/>
  <c r="Z232" i="5"/>
  <c r="AN232" i="5"/>
  <c r="B268" i="4"/>
  <c r="S268" i="4"/>
  <c r="AA233" i="5"/>
  <c r="P268" i="4"/>
  <c r="W233" i="5"/>
  <c r="AG233" i="5"/>
  <c r="AF233" i="5"/>
  <c r="C268" i="4"/>
  <c r="C233" i="5"/>
  <c r="D268" i="4"/>
  <c r="E233" i="5"/>
  <c r="K233" i="5"/>
  <c r="L268" i="4"/>
  <c r="Q233" i="5"/>
  <c r="M268" i="4"/>
  <c r="R233" i="5"/>
  <c r="T233" i="5"/>
  <c r="U233" i="5"/>
  <c r="Q268" i="4"/>
  <c r="X233" i="5"/>
  <c r="R268" i="4"/>
  <c r="Z233" i="5"/>
  <c r="AI268" i="4"/>
  <c r="T268" i="4" a="1"/>
  <c r="T268" i="4"/>
  <c r="AC233" i="5"/>
  <c r="U268" i="4" a="1"/>
  <c r="U268" i="4"/>
  <c r="AD233" i="5"/>
  <c r="X268" i="4"/>
  <c r="AI233" i="5"/>
  <c r="Y268" i="4"/>
  <c r="AJ233" i="5"/>
  <c r="Z268" i="4"/>
  <c r="AL233" i="5"/>
  <c r="L233" i="5"/>
  <c r="N233" i="5"/>
  <c r="O233" i="5"/>
  <c r="F233" i="5"/>
  <c r="H233" i="5"/>
  <c r="I233" i="5"/>
  <c r="AN233" i="5"/>
  <c r="AG234" i="5"/>
  <c r="AF234" i="5"/>
  <c r="B270" i="4"/>
  <c r="C270" i="4"/>
  <c r="C234" i="5"/>
  <c r="D270" i="4"/>
  <c r="E234" i="5"/>
  <c r="K234" i="5"/>
  <c r="L270" i="4"/>
  <c r="Q234" i="5"/>
  <c r="M270" i="4"/>
  <c r="R234" i="5"/>
  <c r="T234" i="5"/>
  <c r="U234" i="5"/>
  <c r="P270" i="4"/>
  <c r="W234" i="5"/>
  <c r="Q270" i="4"/>
  <c r="X234" i="5"/>
  <c r="S270" i="4"/>
  <c r="AA234" i="5"/>
  <c r="AI270" i="4"/>
  <c r="T270" i="4" a="1"/>
  <c r="T270" i="4"/>
  <c r="AC234" i="5"/>
  <c r="U270" i="4" a="1"/>
  <c r="U270" i="4"/>
  <c r="AD234" i="5"/>
  <c r="X270" i="4"/>
  <c r="AI234" i="5"/>
  <c r="Y270" i="4"/>
  <c r="AJ234" i="5"/>
  <c r="Z270" i="4"/>
  <c r="AL234" i="5"/>
  <c r="F234" i="5"/>
  <c r="H234" i="5"/>
  <c r="I234" i="5"/>
  <c r="L234" i="5"/>
  <c r="N234" i="5"/>
  <c r="O234" i="5"/>
  <c r="Z234" i="5"/>
  <c r="AN234" i="5"/>
  <c r="AG235" i="5"/>
  <c r="AF235" i="5"/>
  <c r="B271" i="4"/>
  <c r="C271" i="4"/>
  <c r="C235" i="5"/>
  <c r="D271" i="4"/>
  <c r="E235" i="5"/>
  <c r="K235" i="5"/>
  <c r="L271" i="4"/>
  <c r="Q235" i="5"/>
  <c r="M271" i="4"/>
  <c r="R235" i="5"/>
  <c r="T235" i="5"/>
  <c r="U235" i="5"/>
  <c r="P271" i="4"/>
  <c r="W235" i="5"/>
  <c r="Q271" i="4"/>
  <c r="X235" i="5"/>
  <c r="S271" i="4"/>
  <c r="AA235" i="5"/>
  <c r="AI271" i="4"/>
  <c r="T271" i="4" a="1"/>
  <c r="T271" i="4"/>
  <c r="AC235" i="5"/>
  <c r="U271" i="4" a="1"/>
  <c r="U271" i="4"/>
  <c r="AD235" i="5"/>
  <c r="X271" i="4"/>
  <c r="AI235" i="5"/>
  <c r="Y271" i="4"/>
  <c r="AJ235" i="5"/>
  <c r="Z271" i="4"/>
  <c r="AL235" i="5"/>
  <c r="F235" i="5"/>
  <c r="H235" i="5"/>
  <c r="I235" i="5"/>
  <c r="L235" i="5"/>
  <c r="N235" i="5"/>
  <c r="O235" i="5"/>
  <c r="Z235" i="5"/>
  <c r="AN235" i="5"/>
  <c r="AG236" i="5"/>
  <c r="AF236" i="5"/>
  <c r="B272" i="4"/>
  <c r="C272" i="4"/>
  <c r="C236" i="5"/>
  <c r="D272" i="4"/>
  <c r="E236" i="5"/>
  <c r="K236" i="5"/>
  <c r="L272" i="4"/>
  <c r="Q236" i="5"/>
  <c r="M272" i="4"/>
  <c r="R236" i="5"/>
  <c r="T236" i="5"/>
  <c r="U236" i="5"/>
  <c r="P272" i="4"/>
  <c r="W236" i="5"/>
  <c r="Q272" i="4"/>
  <c r="X236" i="5"/>
  <c r="S272" i="4"/>
  <c r="AA236" i="5"/>
  <c r="AI272" i="4"/>
  <c r="T272" i="4" a="1"/>
  <c r="T272" i="4"/>
  <c r="AC236" i="5"/>
  <c r="U272" i="4" a="1"/>
  <c r="U272" i="4"/>
  <c r="AD236" i="5"/>
  <c r="X272" i="4"/>
  <c r="AI236" i="5"/>
  <c r="Y272" i="4"/>
  <c r="AJ236" i="5"/>
  <c r="Z272" i="4"/>
  <c r="AL236" i="5"/>
  <c r="F236" i="5"/>
  <c r="H236" i="5"/>
  <c r="I236" i="5"/>
  <c r="L236" i="5"/>
  <c r="N236" i="5"/>
  <c r="O236" i="5"/>
  <c r="Z236" i="5"/>
  <c r="AN236" i="5"/>
  <c r="AG237" i="5"/>
  <c r="AF237" i="5"/>
  <c r="B273" i="4"/>
  <c r="C273" i="4"/>
  <c r="C237" i="5"/>
  <c r="D273" i="4"/>
  <c r="E237" i="5"/>
  <c r="K237" i="5"/>
  <c r="L273" i="4"/>
  <c r="Q237" i="5"/>
  <c r="M273" i="4"/>
  <c r="R237" i="5"/>
  <c r="T237" i="5"/>
  <c r="U237" i="5"/>
  <c r="P273" i="4"/>
  <c r="W237" i="5"/>
  <c r="Q273" i="4"/>
  <c r="X237" i="5"/>
  <c r="S273" i="4"/>
  <c r="AA237" i="5"/>
  <c r="AI273" i="4"/>
  <c r="T273" i="4" a="1"/>
  <c r="T273" i="4"/>
  <c r="AC237" i="5"/>
  <c r="U273" i="4" a="1"/>
  <c r="U273" i="4"/>
  <c r="AD237" i="5"/>
  <c r="X273" i="4"/>
  <c r="AI237" i="5"/>
  <c r="Y273" i="4"/>
  <c r="AJ237" i="5"/>
  <c r="Z273" i="4"/>
  <c r="AL237" i="5"/>
  <c r="F237" i="5"/>
  <c r="H237" i="5"/>
  <c r="I237" i="5"/>
  <c r="L237" i="5"/>
  <c r="N237" i="5"/>
  <c r="O237" i="5"/>
  <c r="Z237" i="5"/>
  <c r="AN237" i="5"/>
  <c r="AG238" i="5"/>
  <c r="AF238" i="5"/>
  <c r="B274" i="4"/>
  <c r="C274" i="4"/>
  <c r="C238" i="5"/>
  <c r="D274" i="4"/>
  <c r="E238" i="5"/>
  <c r="K238" i="5"/>
  <c r="L274" i="4"/>
  <c r="Q238" i="5"/>
  <c r="M274" i="4"/>
  <c r="R238" i="5"/>
  <c r="T238" i="5"/>
  <c r="U238" i="5"/>
  <c r="P274" i="4"/>
  <c r="W238" i="5"/>
  <c r="Q274" i="4"/>
  <c r="X238" i="5"/>
  <c r="S274" i="4"/>
  <c r="AA238" i="5"/>
  <c r="AI274" i="4"/>
  <c r="T274" i="4" a="1"/>
  <c r="T274" i="4"/>
  <c r="AC238" i="5"/>
  <c r="U274" i="4" a="1"/>
  <c r="U274" i="4"/>
  <c r="AD238" i="5"/>
  <c r="X274" i="4"/>
  <c r="AI238" i="5"/>
  <c r="Y274" i="4"/>
  <c r="AJ238" i="5"/>
  <c r="Z274" i="4"/>
  <c r="AL238" i="5"/>
  <c r="F238" i="5"/>
  <c r="H238" i="5"/>
  <c r="I238" i="5"/>
  <c r="L238" i="5"/>
  <c r="N238" i="5"/>
  <c r="O238" i="5"/>
  <c r="Z238" i="5"/>
  <c r="AN238" i="5"/>
  <c r="AG239" i="5"/>
  <c r="AF239" i="5"/>
  <c r="B275" i="4"/>
  <c r="C275" i="4"/>
  <c r="C239" i="5"/>
  <c r="D275" i="4"/>
  <c r="E239" i="5"/>
  <c r="E275" i="4"/>
  <c r="F239" i="5"/>
  <c r="F275" i="4"/>
  <c r="H239" i="5"/>
  <c r="I239" i="5"/>
  <c r="K239" i="5"/>
  <c r="L275" i="4"/>
  <c r="Q239" i="5"/>
  <c r="M275" i="4"/>
  <c r="R239" i="5"/>
  <c r="T239" i="5"/>
  <c r="O275" i="4"/>
  <c r="U239" i="5"/>
  <c r="P275" i="4"/>
  <c r="W239" i="5"/>
  <c r="Q275" i="4"/>
  <c r="X239" i="5"/>
  <c r="S275" i="4"/>
  <c r="AA239" i="5"/>
  <c r="AI275" i="4"/>
  <c r="T275" i="4" a="1"/>
  <c r="T275" i="4"/>
  <c r="AC239" i="5"/>
  <c r="U275" i="4" a="1"/>
  <c r="U275" i="4"/>
  <c r="AD239" i="5"/>
  <c r="X275" i="4"/>
  <c r="AI239" i="5"/>
  <c r="Y275" i="4"/>
  <c r="AJ239" i="5"/>
  <c r="Z275" i="4"/>
  <c r="AL239" i="5"/>
  <c r="L239" i="5"/>
  <c r="N239" i="5"/>
  <c r="O239" i="5"/>
  <c r="Z239" i="5"/>
  <c r="AN239" i="5"/>
  <c r="AG240" i="5"/>
  <c r="AF240" i="5"/>
  <c r="B276" i="4"/>
  <c r="C276" i="4"/>
  <c r="C240" i="5"/>
  <c r="D276" i="4"/>
  <c r="E240" i="5"/>
  <c r="E21" i="2"/>
  <c r="E276" i="4"/>
  <c r="F240" i="5"/>
  <c r="F21" i="2"/>
  <c r="F276" i="4"/>
  <c r="H240" i="5"/>
  <c r="I240" i="5"/>
  <c r="K240" i="5"/>
  <c r="L276" i="4"/>
  <c r="Q240" i="5"/>
  <c r="M276" i="4"/>
  <c r="R240" i="5"/>
  <c r="T240" i="5"/>
  <c r="O276" i="4"/>
  <c r="U240" i="5"/>
  <c r="P276" i="4"/>
  <c r="W240" i="5"/>
  <c r="S276" i="4"/>
  <c r="AA240" i="5"/>
  <c r="AI276" i="4"/>
  <c r="T276" i="4" a="1"/>
  <c r="T276" i="4"/>
  <c r="AC240" i="5"/>
  <c r="U276" i="4" a="1"/>
  <c r="U276" i="4"/>
  <c r="AD240" i="5"/>
  <c r="X276" i="4"/>
  <c r="AI240" i="5"/>
  <c r="Y276" i="4"/>
  <c r="AJ240" i="5"/>
  <c r="Z276" i="4"/>
  <c r="AL240" i="5"/>
  <c r="X240" i="5"/>
  <c r="L240" i="5"/>
  <c r="N240" i="5"/>
  <c r="O240" i="5"/>
  <c r="Z240" i="5"/>
  <c r="AN240" i="5"/>
  <c r="AG241" i="5"/>
  <c r="AF241" i="5"/>
  <c r="B277" i="4"/>
  <c r="C277" i="4"/>
  <c r="C241" i="5"/>
  <c r="D277" i="4"/>
  <c r="E241" i="5"/>
  <c r="H277" i="4"/>
  <c r="K241" i="5"/>
  <c r="L277" i="4"/>
  <c r="Q241" i="5"/>
  <c r="M277" i="4"/>
  <c r="R241" i="5"/>
  <c r="T241" i="5"/>
  <c r="U241" i="5"/>
  <c r="P277" i="4"/>
  <c r="W241" i="5"/>
  <c r="Q277" i="4"/>
  <c r="X241" i="5"/>
  <c r="AA241" i="5"/>
  <c r="AI277" i="4"/>
  <c r="T277" i="4" a="1"/>
  <c r="T277" i="4"/>
  <c r="AC241" i="5"/>
  <c r="U277" i="4" a="1"/>
  <c r="U277" i="4"/>
  <c r="AD241" i="5"/>
  <c r="Y277" i="4"/>
  <c r="AJ241" i="5"/>
  <c r="Z277" i="4"/>
  <c r="AL241" i="5"/>
  <c r="F241" i="5"/>
  <c r="H241" i="5"/>
  <c r="I241" i="5"/>
  <c r="L241" i="5"/>
  <c r="N241" i="5"/>
  <c r="O241" i="5"/>
  <c r="Z241" i="5"/>
  <c r="AN241" i="5"/>
  <c r="AG242" i="5"/>
  <c r="AF242" i="5"/>
  <c r="B278" i="4"/>
  <c r="C278" i="4"/>
  <c r="C242" i="5"/>
  <c r="D278" i="4"/>
  <c r="E242" i="5"/>
  <c r="H278" i="4"/>
  <c r="K242" i="5"/>
  <c r="L278" i="4"/>
  <c r="Q242" i="5"/>
  <c r="M278" i="4"/>
  <c r="R242" i="5"/>
  <c r="T242" i="5"/>
  <c r="O278" i="4"/>
  <c r="U242" i="5"/>
  <c r="P278" i="4"/>
  <c r="W242" i="5"/>
  <c r="Q278" i="4"/>
  <c r="X242" i="5"/>
  <c r="AA242" i="5"/>
  <c r="AI278" i="4"/>
  <c r="T278" i="4" a="1"/>
  <c r="T278" i="4"/>
  <c r="AC242" i="5"/>
  <c r="U278" i="4" a="1"/>
  <c r="U278" i="4"/>
  <c r="AD242" i="5"/>
  <c r="AI242" i="5"/>
  <c r="Y278" i="4"/>
  <c r="AJ242" i="5"/>
  <c r="Z278" i="4"/>
  <c r="AL242" i="5"/>
  <c r="F242" i="5"/>
  <c r="H242" i="5"/>
  <c r="I242" i="5"/>
  <c r="L242" i="5"/>
  <c r="N242" i="5"/>
  <c r="O242" i="5"/>
  <c r="Z242" i="5"/>
  <c r="AN242" i="5"/>
  <c r="AG243" i="5"/>
  <c r="AF243" i="5"/>
  <c r="B279" i="4"/>
  <c r="C279" i="4"/>
  <c r="C243" i="5"/>
  <c r="D279" i="4"/>
  <c r="E243" i="5"/>
  <c r="H279" i="4"/>
  <c r="K243" i="5"/>
  <c r="L279" i="4"/>
  <c r="Q243" i="5"/>
  <c r="M279" i="4"/>
  <c r="R243" i="5"/>
  <c r="T243" i="5"/>
  <c r="O279" i="4"/>
  <c r="U243" i="5"/>
  <c r="P279" i="4"/>
  <c r="W243" i="5"/>
  <c r="Q279" i="4"/>
  <c r="X243" i="5"/>
  <c r="AA243" i="5"/>
  <c r="AI279" i="4"/>
  <c r="T279" i="4" a="1"/>
  <c r="T279" i="4"/>
  <c r="AC243" i="5"/>
  <c r="U279" i="4" a="1"/>
  <c r="U279" i="4"/>
  <c r="AD243" i="5"/>
  <c r="AI243" i="5"/>
  <c r="Y279" i="4"/>
  <c r="AJ243" i="5"/>
  <c r="Z279" i="4"/>
  <c r="AL243" i="5"/>
  <c r="F243" i="5"/>
  <c r="H243" i="5"/>
  <c r="I243" i="5"/>
  <c r="L243" i="5"/>
  <c r="N243" i="5"/>
  <c r="O243" i="5"/>
  <c r="Z243" i="5"/>
  <c r="AN243" i="5"/>
  <c r="AG244" i="5"/>
  <c r="AF244" i="5"/>
  <c r="B280" i="4"/>
  <c r="C280" i="4"/>
  <c r="C244" i="5"/>
  <c r="D280" i="4"/>
  <c r="E244" i="5"/>
  <c r="H280" i="4"/>
  <c r="K244" i="5"/>
  <c r="L280" i="4"/>
  <c r="Q244" i="5"/>
  <c r="M280" i="4"/>
  <c r="R244" i="5"/>
  <c r="T244" i="5"/>
  <c r="U244" i="5"/>
  <c r="P280" i="4"/>
  <c r="W244" i="5"/>
  <c r="Q280" i="4"/>
  <c r="X244" i="5"/>
  <c r="AA244" i="5"/>
  <c r="AI280" i="4"/>
  <c r="T280" i="4" a="1"/>
  <c r="T280" i="4"/>
  <c r="AC244" i="5"/>
  <c r="U280" i="4" a="1"/>
  <c r="U280" i="4"/>
  <c r="AD244" i="5"/>
  <c r="X280" i="4"/>
  <c r="AI244" i="5"/>
  <c r="Y280" i="4"/>
  <c r="AJ244" i="5"/>
  <c r="Z280" i="4"/>
  <c r="AL244" i="5"/>
  <c r="F244" i="5"/>
  <c r="H244" i="5"/>
  <c r="I244" i="5"/>
  <c r="L244" i="5"/>
  <c r="N244" i="5"/>
  <c r="O244" i="5"/>
  <c r="Z244" i="5"/>
  <c r="AN244" i="5"/>
  <c r="AG245" i="5"/>
  <c r="AF245" i="5"/>
  <c r="B281" i="4"/>
  <c r="C281" i="4"/>
  <c r="C245" i="5"/>
  <c r="D281" i="4"/>
  <c r="E245" i="5"/>
  <c r="H281" i="4"/>
  <c r="K245" i="5"/>
  <c r="L281" i="4"/>
  <c r="Q245" i="5"/>
  <c r="M281" i="4"/>
  <c r="R245" i="5"/>
  <c r="T245" i="5"/>
  <c r="U245" i="5"/>
  <c r="P281" i="4"/>
  <c r="W245" i="5"/>
  <c r="Q281" i="4"/>
  <c r="X245" i="5"/>
  <c r="AA245" i="5"/>
  <c r="AI281" i="4"/>
  <c r="T281" i="4" a="1"/>
  <c r="T281" i="4"/>
  <c r="AC245" i="5"/>
  <c r="U281" i="4" a="1"/>
  <c r="U281" i="4"/>
  <c r="AD245" i="5"/>
  <c r="X281" i="4"/>
  <c r="AI245" i="5"/>
  <c r="Y281" i="4"/>
  <c r="AJ245" i="5"/>
  <c r="Z281" i="4"/>
  <c r="AL245" i="5"/>
  <c r="F245" i="5"/>
  <c r="H245" i="5"/>
  <c r="I245" i="5"/>
  <c r="L245" i="5"/>
  <c r="N245" i="5"/>
  <c r="O245" i="5"/>
  <c r="Z245" i="5"/>
  <c r="AN245" i="5"/>
  <c r="AG246" i="5"/>
  <c r="AF246" i="5"/>
  <c r="B282" i="4"/>
  <c r="C282" i="4"/>
  <c r="C246" i="5"/>
  <c r="D282" i="4"/>
  <c r="E246" i="5"/>
  <c r="H282" i="4"/>
  <c r="K246" i="5"/>
  <c r="L282" i="4"/>
  <c r="Q246" i="5"/>
  <c r="M282" i="4"/>
  <c r="R246" i="5"/>
  <c r="T246" i="5"/>
  <c r="U246" i="5"/>
  <c r="P282" i="4"/>
  <c r="W246" i="5"/>
  <c r="Q282" i="4"/>
  <c r="X246" i="5"/>
  <c r="AA246" i="5"/>
  <c r="AI282" i="4"/>
  <c r="T282" i="4" a="1"/>
  <c r="T282" i="4"/>
  <c r="AC246" i="5"/>
  <c r="U282" i="4" a="1"/>
  <c r="U282" i="4"/>
  <c r="AD246" i="5"/>
  <c r="X282" i="4"/>
  <c r="AI246" i="5"/>
  <c r="Y282" i="4"/>
  <c r="AJ246" i="5"/>
  <c r="Z282" i="4"/>
  <c r="AL246" i="5"/>
  <c r="F246" i="5"/>
  <c r="H246" i="5"/>
  <c r="I246" i="5"/>
  <c r="L246" i="5"/>
  <c r="N246" i="5"/>
  <c r="O246" i="5"/>
  <c r="Z246" i="5"/>
  <c r="AN246" i="5"/>
  <c r="AG247" i="5"/>
  <c r="AF247" i="5"/>
  <c r="C283" i="4"/>
  <c r="C247" i="5"/>
  <c r="D283" i="4"/>
  <c r="E247" i="5"/>
  <c r="K247" i="5"/>
  <c r="L283" i="4"/>
  <c r="Q247" i="5"/>
  <c r="M283" i="4"/>
  <c r="R247" i="5"/>
  <c r="T247" i="5"/>
  <c r="U247" i="5"/>
  <c r="P283" i="4"/>
  <c r="W247" i="5"/>
  <c r="Q283" i="4"/>
  <c r="X247" i="5"/>
  <c r="AA247" i="5"/>
  <c r="AI283" i="4"/>
  <c r="T283" i="4" a="1"/>
  <c r="T283" i="4"/>
  <c r="AC247" i="5"/>
  <c r="U283" i="4" a="1"/>
  <c r="U283" i="4"/>
  <c r="AD247" i="5"/>
  <c r="X283" i="4"/>
  <c r="AI247" i="5"/>
  <c r="Y283" i="4"/>
  <c r="AJ247" i="5"/>
  <c r="Z283" i="4"/>
  <c r="AL247" i="5"/>
  <c r="F247" i="5"/>
  <c r="H247" i="5"/>
  <c r="I247" i="5"/>
  <c r="L247" i="5"/>
  <c r="N247" i="5"/>
  <c r="O247" i="5"/>
  <c r="Z247" i="5"/>
  <c r="AN247" i="5"/>
  <c r="AG248" i="5"/>
  <c r="AF248" i="5"/>
  <c r="B284" i="4"/>
  <c r="C284" i="4"/>
  <c r="C248" i="5"/>
  <c r="D284" i="4"/>
  <c r="E248" i="5"/>
  <c r="H33" i="2"/>
  <c r="H284" i="4"/>
  <c r="K248" i="5"/>
  <c r="L284" i="4"/>
  <c r="Q248" i="5"/>
  <c r="M284" i="4"/>
  <c r="R248" i="5"/>
  <c r="T248" i="5"/>
  <c r="O284" i="4"/>
  <c r="U248" i="5"/>
  <c r="P284" i="4"/>
  <c r="W248" i="5"/>
  <c r="Q284" i="4"/>
  <c r="X248" i="5"/>
  <c r="S284" i="4"/>
  <c r="AA248" i="5"/>
  <c r="AI284" i="4"/>
  <c r="T284" i="4" a="1"/>
  <c r="T284" i="4"/>
  <c r="AC248" i="5"/>
  <c r="U284" i="4" a="1"/>
  <c r="U284" i="4"/>
  <c r="AD248" i="5"/>
  <c r="X284" i="4"/>
  <c r="AI248" i="5"/>
  <c r="Y284" i="4"/>
  <c r="AJ248" i="5"/>
  <c r="Z284" i="4"/>
  <c r="AL248" i="5"/>
  <c r="F248" i="5"/>
  <c r="H248" i="5"/>
  <c r="I248" i="5"/>
  <c r="L248" i="5"/>
  <c r="N248" i="5"/>
  <c r="O248" i="5"/>
  <c r="Z248" i="5"/>
  <c r="AN248" i="5"/>
  <c r="AG249" i="5"/>
  <c r="AF249" i="5"/>
  <c r="B285" i="4"/>
  <c r="C285" i="4"/>
  <c r="C249" i="5"/>
  <c r="D285" i="4"/>
  <c r="E249" i="5"/>
  <c r="H285" i="4"/>
  <c r="K249" i="5"/>
  <c r="L285" i="4"/>
  <c r="Q249" i="5"/>
  <c r="M285" i="4"/>
  <c r="R249" i="5"/>
  <c r="T249" i="5"/>
  <c r="O285" i="4"/>
  <c r="U249" i="5"/>
  <c r="P285" i="4"/>
  <c r="W249" i="5"/>
  <c r="Q285" i="4"/>
  <c r="X249" i="5"/>
  <c r="S285" i="4"/>
  <c r="AA249" i="5"/>
  <c r="AI285" i="4"/>
  <c r="T285" i="4" a="1"/>
  <c r="T285" i="4"/>
  <c r="AC249" i="5"/>
  <c r="U285" i="4" a="1"/>
  <c r="U285" i="4"/>
  <c r="AD249" i="5"/>
  <c r="X285" i="4"/>
  <c r="AI249" i="5"/>
  <c r="Y285" i="4"/>
  <c r="AJ249" i="5"/>
  <c r="Z285" i="4"/>
  <c r="AL249" i="5"/>
  <c r="F249" i="5"/>
  <c r="H249" i="5"/>
  <c r="I249" i="5"/>
  <c r="L249" i="5"/>
  <c r="N249" i="5"/>
  <c r="O249" i="5"/>
  <c r="Z249" i="5"/>
  <c r="AN249" i="5"/>
  <c r="AG250" i="5"/>
  <c r="AF250" i="5"/>
  <c r="B290" i="4"/>
  <c r="C290" i="4"/>
  <c r="C250" i="5"/>
  <c r="D290" i="4"/>
  <c r="E250" i="5"/>
  <c r="K250" i="5"/>
  <c r="L290" i="4"/>
  <c r="Q250" i="5"/>
  <c r="M290" i="4"/>
  <c r="R250" i="5"/>
  <c r="T250" i="5"/>
  <c r="O290" i="4"/>
  <c r="U250" i="5"/>
  <c r="P290" i="4"/>
  <c r="W250" i="5"/>
  <c r="Q290" i="4"/>
  <c r="X250" i="5"/>
  <c r="S290" i="4"/>
  <c r="AA250" i="5"/>
  <c r="AI290" i="4"/>
  <c r="T290" i="4" a="1"/>
  <c r="T290" i="4"/>
  <c r="AC250" i="5"/>
  <c r="U290" i="4" a="1"/>
  <c r="U290" i="4"/>
  <c r="AD250" i="5"/>
  <c r="X290" i="4"/>
  <c r="AI250" i="5"/>
  <c r="Y290" i="4"/>
  <c r="AJ250" i="5"/>
  <c r="Z290" i="4"/>
  <c r="AL250" i="5"/>
  <c r="F250" i="5"/>
  <c r="H250" i="5"/>
  <c r="I250" i="5"/>
  <c r="L250" i="5"/>
  <c r="N250" i="5"/>
  <c r="O250" i="5"/>
  <c r="Z250" i="5"/>
  <c r="AN250" i="5"/>
  <c r="AG251" i="5"/>
  <c r="AF251" i="5"/>
  <c r="B291" i="4"/>
  <c r="C291" i="4"/>
  <c r="C251" i="5"/>
  <c r="D291" i="4"/>
  <c r="E251" i="5"/>
  <c r="K251" i="5"/>
  <c r="L291" i="4"/>
  <c r="Q251" i="5"/>
  <c r="M291" i="4"/>
  <c r="R251" i="5"/>
  <c r="T251" i="5"/>
  <c r="U251" i="5"/>
  <c r="P291" i="4"/>
  <c r="W251" i="5"/>
  <c r="Q291" i="4"/>
  <c r="X251" i="5"/>
  <c r="AA251" i="5"/>
  <c r="AI291" i="4"/>
  <c r="T291" i="4" a="1"/>
  <c r="T291" i="4"/>
  <c r="AC251" i="5"/>
  <c r="U291" i="4" a="1"/>
  <c r="U291" i="4"/>
  <c r="AD251" i="5"/>
  <c r="X291" i="4"/>
  <c r="AI251" i="5"/>
  <c r="Y291" i="4"/>
  <c r="AJ251" i="5"/>
  <c r="Z291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61" i="4"/>
  <c r="C61" i="4"/>
  <c r="C252" i="5"/>
  <c r="D61" i="4"/>
  <c r="E252" i="5"/>
  <c r="I61" i="4"/>
  <c r="L252" i="5"/>
  <c r="J61" i="4"/>
  <c r="N252" i="5"/>
  <c r="L61" i="4"/>
  <c r="Q252" i="5"/>
  <c r="M61" i="4"/>
  <c r="R252" i="5"/>
  <c r="T252" i="5"/>
  <c r="U252" i="5"/>
  <c r="P61" i="4"/>
  <c r="W252" i="5"/>
  <c r="Q61" i="4"/>
  <c r="X252" i="5"/>
  <c r="S61" i="4"/>
  <c r="AA252" i="5"/>
  <c r="AI61" i="4"/>
  <c r="T61" i="4" a="1"/>
  <c r="T61" i="4"/>
  <c r="AC252" i="5"/>
  <c r="U61" i="4" a="1"/>
  <c r="U61" i="4"/>
  <c r="AD252" i="5"/>
  <c r="X61" i="4"/>
  <c r="AI252" i="5"/>
  <c r="Y61" i="4"/>
  <c r="AJ252" i="5"/>
  <c r="Z61" i="4"/>
  <c r="AL252" i="5"/>
  <c r="F252" i="5"/>
  <c r="H252" i="5"/>
  <c r="I252" i="5"/>
  <c r="Z252" i="5"/>
  <c r="AN252" i="5"/>
  <c r="AG253" i="5"/>
  <c r="AF253" i="5"/>
  <c r="C75" i="4"/>
  <c r="C253" i="5"/>
  <c r="T253" i="5"/>
  <c r="U253" i="5"/>
  <c r="P75" i="4"/>
  <c r="W253" i="5"/>
  <c r="Q75" i="4"/>
  <c r="X253" i="5"/>
  <c r="AA253" i="5"/>
  <c r="AI75" i="4"/>
  <c r="T75" i="4" a="1"/>
  <c r="T75" i="4"/>
  <c r="AC253" i="5"/>
  <c r="U75" i="4" a="1"/>
  <c r="U75" i="4"/>
  <c r="AD253" i="5"/>
  <c r="X75" i="4"/>
  <c r="AI253" i="5"/>
  <c r="Y75" i="4"/>
  <c r="AJ253" i="5"/>
  <c r="Z75" i="4"/>
  <c r="AL253" i="5"/>
  <c r="Z253" i="5"/>
  <c r="AN253" i="5"/>
  <c r="O254" i="5"/>
  <c r="B127" i="4"/>
  <c r="H127" i="4"/>
  <c r="K254" i="5"/>
  <c r="AG254" i="5"/>
  <c r="AF254" i="5"/>
  <c r="C127" i="4"/>
  <c r="C254" i="5"/>
  <c r="D127" i="4"/>
  <c r="E254" i="5"/>
  <c r="I127" i="4"/>
  <c r="L254" i="5"/>
  <c r="J127" i="4"/>
  <c r="N254" i="5"/>
  <c r="L127" i="4"/>
  <c r="Q254" i="5"/>
  <c r="M127" i="4"/>
  <c r="R254" i="5"/>
  <c r="T254" i="5"/>
  <c r="O127" i="4"/>
  <c r="U254" i="5"/>
  <c r="P127" i="4"/>
  <c r="W254" i="5"/>
  <c r="Q127" i="4"/>
  <c r="X254" i="5"/>
  <c r="AA254" i="5"/>
  <c r="AI127" i="4"/>
  <c r="T127" i="4" a="1"/>
  <c r="T127" i="4"/>
  <c r="AC254" i="5"/>
  <c r="U127" i="4" a="1"/>
  <c r="U127" i="4"/>
  <c r="AD254" i="5"/>
  <c r="X127" i="4"/>
  <c r="AI254" i="5"/>
  <c r="Y127" i="4"/>
  <c r="AJ254" i="5"/>
  <c r="Z127" i="4"/>
  <c r="AL254" i="5"/>
  <c r="F254" i="5"/>
  <c r="H254" i="5"/>
  <c r="I254" i="5"/>
  <c r="Z254" i="5"/>
  <c r="AN254" i="5"/>
  <c r="AG255" i="5"/>
  <c r="AF255" i="5"/>
  <c r="B159" i="4"/>
  <c r="C159" i="4"/>
  <c r="C255" i="5"/>
  <c r="D159" i="4"/>
  <c r="E255" i="5"/>
  <c r="H159" i="4"/>
  <c r="K255" i="5"/>
  <c r="L159" i="4"/>
  <c r="Q255" i="5"/>
  <c r="M159" i="4"/>
  <c r="R255" i="5"/>
  <c r="T255" i="5"/>
  <c r="O159" i="4"/>
  <c r="U255" i="5"/>
  <c r="W255" i="5"/>
  <c r="Q159" i="4"/>
  <c r="X255" i="5"/>
  <c r="AA255" i="5"/>
  <c r="AI159" i="4"/>
  <c r="T159" i="4" a="1"/>
  <c r="T159" i="4"/>
  <c r="AC255" i="5"/>
  <c r="U159" i="4" a="1"/>
  <c r="U159" i="4"/>
  <c r="AD255" i="5"/>
  <c r="X159" i="4"/>
  <c r="AI255" i="5"/>
  <c r="Y159" i="4"/>
  <c r="AJ255" i="5"/>
  <c r="Z159" i="4"/>
  <c r="AL255" i="5"/>
  <c r="F255" i="5"/>
  <c r="H255" i="5"/>
  <c r="I255" i="5"/>
  <c r="L255" i="5"/>
  <c r="N255" i="5"/>
  <c r="O255" i="5"/>
  <c r="Z255" i="5"/>
  <c r="AN255" i="5"/>
  <c r="AG256" i="5"/>
  <c r="AF256" i="5"/>
  <c r="B160" i="4"/>
  <c r="C160" i="4"/>
  <c r="C256" i="5"/>
  <c r="D160" i="4"/>
  <c r="E256" i="5"/>
  <c r="K256" i="5"/>
  <c r="L160" i="4"/>
  <c r="Q256" i="5"/>
  <c r="M160" i="4"/>
  <c r="R256" i="5"/>
  <c r="T256" i="5"/>
  <c r="U256" i="5"/>
  <c r="W256" i="5"/>
  <c r="Q160" i="4"/>
  <c r="X256" i="5"/>
  <c r="AA256" i="5"/>
  <c r="AI160" i="4"/>
  <c r="T160" i="4" a="1"/>
  <c r="T160" i="4"/>
  <c r="AC256" i="5"/>
  <c r="U160" i="4" a="1"/>
  <c r="U160" i="4"/>
  <c r="AD256" i="5"/>
  <c r="X160" i="4"/>
  <c r="AI256" i="5"/>
  <c r="Y160" i="4"/>
  <c r="AJ256" i="5"/>
  <c r="Z160" i="4"/>
  <c r="AL256" i="5"/>
  <c r="F256" i="5"/>
  <c r="H256" i="5"/>
  <c r="I256" i="5"/>
  <c r="L256" i="5"/>
  <c r="N256" i="5"/>
  <c r="O256" i="5"/>
  <c r="Z256" i="5"/>
  <c r="AN256" i="5"/>
  <c r="AG257" i="5"/>
  <c r="AF257" i="5"/>
  <c r="B236" i="4"/>
  <c r="C236" i="4"/>
  <c r="C257" i="5"/>
  <c r="D236" i="4"/>
  <c r="E257" i="5"/>
  <c r="H236" i="4"/>
  <c r="K257" i="5"/>
  <c r="L236" i="4"/>
  <c r="Q257" i="5"/>
  <c r="M236" i="4"/>
  <c r="R257" i="5"/>
  <c r="T257" i="5"/>
  <c r="O236" i="4"/>
  <c r="U257" i="5"/>
  <c r="P236" i="4"/>
  <c r="W257" i="5"/>
  <c r="Q236" i="4"/>
  <c r="X257" i="5"/>
  <c r="S236" i="4"/>
  <c r="AA257" i="5"/>
  <c r="AI236" i="4"/>
  <c r="T236" i="4" a="1"/>
  <c r="T236" i="4"/>
  <c r="AC257" i="5"/>
  <c r="U236" i="4" a="1"/>
  <c r="U236" i="4"/>
  <c r="AD257" i="5"/>
  <c r="X236" i="4"/>
  <c r="AI257" i="5"/>
  <c r="Y236" i="4"/>
  <c r="AJ257" i="5"/>
  <c r="Z236" i="4"/>
  <c r="AL257" i="5"/>
  <c r="F257" i="5"/>
  <c r="H257" i="5"/>
  <c r="I257" i="5"/>
  <c r="L257" i="5"/>
  <c r="N257" i="5"/>
  <c r="O257" i="5"/>
  <c r="Z257" i="5"/>
  <c r="AN257" i="5"/>
  <c r="AG258" i="5"/>
  <c r="AF258" i="5"/>
  <c r="B57" i="4"/>
  <c r="C57" i="4"/>
  <c r="C258" i="5"/>
  <c r="D57" i="4"/>
  <c r="E258" i="5"/>
  <c r="K258" i="5"/>
  <c r="L57" i="4"/>
  <c r="Q258" i="5"/>
  <c r="M57" i="4"/>
  <c r="R258" i="5"/>
  <c r="T258" i="5"/>
  <c r="U258" i="5"/>
  <c r="P57" i="4"/>
  <c r="W258" i="5"/>
  <c r="Q57" i="4"/>
  <c r="X258" i="5"/>
  <c r="S57" i="4"/>
  <c r="AA258" i="5"/>
  <c r="AI57" i="4"/>
  <c r="T57" i="4" a="1"/>
  <c r="T57" i="4"/>
  <c r="AC258" i="5"/>
  <c r="U57" i="4" a="1"/>
  <c r="U57" i="4"/>
  <c r="AD258" i="5"/>
  <c r="X57" i="4"/>
  <c r="AI258" i="5"/>
  <c r="Y57" i="4"/>
  <c r="AJ258" i="5"/>
  <c r="Z57" i="4"/>
  <c r="AL258" i="5"/>
  <c r="F258" i="5"/>
  <c r="H258" i="5"/>
  <c r="I258" i="5"/>
  <c r="L258" i="5"/>
  <c r="N258" i="5"/>
  <c r="O258" i="5"/>
  <c r="Z258" i="5"/>
  <c r="AN258" i="5"/>
  <c r="AG259" i="5"/>
  <c r="AF259" i="5"/>
  <c r="B58" i="4"/>
  <c r="C58" i="4"/>
  <c r="C259" i="5"/>
  <c r="D58" i="4"/>
  <c r="E259" i="5"/>
  <c r="K259" i="5"/>
  <c r="L58" i="4"/>
  <c r="Q259" i="5"/>
  <c r="M58" i="4"/>
  <c r="R259" i="5"/>
  <c r="T259" i="5"/>
  <c r="U259" i="5"/>
  <c r="P58" i="4"/>
  <c r="W259" i="5"/>
  <c r="Q58" i="4"/>
  <c r="X259" i="5"/>
  <c r="S58" i="4"/>
  <c r="AA259" i="5"/>
  <c r="AI58" i="4"/>
  <c r="T58" i="4" a="1"/>
  <c r="T58" i="4"/>
  <c r="AC259" i="5"/>
  <c r="U58" i="4" a="1"/>
  <c r="U58" i="4"/>
  <c r="AD259" i="5"/>
  <c r="X58" i="4"/>
  <c r="AI259" i="5"/>
  <c r="Y58" i="4"/>
  <c r="AJ259" i="5"/>
  <c r="Z58" i="4"/>
  <c r="AL259" i="5"/>
  <c r="F259" i="5"/>
  <c r="H259" i="5"/>
  <c r="I259" i="5"/>
  <c r="L259" i="5"/>
  <c r="N259" i="5"/>
  <c r="O259" i="5"/>
  <c r="Z259" i="5"/>
  <c r="AN259" i="5"/>
  <c r="AG260" i="5"/>
  <c r="AF260" i="5"/>
  <c r="B60" i="4"/>
  <c r="C60" i="4"/>
  <c r="C260" i="5"/>
  <c r="D60" i="4"/>
  <c r="E260" i="5"/>
  <c r="K260" i="5"/>
  <c r="L60" i="4"/>
  <c r="Q260" i="5"/>
  <c r="M60" i="4"/>
  <c r="R260" i="5"/>
  <c r="N60" i="4"/>
  <c r="T260" i="5"/>
  <c r="O2" i="2"/>
  <c r="O60" i="4"/>
  <c r="U260" i="5"/>
  <c r="P60" i="4"/>
  <c r="W260" i="5"/>
  <c r="Q60" i="4"/>
  <c r="X260" i="5"/>
  <c r="S60" i="4"/>
  <c r="AA260" i="5"/>
  <c r="AI60" i="4"/>
  <c r="T60" i="4" a="1"/>
  <c r="T60" i="4"/>
  <c r="AC260" i="5"/>
  <c r="U60" i="4" a="1"/>
  <c r="U60" i="4"/>
  <c r="AD260" i="5"/>
  <c r="X60" i="4"/>
  <c r="AI260" i="5"/>
  <c r="Y60" i="4"/>
  <c r="AJ260" i="5"/>
  <c r="Z60" i="4"/>
  <c r="AL260" i="5"/>
  <c r="F260" i="5"/>
  <c r="H260" i="5"/>
  <c r="I260" i="5"/>
  <c r="L260" i="5"/>
  <c r="N260" i="5"/>
  <c r="O260" i="5"/>
  <c r="Z260" i="5"/>
  <c r="AN260" i="5"/>
  <c r="AG261" i="5"/>
  <c r="AF261" i="5"/>
  <c r="B73" i="4"/>
  <c r="C73" i="4"/>
  <c r="C261" i="5"/>
  <c r="D73" i="4"/>
  <c r="E261" i="5"/>
  <c r="K261" i="5"/>
  <c r="L73" i="4"/>
  <c r="Q261" i="5"/>
  <c r="M73" i="4"/>
  <c r="R261" i="5"/>
  <c r="T261" i="5"/>
  <c r="U261" i="5"/>
  <c r="P73" i="4"/>
  <c r="W261" i="5"/>
  <c r="Q73" i="4"/>
  <c r="X261" i="5"/>
  <c r="S73" i="4"/>
  <c r="AA261" i="5"/>
  <c r="AI73" i="4"/>
  <c r="T73" i="4" a="1"/>
  <c r="T73" i="4"/>
  <c r="AC261" i="5"/>
  <c r="U73" i="4" a="1"/>
  <c r="U73" i="4"/>
  <c r="AD261" i="5"/>
  <c r="X73" i="4"/>
  <c r="AI261" i="5"/>
  <c r="Y73" i="4"/>
  <c r="AJ261" i="5"/>
  <c r="Z73" i="4"/>
  <c r="AL261" i="5"/>
  <c r="F261" i="5"/>
  <c r="H261" i="5"/>
  <c r="I261" i="5"/>
  <c r="L261" i="5"/>
  <c r="N261" i="5"/>
  <c r="O261" i="5"/>
  <c r="Z261" i="5"/>
  <c r="AN261" i="5"/>
  <c r="AG262" i="5"/>
  <c r="AF262" i="5"/>
  <c r="C76" i="4"/>
  <c r="C262" i="5"/>
  <c r="N76" i="4"/>
  <c r="T262" i="5"/>
  <c r="O76" i="4"/>
  <c r="U262" i="5"/>
  <c r="P76" i="4"/>
  <c r="W262" i="5"/>
  <c r="Q76" i="4"/>
  <c r="X262" i="5"/>
  <c r="AA262" i="5"/>
  <c r="AI76" i="4"/>
  <c r="T76" i="4" a="1"/>
  <c r="T76" i="4"/>
  <c r="AC262" i="5"/>
  <c r="U76" i="4" a="1"/>
  <c r="U76" i="4"/>
  <c r="AD262" i="5"/>
  <c r="X76" i="4"/>
  <c r="AI262" i="5"/>
  <c r="Y76" i="4"/>
  <c r="AJ262" i="5"/>
  <c r="Z76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4" i="4"/>
  <c r="C24" i="4"/>
  <c r="C263" i="5"/>
  <c r="D24" i="4"/>
  <c r="E263" i="5"/>
  <c r="E24" i="4"/>
  <c r="F263" i="5"/>
  <c r="F24" i="4"/>
  <c r="H263" i="5"/>
  <c r="I263" i="5"/>
  <c r="I24" i="4"/>
  <c r="L263" i="5"/>
  <c r="J24" i="4"/>
  <c r="N263" i="5"/>
  <c r="L24" i="4"/>
  <c r="Q263" i="5"/>
  <c r="M24" i="4"/>
  <c r="R263" i="5"/>
  <c r="N24" i="4"/>
  <c r="T263" i="5"/>
  <c r="U263" i="5"/>
  <c r="P24" i="4"/>
  <c r="W263" i="5"/>
  <c r="Q24" i="4"/>
  <c r="X263" i="5"/>
  <c r="S24" i="4"/>
  <c r="AA263" i="5"/>
  <c r="AI24" i="4"/>
  <c r="T24" i="4" a="1"/>
  <c r="T24" i="4"/>
  <c r="AC263" i="5"/>
  <c r="U24" i="4" a="1"/>
  <c r="U24" i="4"/>
  <c r="AD263" i="5"/>
  <c r="AI263" i="5"/>
  <c r="Y24" i="4"/>
  <c r="AJ263" i="5"/>
  <c r="Z24" i="4"/>
  <c r="AL263" i="5"/>
  <c r="Z263" i="5"/>
  <c r="AN263" i="5"/>
  <c r="AG264" i="5"/>
  <c r="AF264" i="5"/>
  <c r="B26" i="4"/>
  <c r="C26" i="4"/>
  <c r="C264" i="5"/>
  <c r="D26" i="4"/>
  <c r="E264" i="5"/>
  <c r="H26" i="4"/>
  <c r="K264" i="5"/>
  <c r="I26" i="4"/>
  <c r="L264" i="5"/>
  <c r="J26" i="4"/>
  <c r="N264" i="5"/>
  <c r="O264" i="5"/>
  <c r="L26" i="4"/>
  <c r="Q264" i="5"/>
  <c r="M26" i="4"/>
  <c r="R264" i="5"/>
  <c r="N26" i="4"/>
  <c r="T264" i="5"/>
  <c r="O26" i="4"/>
  <c r="U264" i="5"/>
  <c r="P26" i="4"/>
  <c r="W264" i="5"/>
  <c r="Q26" i="4"/>
  <c r="X264" i="5"/>
  <c r="S26" i="4"/>
  <c r="AA264" i="5"/>
  <c r="AI26" i="4"/>
  <c r="T26" i="4" a="1"/>
  <c r="T26" i="4"/>
  <c r="AC264" i="5"/>
  <c r="U26" i="4" a="1"/>
  <c r="U26" i="4"/>
  <c r="AD264" i="5"/>
  <c r="X26" i="4"/>
  <c r="AI264" i="5"/>
  <c r="Y26" i="4"/>
  <c r="AJ264" i="5"/>
  <c r="Z26" i="4"/>
  <c r="AL264" i="5"/>
  <c r="F264" i="5"/>
  <c r="H264" i="5"/>
  <c r="I264" i="5"/>
  <c r="Z264" i="5"/>
  <c r="AN264" i="5"/>
  <c r="AG265" i="5"/>
  <c r="AF265" i="5"/>
  <c r="B27" i="4"/>
  <c r="C27" i="4"/>
  <c r="C265" i="5"/>
  <c r="D27" i="4"/>
  <c r="E265" i="5"/>
  <c r="K265" i="5"/>
  <c r="I27" i="4"/>
  <c r="L265" i="5"/>
  <c r="J27" i="4"/>
  <c r="N265" i="5"/>
  <c r="O265" i="5"/>
  <c r="L27" i="4"/>
  <c r="Q265" i="5"/>
  <c r="M27" i="4"/>
  <c r="R265" i="5"/>
  <c r="N27" i="4"/>
  <c r="T265" i="5"/>
  <c r="U265" i="5"/>
  <c r="P27" i="4"/>
  <c r="W265" i="5"/>
  <c r="Q27" i="4"/>
  <c r="X265" i="5"/>
  <c r="S27" i="4"/>
  <c r="AA265" i="5"/>
  <c r="AI27" i="4"/>
  <c r="T27" i="4" a="1"/>
  <c r="T27" i="4"/>
  <c r="AC265" i="5"/>
  <c r="U27" i="4" a="1"/>
  <c r="U27" i="4"/>
  <c r="AD265" i="5"/>
  <c r="X27" i="4"/>
  <c r="AI265" i="5"/>
  <c r="Y27" i="4"/>
  <c r="AJ265" i="5"/>
  <c r="Z27" i="4"/>
  <c r="AL265" i="5"/>
  <c r="F265" i="5"/>
  <c r="H265" i="5"/>
  <c r="I265" i="5"/>
  <c r="Z265" i="5"/>
  <c r="AN265" i="5"/>
  <c r="AG266" i="5"/>
  <c r="AF266" i="5"/>
  <c r="B52" i="4"/>
  <c r="C52" i="4"/>
  <c r="C266" i="5"/>
  <c r="D52" i="4"/>
  <c r="E266" i="5"/>
  <c r="K266" i="5"/>
  <c r="L52" i="4"/>
  <c r="Q266" i="5"/>
  <c r="M52" i="4"/>
  <c r="R266" i="5"/>
  <c r="N52" i="4"/>
  <c r="T266" i="5"/>
  <c r="U266" i="5"/>
  <c r="P52" i="4"/>
  <c r="W266" i="5"/>
  <c r="Q52" i="4"/>
  <c r="X266" i="5"/>
  <c r="S52" i="4"/>
  <c r="AA266" i="5"/>
  <c r="AI52" i="4"/>
  <c r="T52" i="4" a="1"/>
  <c r="T52" i="4"/>
  <c r="AC266" i="5"/>
  <c r="U52" i="4" a="1"/>
  <c r="U52" i="4"/>
  <c r="AD266" i="5"/>
  <c r="X52" i="4"/>
  <c r="AI266" i="5"/>
  <c r="Y52" i="4"/>
  <c r="AJ266" i="5"/>
  <c r="Z52" i="4"/>
  <c r="AL266" i="5"/>
  <c r="F266" i="5"/>
  <c r="L266" i="5"/>
  <c r="N266" i="5"/>
  <c r="O266" i="5"/>
  <c r="H266" i="5"/>
  <c r="I266" i="5"/>
  <c r="Z266" i="5"/>
  <c r="AN266" i="5"/>
  <c r="AG267" i="5"/>
  <c r="AF267" i="5"/>
  <c r="B97" i="4"/>
  <c r="C97" i="4"/>
  <c r="C267" i="5"/>
  <c r="D97" i="4"/>
  <c r="E267" i="5"/>
  <c r="E97" i="4"/>
  <c r="F267" i="5"/>
  <c r="F97" i="4"/>
  <c r="H267" i="5"/>
  <c r="I267" i="5"/>
  <c r="H97" i="4"/>
  <c r="K267" i="5"/>
  <c r="L97" i="4"/>
  <c r="Q267" i="5"/>
  <c r="M97" i="4"/>
  <c r="R267" i="5"/>
  <c r="N97" i="4"/>
  <c r="T267" i="5"/>
  <c r="O97" i="4"/>
  <c r="U267" i="5"/>
  <c r="P97" i="4"/>
  <c r="W267" i="5"/>
  <c r="Q97" i="4"/>
  <c r="X267" i="5"/>
  <c r="S97" i="4"/>
  <c r="AA267" i="5"/>
  <c r="AI97" i="4"/>
  <c r="T97" i="4" a="1"/>
  <c r="T97" i="4"/>
  <c r="AC267" i="5"/>
  <c r="U97" i="4" a="1"/>
  <c r="U97" i="4"/>
  <c r="AD267" i="5"/>
  <c r="X97" i="4"/>
  <c r="AI267" i="5"/>
  <c r="Y97" i="4"/>
  <c r="AJ267" i="5"/>
  <c r="Z97" i="4"/>
  <c r="AL267" i="5"/>
  <c r="L267" i="5"/>
  <c r="N267" i="5"/>
  <c r="O267" i="5"/>
  <c r="Z267" i="5"/>
  <c r="AN267" i="5"/>
  <c r="O268" i="5"/>
  <c r="B98" i="4"/>
  <c r="H98" i="4"/>
  <c r="K268" i="5"/>
  <c r="AG268" i="5"/>
  <c r="AF268" i="5"/>
  <c r="C98" i="4"/>
  <c r="C268" i="5"/>
  <c r="D98" i="4"/>
  <c r="E268" i="5"/>
  <c r="I7" i="2"/>
  <c r="I98" i="4"/>
  <c r="L268" i="5"/>
  <c r="J7" i="2"/>
  <c r="J98" i="4"/>
  <c r="N268" i="5"/>
  <c r="L98" i="4"/>
  <c r="Q268" i="5"/>
  <c r="M98" i="4"/>
  <c r="R268" i="5"/>
  <c r="T268" i="5"/>
  <c r="O98" i="4"/>
  <c r="U268" i="5"/>
  <c r="P98" i="4"/>
  <c r="W268" i="5"/>
  <c r="Q98" i="4"/>
  <c r="X268" i="5"/>
  <c r="S98" i="4"/>
  <c r="AA268" i="5"/>
  <c r="AI98" i="4"/>
  <c r="T98" i="4" a="1"/>
  <c r="T98" i="4"/>
  <c r="AC268" i="5"/>
  <c r="U98" i="4" a="1"/>
  <c r="U98" i="4"/>
  <c r="AD268" i="5"/>
  <c r="X98" i="4"/>
  <c r="AI268" i="5"/>
  <c r="Y98" i="4"/>
  <c r="AJ268" i="5"/>
  <c r="Z98" i="4"/>
  <c r="AL268" i="5"/>
  <c r="F268" i="5"/>
  <c r="H268" i="5"/>
  <c r="I268" i="5"/>
  <c r="Z268" i="5"/>
  <c r="AN268" i="5"/>
  <c r="B101" i="4"/>
  <c r="S101" i="4"/>
  <c r="AA269" i="5"/>
  <c r="P101" i="4"/>
  <c r="W269" i="5"/>
  <c r="AG269" i="5"/>
  <c r="AF269" i="5"/>
  <c r="C101" i="4"/>
  <c r="C269" i="5"/>
  <c r="D101" i="4"/>
  <c r="E269" i="5"/>
  <c r="E101" i="4"/>
  <c r="F269" i="5"/>
  <c r="F101" i="4"/>
  <c r="H269" i="5"/>
  <c r="I269" i="5"/>
  <c r="K269" i="5"/>
  <c r="L101" i="4"/>
  <c r="Q269" i="5"/>
  <c r="M101" i="4"/>
  <c r="R269" i="5"/>
  <c r="T269" i="5"/>
  <c r="U269" i="5"/>
  <c r="Q101" i="4"/>
  <c r="X269" i="5"/>
  <c r="R101" i="4"/>
  <c r="Z269" i="5"/>
  <c r="AI101" i="4"/>
  <c r="T101" i="4" a="1"/>
  <c r="T101" i="4"/>
  <c r="AC269" i="5"/>
  <c r="U101" i="4" a="1"/>
  <c r="U101" i="4"/>
  <c r="AD269" i="5"/>
  <c r="X101" i="4"/>
  <c r="AI269" i="5"/>
  <c r="Y101" i="4"/>
  <c r="AJ269" i="5"/>
  <c r="Z101" i="4"/>
  <c r="AL269" i="5"/>
  <c r="L269" i="5"/>
  <c r="N269" i="5"/>
  <c r="O269" i="5"/>
  <c r="AN269" i="5"/>
  <c r="B102" i="4"/>
  <c r="S102" i="4"/>
  <c r="AA270" i="5"/>
  <c r="P102" i="4"/>
  <c r="W270" i="5"/>
  <c r="AG270" i="5"/>
  <c r="AF270" i="5"/>
  <c r="C102" i="4"/>
  <c r="C270" i="5"/>
  <c r="D102" i="4"/>
  <c r="E270" i="5"/>
  <c r="E102" i="4"/>
  <c r="F270" i="5"/>
  <c r="F102" i="4"/>
  <c r="H270" i="5"/>
  <c r="I270" i="5"/>
  <c r="K270" i="5"/>
  <c r="L102" i="4"/>
  <c r="Q270" i="5"/>
  <c r="O102" i="4"/>
  <c r="U270" i="5"/>
  <c r="Q102" i="4"/>
  <c r="X270" i="5"/>
  <c r="R102" i="4"/>
  <c r="Z270" i="5"/>
  <c r="AI102" i="4"/>
  <c r="T102" i="4" a="1"/>
  <c r="T102" i="4"/>
  <c r="AC270" i="5"/>
  <c r="U102" i="4" a="1"/>
  <c r="U102" i="4"/>
  <c r="AD270" i="5"/>
  <c r="X102" i="4"/>
  <c r="AI270" i="5"/>
  <c r="Y102" i="4"/>
  <c r="AJ270" i="5"/>
  <c r="Z102" i="4"/>
  <c r="AL270" i="5"/>
  <c r="L270" i="5"/>
  <c r="N270" i="5"/>
  <c r="O270" i="5"/>
  <c r="R270" i="5"/>
  <c r="AN270" i="5"/>
  <c r="O271" i="5"/>
  <c r="B103" i="4"/>
  <c r="H103" i="4"/>
  <c r="K271" i="5"/>
  <c r="AG271" i="5"/>
  <c r="AF271" i="5"/>
  <c r="C103" i="4"/>
  <c r="C271" i="5"/>
  <c r="D103" i="4"/>
  <c r="E271" i="5"/>
  <c r="E103" i="4"/>
  <c r="F271" i="5"/>
  <c r="F103" i="4"/>
  <c r="H271" i="5"/>
  <c r="I271" i="5"/>
  <c r="I103" i="4"/>
  <c r="L271" i="5"/>
  <c r="J103" i="4"/>
  <c r="N271" i="5"/>
  <c r="L103" i="4"/>
  <c r="Q271" i="5"/>
  <c r="M103" i="4"/>
  <c r="R271" i="5"/>
  <c r="N103" i="4"/>
  <c r="T271" i="5"/>
  <c r="O103" i="4"/>
  <c r="U271" i="5"/>
  <c r="P103" i="4"/>
  <c r="W271" i="5"/>
  <c r="Q103" i="4"/>
  <c r="X271" i="5"/>
  <c r="S103" i="4"/>
  <c r="AA271" i="5"/>
  <c r="AI103" i="4"/>
  <c r="T103" i="4" a="1"/>
  <c r="T103" i="4"/>
  <c r="AC271" i="5"/>
  <c r="U103" i="4" a="1"/>
  <c r="U103" i="4"/>
  <c r="AD271" i="5"/>
  <c r="X103" i="4"/>
  <c r="AI271" i="5"/>
  <c r="Y103" i="4"/>
  <c r="AJ271" i="5"/>
  <c r="Z103" i="4"/>
  <c r="AL271" i="5"/>
  <c r="Z271" i="5"/>
  <c r="AN271" i="5"/>
  <c r="O272" i="5"/>
  <c r="B106" i="4"/>
  <c r="H106" i="4"/>
  <c r="K272" i="5"/>
  <c r="AG272" i="5"/>
  <c r="AF272" i="5"/>
  <c r="C106" i="4"/>
  <c r="C272" i="5"/>
  <c r="D106" i="4"/>
  <c r="E272" i="5"/>
  <c r="E106" i="4"/>
  <c r="F272" i="5"/>
  <c r="F106" i="4"/>
  <c r="H272" i="5"/>
  <c r="I272" i="5"/>
  <c r="I43" i="2"/>
  <c r="I106" i="4"/>
  <c r="L272" i="5"/>
  <c r="J43" i="2"/>
  <c r="J106" i="4"/>
  <c r="N272" i="5"/>
  <c r="L106" i="4"/>
  <c r="Q272" i="5"/>
  <c r="M106" i="4"/>
  <c r="R272" i="5"/>
  <c r="T272" i="5"/>
  <c r="O106" i="4"/>
  <c r="U272" i="5"/>
  <c r="W272" i="5"/>
  <c r="Q106" i="4"/>
  <c r="X272" i="5"/>
  <c r="AA272" i="5"/>
  <c r="AI106" i="4"/>
  <c r="T106" i="4" a="1"/>
  <c r="T106" i="4"/>
  <c r="AC272" i="5"/>
  <c r="U106" i="4" a="1"/>
  <c r="U106" i="4"/>
  <c r="AD272" i="5"/>
  <c r="X106" i="4"/>
  <c r="AI272" i="5"/>
  <c r="Y106" i="4"/>
  <c r="AJ272" i="5"/>
  <c r="Z106" i="4"/>
  <c r="AL272" i="5"/>
  <c r="Z272" i="5"/>
  <c r="AN272" i="5"/>
  <c r="AG273" i="5"/>
  <c r="AF273" i="5"/>
  <c r="B111" i="4"/>
  <c r="C111" i="4"/>
  <c r="C273" i="5"/>
  <c r="D111" i="4"/>
  <c r="E273" i="5"/>
  <c r="H111" i="4"/>
  <c r="K273" i="5"/>
  <c r="L111" i="4"/>
  <c r="Q273" i="5"/>
  <c r="M111" i="4"/>
  <c r="R273" i="5"/>
  <c r="T273" i="5"/>
  <c r="O111" i="4"/>
  <c r="U273" i="5"/>
  <c r="P111" i="4"/>
  <c r="W273" i="5"/>
  <c r="Q111" i="4"/>
  <c r="X273" i="5"/>
  <c r="S111" i="4"/>
  <c r="AA273" i="5"/>
  <c r="AI111" i="4"/>
  <c r="T111" i="4" a="1"/>
  <c r="T111" i="4"/>
  <c r="AC273" i="5"/>
  <c r="U111" i="4" a="1"/>
  <c r="U111" i="4"/>
  <c r="AD273" i="5"/>
  <c r="X111" i="4"/>
  <c r="AI273" i="5"/>
  <c r="Y111" i="4"/>
  <c r="AJ273" i="5"/>
  <c r="Z111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B114" i="4"/>
  <c r="C114" i="4"/>
  <c r="C274" i="5"/>
  <c r="D114" i="4"/>
  <c r="E274" i="5"/>
  <c r="L274" i="5"/>
  <c r="N274" i="5"/>
  <c r="L114" i="4"/>
  <c r="Q274" i="5"/>
  <c r="M114" i="4"/>
  <c r="R274" i="5"/>
  <c r="N114" i="4"/>
  <c r="T274" i="5"/>
  <c r="U274" i="5"/>
  <c r="P114" i="4"/>
  <c r="W274" i="5"/>
  <c r="X274" i="5"/>
  <c r="AA274" i="5"/>
  <c r="AI114" i="4"/>
  <c r="T114" i="4" a="1"/>
  <c r="T114" i="4"/>
  <c r="AC274" i="5"/>
  <c r="U114" i="4" a="1"/>
  <c r="U114" i="4"/>
  <c r="AD274" i="5"/>
  <c r="X114" i="4"/>
  <c r="AI274" i="5"/>
  <c r="Y114" i="4"/>
  <c r="AJ274" i="5"/>
  <c r="Z114" i="4"/>
  <c r="AL274" i="5"/>
  <c r="F274" i="5"/>
  <c r="H274" i="5"/>
  <c r="I274" i="5"/>
  <c r="Z274" i="5"/>
  <c r="AN274" i="5"/>
  <c r="AG275" i="5"/>
  <c r="AF275" i="5"/>
  <c r="B138" i="4"/>
  <c r="C138" i="4"/>
  <c r="C275" i="5"/>
  <c r="D138" i="4"/>
  <c r="E275" i="5"/>
  <c r="H138" i="4"/>
  <c r="K275" i="5"/>
  <c r="L138" i="4"/>
  <c r="Q275" i="5"/>
  <c r="M138" i="4"/>
  <c r="R275" i="5"/>
  <c r="N138" i="4"/>
  <c r="T275" i="5"/>
  <c r="U275" i="5"/>
  <c r="P138" i="4"/>
  <c r="W275" i="5"/>
  <c r="Q138" i="4"/>
  <c r="X275" i="5"/>
  <c r="AA275" i="5"/>
  <c r="AI138" i="4"/>
  <c r="T138" i="4" a="1"/>
  <c r="T138" i="4"/>
  <c r="AC275" i="5"/>
  <c r="U138" i="4" a="1"/>
  <c r="U138" i="4"/>
  <c r="AD275" i="5"/>
  <c r="Y138" i="4"/>
  <c r="AJ275" i="5"/>
  <c r="Z138" i="4"/>
  <c r="AL275" i="5"/>
  <c r="F275" i="5"/>
  <c r="L275" i="5"/>
  <c r="N275" i="5"/>
  <c r="O275" i="5"/>
  <c r="H275" i="5"/>
  <c r="I275" i="5"/>
  <c r="Z275" i="5"/>
  <c r="AN275" i="5"/>
  <c r="O276" i="5"/>
  <c r="B143" i="4"/>
  <c r="H143" i="4"/>
  <c r="K276" i="5"/>
  <c r="AG276" i="5"/>
  <c r="AF276" i="5"/>
  <c r="C143" i="4"/>
  <c r="C276" i="5"/>
  <c r="D143" i="4"/>
  <c r="E276" i="5"/>
  <c r="E143" i="4"/>
  <c r="F276" i="5"/>
  <c r="F143" i="4"/>
  <c r="H276" i="5"/>
  <c r="I276" i="5"/>
  <c r="I143" i="4"/>
  <c r="L276" i="5"/>
  <c r="J143" i="4"/>
  <c r="N276" i="5"/>
  <c r="L143" i="4"/>
  <c r="Q276" i="5"/>
  <c r="M143" i="4"/>
  <c r="R276" i="5"/>
  <c r="N143" i="4"/>
  <c r="T276" i="5"/>
  <c r="O143" i="4"/>
  <c r="U276" i="5"/>
  <c r="P143" i="4"/>
  <c r="W276" i="5"/>
  <c r="Q143" i="4"/>
  <c r="X276" i="5"/>
  <c r="AA276" i="5"/>
  <c r="AI143" i="4"/>
  <c r="T143" i="4" a="1"/>
  <c r="T143" i="4"/>
  <c r="AC276" i="5"/>
  <c r="U143" i="4" a="1"/>
  <c r="U143" i="4"/>
  <c r="AD276" i="5"/>
  <c r="X143" i="4"/>
  <c r="AI276" i="5"/>
  <c r="Y143" i="4"/>
  <c r="AJ276" i="5"/>
  <c r="Z143" i="4"/>
  <c r="AL276" i="5"/>
  <c r="Z276" i="5"/>
  <c r="AN276" i="5"/>
  <c r="AG277" i="5"/>
  <c r="AF277" i="5"/>
  <c r="B144" i="4"/>
  <c r="C144" i="4"/>
  <c r="C277" i="5"/>
  <c r="D144" i="4"/>
  <c r="E277" i="5"/>
  <c r="H144" i="4"/>
  <c r="K277" i="5"/>
  <c r="L144" i="4"/>
  <c r="Q277" i="5"/>
  <c r="M144" i="4"/>
  <c r="R277" i="5"/>
  <c r="N144" i="4"/>
  <c r="T277" i="5"/>
  <c r="U277" i="5"/>
  <c r="P144" i="4"/>
  <c r="W277" i="5"/>
  <c r="Q144" i="4"/>
  <c r="X277" i="5"/>
  <c r="AA277" i="5"/>
  <c r="AI144" i="4"/>
  <c r="T144" i="4" a="1"/>
  <c r="T144" i="4"/>
  <c r="AC277" i="5"/>
  <c r="U144" i="4" a="1"/>
  <c r="U144" i="4"/>
  <c r="AD277" i="5"/>
  <c r="X144" i="4"/>
  <c r="AI277" i="5"/>
  <c r="Y144" i="4"/>
  <c r="AJ277" i="5"/>
  <c r="Z144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145" i="4"/>
  <c r="C278" i="5"/>
  <c r="D145" i="4"/>
  <c r="E278" i="5"/>
  <c r="I145" i="4"/>
  <c r="L278" i="5"/>
  <c r="J145" i="4"/>
  <c r="N278" i="5"/>
  <c r="L145" i="4"/>
  <c r="Q278" i="5"/>
  <c r="M145" i="4"/>
  <c r="R278" i="5"/>
  <c r="N145" i="4"/>
  <c r="T278" i="5"/>
  <c r="O145" i="4"/>
  <c r="U278" i="5"/>
  <c r="P145" i="4"/>
  <c r="W278" i="5"/>
  <c r="Q145" i="4"/>
  <c r="X278" i="5"/>
  <c r="S145" i="4"/>
  <c r="AA278" i="5"/>
  <c r="AI145" i="4"/>
  <c r="T145" i="4" a="1"/>
  <c r="T145" i="4"/>
  <c r="AC278" i="5"/>
  <c r="U145" i="4" a="1"/>
  <c r="U145" i="4"/>
  <c r="AD278" i="5"/>
  <c r="AI278" i="5"/>
  <c r="Y145" i="4"/>
  <c r="AJ278" i="5"/>
  <c r="Z145" i="4"/>
  <c r="AL278" i="5"/>
  <c r="F278" i="5"/>
  <c r="H278" i="5"/>
  <c r="I278" i="5"/>
  <c r="Z278" i="5"/>
  <c r="AN278" i="5"/>
  <c r="AG279" i="5"/>
  <c r="AF279" i="5"/>
  <c r="B148" i="4"/>
  <c r="C148" i="4"/>
  <c r="C279" i="5"/>
  <c r="D148" i="4"/>
  <c r="E279" i="5"/>
  <c r="H148" i="4"/>
  <c r="K279" i="5"/>
  <c r="L148" i="4"/>
  <c r="Q279" i="5"/>
  <c r="M148" i="4"/>
  <c r="R279" i="5"/>
  <c r="T279" i="5"/>
  <c r="O148" i="4"/>
  <c r="U279" i="5"/>
  <c r="P148" i="4"/>
  <c r="W279" i="5"/>
  <c r="Q148" i="4"/>
  <c r="X279" i="5"/>
  <c r="S148" i="4"/>
  <c r="AA279" i="5"/>
  <c r="AI148" i="4"/>
  <c r="T148" i="4" a="1"/>
  <c r="T148" i="4"/>
  <c r="AC279" i="5"/>
  <c r="U148" i="4" a="1"/>
  <c r="U148" i="4"/>
  <c r="AD279" i="5"/>
  <c r="X148" i="4"/>
  <c r="AI279" i="5"/>
  <c r="Y148" i="4"/>
  <c r="AJ279" i="5"/>
  <c r="Z148" i="4"/>
  <c r="AL279" i="5"/>
  <c r="F279" i="5"/>
  <c r="H279" i="5"/>
  <c r="I279" i="5"/>
  <c r="L279" i="5"/>
  <c r="N279" i="5"/>
  <c r="O279" i="5"/>
  <c r="Z279" i="5"/>
  <c r="AN279" i="5"/>
  <c r="AG280" i="5"/>
  <c r="AF280" i="5"/>
  <c r="C194" i="4"/>
  <c r="C280" i="5"/>
  <c r="T280" i="5"/>
  <c r="O194" i="4"/>
  <c r="U280" i="5"/>
  <c r="P194" i="4"/>
  <c r="W280" i="5"/>
  <c r="Q194" i="4"/>
  <c r="X280" i="5"/>
  <c r="S194" i="4"/>
  <c r="AA280" i="5"/>
  <c r="AI194" i="4"/>
  <c r="T194" i="4" a="1"/>
  <c r="T194" i="4"/>
  <c r="AC280" i="5"/>
  <c r="U194" i="4" a="1"/>
  <c r="U194" i="4"/>
  <c r="AD280" i="5"/>
  <c r="X194" i="4"/>
  <c r="AI280" i="5"/>
  <c r="Y194" i="4"/>
  <c r="AJ280" i="5"/>
  <c r="Z194" i="4"/>
  <c r="AL280" i="5"/>
  <c r="F280" i="5"/>
  <c r="H280" i="5"/>
  <c r="I280" i="5"/>
  <c r="L280" i="5"/>
  <c r="N280" i="5"/>
  <c r="O280" i="5"/>
  <c r="Z280" i="5"/>
  <c r="AN280" i="5"/>
  <c r="AG281" i="5"/>
  <c r="AF281" i="5"/>
  <c r="B195" i="4"/>
  <c r="C195" i="4"/>
  <c r="C281" i="5"/>
  <c r="D195" i="4"/>
  <c r="E281" i="5"/>
  <c r="H195" i="4"/>
  <c r="K281" i="5"/>
  <c r="L195" i="4"/>
  <c r="Q281" i="5"/>
  <c r="M195" i="4"/>
  <c r="R281" i="5"/>
  <c r="T281" i="5"/>
  <c r="O195" i="4"/>
  <c r="U281" i="5"/>
  <c r="P195" i="4"/>
  <c r="W281" i="5"/>
  <c r="Q195" i="4"/>
  <c r="X281" i="5"/>
  <c r="S195" i="4"/>
  <c r="AA281" i="5"/>
  <c r="AI195" i="4"/>
  <c r="T195" i="4" a="1"/>
  <c r="T195" i="4"/>
  <c r="AC281" i="5"/>
  <c r="U195" i="4" a="1"/>
  <c r="U195" i="4"/>
  <c r="AD281" i="5"/>
  <c r="X195" i="4"/>
  <c r="AI281" i="5"/>
  <c r="Y195" i="4"/>
  <c r="AJ281" i="5"/>
  <c r="Z195" i="4"/>
  <c r="AL281" i="5"/>
  <c r="F281" i="5"/>
  <c r="H281" i="5"/>
  <c r="I281" i="5"/>
  <c r="L281" i="5"/>
  <c r="N281" i="5"/>
  <c r="O281" i="5"/>
  <c r="Z281" i="5"/>
  <c r="AN281" i="5"/>
  <c r="AG282" i="5"/>
  <c r="AF282" i="5"/>
  <c r="B196" i="4"/>
  <c r="C196" i="4"/>
  <c r="C282" i="5"/>
  <c r="D196" i="4"/>
  <c r="E282" i="5"/>
  <c r="H196" i="4"/>
  <c r="K282" i="5"/>
  <c r="L196" i="4"/>
  <c r="Q282" i="5"/>
  <c r="M196" i="4"/>
  <c r="R282" i="5"/>
  <c r="T282" i="5"/>
  <c r="O196" i="4"/>
  <c r="U282" i="5"/>
  <c r="P196" i="4"/>
  <c r="W282" i="5"/>
  <c r="Q196" i="4"/>
  <c r="X282" i="5"/>
  <c r="S196" i="4"/>
  <c r="AA282" i="5"/>
  <c r="AI196" i="4"/>
  <c r="T196" i="4" a="1"/>
  <c r="T196" i="4"/>
  <c r="AC282" i="5"/>
  <c r="U196" i="4" a="1"/>
  <c r="U196" i="4"/>
  <c r="AD282" i="5"/>
  <c r="X196" i="4"/>
  <c r="AI282" i="5"/>
  <c r="Y196" i="4"/>
  <c r="AJ282" i="5"/>
  <c r="Z196" i="4"/>
  <c r="AL282" i="5"/>
  <c r="F282" i="5"/>
  <c r="H282" i="5"/>
  <c r="I282" i="5"/>
  <c r="L282" i="5"/>
  <c r="N282" i="5"/>
  <c r="O282" i="5"/>
  <c r="Z282" i="5"/>
  <c r="AN282" i="5"/>
  <c r="AG283" i="5"/>
  <c r="AF283" i="5"/>
  <c r="B200" i="4"/>
  <c r="C200" i="4"/>
  <c r="C283" i="5"/>
  <c r="D200" i="4"/>
  <c r="E283" i="5"/>
  <c r="K283" i="5"/>
  <c r="L200" i="4"/>
  <c r="Q283" i="5"/>
  <c r="M200" i="4"/>
  <c r="R283" i="5"/>
  <c r="N200" i="4"/>
  <c r="T283" i="5"/>
  <c r="U283" i="5"/>
  <c r="P200" i="4"/>
  <c r="W283" i="5"/>
  <c r="Q200" i="4"/>
  <c r="X283" i="5"/>
  <c r="S200" i="4"/>
  <c r="AA283" i="5"/>
  <c r="AI200" i="4"/>
  <c r="T200" i="4" a="1"/>
  <c r="T200" i="4"/>
  <c r="AC283" i="5"/>
  <c r="U200" i="4" a="1"/>
  <c r="U200" i="4"/>
  <c r="AD283" i="5"/>
  <c r="X200" i="4"/>
  <c r="AI283" i="5"/>
  <c r="Y200" i="4"/>
  <c r="AJ283" i="5"/>
  <c r="Z200" i="4"/>
  <c r="AL283" i="5"/>
  <c r="F283" i="5"/>
  <c r="H283" i="5"/>
  <c r="I283" i="5"/>
  <c r="L283" i="5"/>
  <c r="N283" i="5"/>
  <c r="O283" i="5"/>
  <c r="Z283" i="5"/>
  <c r="AN283" i="5"/>
  <c r="AG284" i="5"/>
  <c r="AF284" i="5"/>
  <c r="B201" i="4"/>
  <c r="C201" i="4"/>
  <c r="C284" i="5"/>
  <c r="D201" i="4"/>
  <c r="E284" i="5"/>
  <c r="K284" i="5"/>
  <c r="L201" i="4"/>
  <c r="Q284" i="5"/>
  <c r="M201" i="4"/>
  <c r="R284" i="5"/>
  <c r="N201" i="4"/>
  <c r="T284" i="5"/>
  <c r="U284" i="5"/>
  <c r="P201" i="4"/>
  <c r="W284" i="5"/>
  <c r="Q201" i="4"/>
  <c r="X284" i="5"/>
  <c r="S201" i="4"/>
  <c r="AA284" i="5"/>
  <c r="AI201" i="4"/>
  <c r="T201" i="4" a="1"/>
  <c r="T201" i="4"/>
  <c r="AC284" i="5"/>
  <c r="U201" i="4" a="1"/>
  <c r="U201" i="4"/>
  <c r="AD284" i="5"/>
  <c r="X201" i="4"/>
  <c r="AI284" i="5"/>
  <c r="Y201" i="4"/>
  <c r="AJ284" i="5"/>
  <c r="Z201" i="4"/>
  <c r="AL284" i="5"/>
  <c r="F284" i="5"/>
  <c r="H284" i="5"/>
  <c r="I284" i="5"/>
  <c r="L284" i="5"/>
  <c r="N284" i="5"/>
  <c r="O284" i="5"/>
  <c r="Z284" i="5"/>
  <c r="AN284" i="5"/>
  <c r="AG285" i="5"/>
  <c r="AF285" i="5"/>
  <c r="B202" i="4"/>
  <c r="C202" i="4"/>
  <c r="C285" i="5"/>
  <c r="D202" i="4"/>
  <c r="E285" i="5"/>
  <c r="H202" i="4"/>
  <c r="K285" i="5"/>
  <c r="L202" i="4"/>
  <c r="Q285" i="5"/>
  <c r="M202" i="4"/>
  <c r="R285" i="5"/>
  <c r="T285" i="5"/>
  <c r="O202" i="4"/>
  <c r="U285" i="5"/>
  <c r="P202" i="4"/>
  <c r="W285" i="5"/>
  <c r="Q202" i="4"/>
  <c r="X285" i="5"/>
  <c r="S202" i="4"/>
  <c r="AA285" i="5"/>
  <c r="AI202" i="4"/>
  <c r="T202" i="4" a="1"/>
  <c r="T202" i="4"/>
  <c r="AC285" i="5"/>
  <c r="U202" i="4" a="1"/>
  <c r="U202" i="4"/>
  <c r="AD285" i="5"/>
  <c r="X202" i="4"/>
  <c r="AI285" i="5"/>
  <c r="Y202" i="4"/>
  <c r="AJ285" i="5"/>
  <c r="Z202" i="4"/>
  <c r="AL285" i="5"/>
  <c r="F285" i="5"/>
  <c r="H285" i="5"/>
  <c r="I285" i="5"/>
  <c r="L285" i="5"/>
  <c r="N285" i="5"/>
  <c r="O285" i="5"/>
  <c r="Z285" i="5"/>
  <c r="AN285" i="5"/>
  <c r="AG286" i="5"/>
  <c r="AF286" i="5"/>
  <c r="B203" i="4"/>
  <c r="C203" i="4"/>
  <c r="C286" i="5"/>
  <c r="D203" i="4"/>
  <c r="E286" i="5"/>
  <c r="H203" i="4"/>
  <c r="K286" i="5"/>
  <c r="L203" i="4"/>
  <c r="Q286" i="5"/>
  <c r="M203" i="4"/>
  <c r="R286" i="5"/>
  <c r="T286" i="5"/>
  <c r="O203" i="4"/>
  <c r="U286" i="5"/>
  <c r="P203" i="4"/>
  <c r="W286" i="5"/>
  <c r="Q203" i="4"/>
  <c r="X286" i="5"/>
  <c r="S203" i="4"/>
  <c r="AA286" i="5"/>
  <c r="AI203" i="4"/>
  <c r="T203" i="4" a="1"/>
  <c r="T203" i="4"/>
  <c r="AC286" i="5"/>
  <c r="U203" i="4" a="1"/>
  <c r="U203" i="4"/>
  <c r="AD286" i="5"/>
  <c r="X203" i="4"/>
  <c r="AI286" i="5"/>
  <c r="Y203" i="4"/>
  <c r="AJ286" i="5"/>
  <c r="Z203" i="4"/>
  <c r="AL286" i="5"/>
  <c r="F286" i="5"/>
  <c r="H286" i="5"/>
  <c r="I286" i="5"/>
  <c r="L286" i="5"/>
  <c r="N286" i="5"/>
  <c r="O286" i="5"/>
  <c r="Z286" i="5"/>
  <c r="AN286" i="5"/>
  <c r="AG287" i="5"/>
  <c r="AF287" i="5"/>
  <c r="C205" i="4"/>
  <c r="C287" i="5"/>
  <c r="T287" i="5"/>
  <c r="O205" i="4"/>
  <c r="U287" i="5"/>
  <c r="P205" i="4"/>
  <c r="W287" i="5"/>
  <c r="Q205" i="4"/>
  <c r="X287" i="5"/>
  <c r="S205" i="4"/>
  <c r="AA287" i="5"/>
  <c r="AI205" i="4"/>
  <c r="T205" i="4" a="1"/>
  <c r="T205" i="4"/>
  <c r="AC287" i="5"/>
  <c r="U205" i="4" a="1"/>
  <c r="U205" i="4"/>
  <c r="AD287" i="5"/>
  <c r="X205" i="4"/>
  <c r="AI287" i="5"/>
  <c r="Y205" i="4"/>
  <c r="AJ287" i="5"/>
  <c r="Z205" i="4"/>
  <c r="AL287" i="5"/>
  <c r="Z287" i="5"/>
  <c r="AN287" i="5"/>
  <c r="AG288" i="5"/>
  <c r="AF288" i="5"/>
  <c r="B206" i="4"/>
  <c r="C206" i="4"/>
  <c r="C288" i="5"/>
  <c r="D206" i="4"/>
  <c r="E288" i="5"/>
  <c r="H206" i="4"/>
  <c r="K288" i="5"/>
  <c r="L206" i="4"/>
  <c r="Q288" i="5"/>
  <c r="M206" i="4"/>
  <c r="R288" i="5"/>
  <c r="T288" i="5"/>
  <c r="O206" i="4"/>
  <c r="U288" i="5"/>
  <c r="P206" i="4"/>
  <c r="W288" i="5"/>
  <c r="Q206" i="4"/>
  <c r="X288" i="5"/>
  <c r="S206" i="4"/>
  <c r="AA288" i="5"/>
  <c r="AI206" i="4"/>
  <c r="T206" i="4" a="1"/>
  <c r="T206" i="4"/>
  <c r="AC288" i="5"/>
  <c r="U206" i="4" a="1"/>
  <c r="U206" i="4"/>
  <c r="AD288" i="5"/>
  <c r="X206" i="4"/>
  <c r="AI288" i="5"/>
  <c r="Y206" i="4"/>
  <c r="AJ288" i="5"/>
  <c r="Z206" i="4"/>
  <c r="AL288" i="5"/>
  <c r="F288" i="5"/>
  <c r="H288" i="5"/>
  <c r="I288" i="5"/>
  <c r="L288" i="5"/>
  <c r="N288" i="5"/>
  <c r="O288" i="5"/>
  <c r="Z288" i="5"/>
  <c r="AN288" i="5"/>
  <c r="AG289" i="5"/>
  <c r="AF289" i="5"/>
  <c r="B207" i="4"/>
  <c r="C207" i="4"/>
  <c r="C289" i="5"/>
  <c r="D207" i="4"/>
  <c r="E289" i="5"/>
  <c r="H207" i="4"/>
  <c r="K289" i="5"/>
  <c r="L207" i="4"/>
  <c r="Q289" i="5"/>
  <c r="M207" i="4"/>
  <c r="R289" i="5"/>
  <c r="T289" i="5"/>
  <c r="O207" i="4"/>
  <c r="U289" i="5"/>
  <c r="P207" i="4"/>
  <c r="W289" i="5"/>
  <c r="Q207" i="4"/>
  <c r="X289" i="5"/>
  <c r="S207" i="4"/>
  <c r="AA289" i="5"/>
  <c r="AI207" i="4"/>
  <c r="T207" i="4" a="1"/>
  <c r="T207" i="4"/>
  <c r="AC289" i="5"/>
  <c r="U207" i="4" a="1"/>
  <c r="U207" i="4"/>
  <c r="AD289" i="5"/>
  <c r="X207" i="4"/>
  <c r="AI289" i="5"/>
  <c r="Y207" i="4"/>
  <c r="AJ289" i="5"/>
  <c r="Z207" i="4"/>
  <c r="AL289" i="5"/>
  <c r="F289" i="5"/>
  <c r="H289" i="5"/>
  <c r="I289" i="5"/>
  <c r="L289" i="5"/>
  <c r="N289" i="5"/>
  <c r="O289" i="5"/>
  <c r="Z289" i="5"/>
  <c r="AN289" i="5"/>
  <c r="AG290" i="5"/>
  <c r="AF290" i="5"/>
  <c r="B208" i="4"/>
  <c r="C208" i="4"/>
  <c r="C290" i="5"/>
  <c r="D208" i="4"/>
  <c r="E290" i="5"/>
  <c r="H208" i="4"/>
  <c r="K290" i="5"/>
  <c r="L208" i="4"/>
  <c r="Q290" i="5"/>
  <c r="M208" i="4"/>
  <c r="R290" i="5"/>
  <c r="T290" i="5"/>
  <c r="O208" i="4"/>
  <c r="U290" i="5"/>
  <c r="P208" i="4"/>
  <c r="W290" i="5"/>
  <c r="Q208" i="4"/>
  <c r="X290" i="5"/>
  <c r="S208" i="4"/>
  <c r="AA290" i="5"/>
  <c r="AI208" i="4"/>
  <c r="T208" i="4" a="1"/>
  <c r="T208" i="4"/>
  <c r="AC290" i="5"/>
  <c r="U208" i="4" a="1"/>
  <c r="U208" i="4"/>
  <c r="AD290" i="5"/>
  <c r="X208" i="4"/>
  <c r="AI290" i="5"/>
  <c r="Y208" i="4"/>
  <c r="AJ290" i="5"/>
  <c r="Z208" i="4"/>
  <c r="AL290" i="5"/>
  <c r="F290" i="5"/>
  <c r="H290" i="5"/>
  <c r="I290" i="5"/>
  <c r="L290" i="5"/>
  <c r="N290" i="5"/>
  <c r="O290" i="5"/>
  <c r="Z290" i="5"/>
  <c r="AN290" i="5"/>
  <c r="B297" i="4"/>
  <c r="S297" i="4"/>
  <c r="AA291" i="5"/>
  <c r="P297" i="4"/>
  <c r="W291" i="5"/>
  <c r="AG291" i="5"/>
  <c r="AF291" i="5"/>
  <c r="C297" i="4"/>
  <c r="C291" i="5"/>
  <c r="D297" i="4"/>
  <c r="E291" i="5"/>
  <c r="H297" i="4"/>
  <c r="K291" i="5"/>
  <c r="L297" i="4"/>
  <c r="Q291" i="5"/>
  <c r="M297" i="4"/>
  <c r="R291" i="5"/>
  <c r="N297" i="4"/>
  <c r="T291" i="5"/>
  <c r="O297" i="4"/>
  <c r="U291" i="5"/>
  <c r="Q297" i="4"/>
  <c r="X291" i="5"/>
  <c r="R39" i="2"/>
  <c r="R297" i="4"/>
  <c r="Z291" i="5"/>
  <c r="AI297" i="4"/>
  <c r="T297" i="4" a="1"/>
  <c r="T297" i="4"/>
  <c r="AC291" i="5"/>
  <c r="U297" i="4" a="1"/>
  <c r="U297" i="4"/>
  <c r="AD291" i="5"/>
  <c r="X297" i="4"/>
  <c r="AI291" i="5"/>
  <c r="Y297" i="4"/>
  <c r="AJ291" i="5"/>
  <c r="Z297" i="4"/>
  <c r="AL291" i="5"/>
  <c r="F291" i="5"/>
  <c r="H291" i="5"/>
  <c r="I291" i="5"/>
  <c r="L291" i="5"/>
  <c r="N291" i="5"/>
  <c r="O291" i="5"/>
  <c r="AN291" i="5"/>
  <c r="AG292" i="5"/>
  <c r="AF292" i="5"/>
  <c r="B213" i="4"/>
  <c r="C213" i="4"/>
  <c r="C292" i="5"/>
  <c r="D213" i="4"/>
  <c r="E292" i="5"/>
  <c r="H213" i="4"/>
  <c r="K292" i="5"/>
  <c r="L213" i="4"/>
  <c r="Q292" i="5"/>
  <c r="M213" i="4"/>
  <c r="R292" i="5"/>
  <c r="N213" i="4"/>
  <c r="T292" i="5"/>
  <c r="O213" i="4"/>
  <c r="U292" i="5"/>
  <c r="P213" i="4"/>
  <c r="W292" i="5"/>
  <c r="Q213" i="4"/>
  <c r="X292" i="5"/>
  <c r="S213" i="4"/>
  <c r="AA292" i="5"/>
  <c r="AI213" i="4"/>
  <c r="T213" i="4" a="1"/>
  <c r="T213" i="4"/>
  <c r="AC292" i="5"/>
  <c r="U213" i="4" a="1"/>
  <c r="U213" i="4"/>
  <c r="AD292" i="5"/>
  <c r="X213" i="4"/>
  <c r="AI292" i="5"/>
  <c r="Y213" i="4"/>
  <c r="AJ292" i="5"/>
  <c r="Z213" i="4"/>
  <c r="AL292" i="5"/>
  <c r="F292" i="5"/>
  <c r="H292" i="5"/>
  <c r="I292" i="5"/>
  <c r="L292" i="5"/>
  <c r="N292" i="5"/>
  <c r="O292" i="5"/>
  <c r="Z292" i="5"/>
  <c r="AN292" i="5"/>
  <c r="AG293" i="5"/>
  <c r="AF293" i="5"/>
  <c r="B232" i="4"/>
  <c r="C232" i="4"/>
  <c r="C293" i="5"/>
  <c r="D232" i="4"/>
  <c r="E293" i="5"/>
  <c r="K293" i="5"/>
  <c r="L232" i="4"/>
  <c r="Q293" i="5"/>
  <c r="M232" i="4"/>
  <c r="R293" i="5"/>
  <c r="T293" i="5"/>
  <c r="U293" i="5"/>
  <c r="P232" i="4"/>
  <c r="W293" i="5"/>
  <c r="Q232" i="4"/>
  <c r="X293" i="5"/>
  <c r="S232" i="4"/>
  <c r="AA293" i="5"/>
  <c r="AI232" i="4"/>
  <c r="T232" i="4" a="1"/>
  <c r="T232" i="4"/>
  <c r="AC293" i="5"/>
  <c r="U232" i="4" a="1"/>
  <c r="U232" i="4"/>
  <c r="AD293" i="5"/>
  <c r="X232" i="4"/>
  <c r="AI293" i="5"/>
  <c r="Y232" i="4"/>
  <c r="AJ293" i="5"/>
  <c r="Z232" i="4"/>
  <c r="AL293" i="5"/>
  <c r="F293" i="5"/>
  <c r="H293" i="5"/>
  <c r="I293" i="5"/>
  <c r="L293" i="5"/>
  <c r="N293" i="5"/>
  <c r="O293" i="5"/>
  <c r="Z293" i="5"/>
  <c r="AN293" i="5"/>
  <c r="AG294" i="5"/>
  <c r="AF294" i="5"/>
  <c r="B294" i="4"/>
  <c r="C294" i="4"/>
  <c r="C294" i="5"/>
  <c r="D294" i="4"/>
  <c r="E294" i="5"/>
  <c r="H294" i="4"/>
  <c r="K294" i="5"/>
  <c r="L294" i="4"/>
  <c r="Q294" i="5"/>
  <c r="M294" i="4"/>
  <c r="R294" i="5"/>
  <c r="T294" i="5"/>
  <c r="O294" i="4"/>
  <c r="U294" i="5"/>
  <c r="P294" i="4"/>
  <c r="W294" i="5"/>
  <c r="Q294" i="4"/>
  <c r="X294" i="5"/>
  <c r="S294" i="4"/>
  <c r="AA294" i="5"/>
  <c r="AI294" i="4"/>
  <c r="T294" i="4" a="1"/>
  <c r="T294" i="4"/>
  <c r="AC294" i="5"/>
  <c r="U294" i="4" a="1"/>
  <c r="U294" i="4"/>
  <c r="AD294" i="5"/>
  <c r="X294" i="4"/>
  <c r="AI294" i="5"/>
  <c r="F294" i="5"/>
  <c r="H294" i="5"/>
  <c r="I294" i="5"/>
  <c r="L294" i="5"/>
  <c r="N294" i="5"/>
  <c r="O294" i="5"/>
  <c r="Z294" i="5"/>
  <c r="AN294" i="5"/>
  <c r="AG295" i="5"/>
  <c r="AF295" i="5"/>
  <c r="B295" i="4"/>
  <c r="C295" i="4"/>
  <c r="C295" i="5"/>
  <c r="D295" i="4"/>
  <c r="E295" i="5"/>
  <c r="H295" i="4"/>
  <c r="K295" i="5"/>
  <c r="L295" i="4"/>
  <c r="Q295" i="5"/>
  <c r="M295" i="4"/>
  <c r="R295" i="5"/>
  <c r="T295" i="5"/>
  <c r="O295" i="4"/>
  <c r="U295" i="5"/>
  <c r="P295" i="4"/>
  <c r="W295" i="5"/>
  <c r="Q295" i="4"/>
  <c r="X295" i="5"/>
  <c r="S295" i="4"/>
  <c r="AA295" i="5"/>
  <c r="AI295" i="4"/>
  <c r="T295" i="4" a="1"/>
  <c r="T295" i="4"/>
  <c r="AC295" i="5"/>
  <c r="U295" i="4" a="1"/>
  <c r="U295" i="4"/>
  <c r="AD295" i="5"/>
  <c r="X295" i="4"/>
  <c r="AI295" i="5"/>
  <c r="F295" i="5"/>
  <c r="H295" i="5"/>
  <c r="I295" i="5"/>
  <c r="L295" i="5"/>
  <c r="N295" i="5"/>
  <c r="O295" i="5"/>
  <c r="Z295" i="5"/>
  <c r="AN295" i="5"/>
  <c r="AG296" i="5"/>
  <c r="AF296" i="5"/>
  <c r="B261" i="4"/>
  <c r="C261" i="4"/>
  <c r="C296" i="5"/>
  <c r="D261" i="4"/>
  <c r="E296" i="5"/>
  <c r="H261" i="4"/>
  <c r="K296" i="5"/>
  <c r="L261" i="4"/>
  <c r="Q296" i="5"/>
  <c r="M261" i="4"/>
  <c r="R296" i="5"/>
  <c r="T296" i="5"/>
  <c r="O261" i="4"/>
  <c r="U296" i="5"/>
  <c r="P261" i="4"/>
  <c r="W296" i="5"/>
  <c r="Q261" i="4"/>
  <c r="X296" i="5"/>
  <c r="S261" i="4"/>
  <c r="AA296" i="5"/>
  <c r="AI261" i="4"/>
  <c r="T261" i="4" a="1"/>
  <c r="T261" i="4"/>
  <c r="AC296" i="5"/>
  <c r="U261" i="4" a="1"/>
  <c r="U261" i="4"/>
  <c r="AD296" i="5"/>
  <c r="X261" i="4"/>
  <c r="AI296" i="5"/>
  <c r="Y261" i="4"/>
  <c r="AJ296" i="5"/>
  <c r="Z261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299" i="4"/>
  <c r="E299" i="5"/>
  <c r="I299" i="4"/>
  <c r="L299" i="5"/>
  <c r="J299" i="4"/>
  <c r="N299" i="5"/>
  <c r="L299" i="4"/>
  <c r="Q299" i="5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AG300" i="5"/>
  <c r="V300" i="4"/>
  <c r="AF300" i="5"/>
  <c r="C300" i="4"/>
  <c r="C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4" i="4"/>
  <c r="V304" i="4"/>
  <c r="AF304" i="5"/>
  <c r="C47" i="2"/>
  <c r="C304" i="4"/>
  <c r="C304" i="5"/>
  <c r="D47" i="2"/>
  <c r="D304" i="4"/>
  <c r="E304" i="5"/>
  <c r="I47" i="2"/>
  <c r="I304" i="4"/>
  <c r="L304" i="5"/>
  <c r="J47" i="2"/>
  <c r="J304" i="4"/>
  <c r="N304" i="5"/>
  <c r="L47" i="2"/>
  <c r="L304" i="4"/>
  <c r="Q304" i="5"/>
  <c r="M47" i="2"/>
  <c r="M304" i="4"/>
  <c r="R304" i="5"/>
  <c r="N47" i="2"/>
  <c r="N304" i="4"/>
  <c r="T304" i="5"/>
  <c r="O47" i="2"/>
  <c r="O304" i="4"/>
  <c r="U304" i="5"/>
  <c r="P47" i="2"/>
  <c r="P304" i="4"/>
  <c r="W304" i="5"/>
  <c r="Q47" i="2"/>
  <c r="Q304" i="4"/>
  <c r="X304" i="5"/>
  <c r="AA304" i="5"/>
  <c r="AC304" i="5"/>
  <c r="AD304" i="5"/>
  <c r="X47" i="2"/>
  <c r="X304" i="4"/>
  <c r="AI304" i="5"/>
  <c r="Y47" i="2"/>
  <c r="Y304" i="4"/>
  <c r="AJ304" i="5"/>
  <c r="Z47" i="2"/>
  <c r="Z304" i="4"/>
  <c r="AL304" i="5"/>
  <c r="F304" i="5"/>
  <c r="H304" i="5"/>
  <c r="I304" i="5"/>
  <c r="Z304" i="5"/>
  <c r="AN304" i="5"/>
  <c r="O305" i="5"/>
  <c r="K305" i="5"/>
  <c r="AG305" i="5"/>
  <c r="B305" i="4"/>
  <c r="V305" i="4"/>
  <c r="AF305" i="5"/>
  <c r="C305" i="4"/>
  <c r="C305" i="5"/>
  <c r="D305" i="4"/>
  <c r="E305" i="5"/>
  <c r="I305" i="4"/>
  <c r="L305" i="5"/>
  <c r="J305" i="4"/>
  <c r="N305" i="5"/>
  <c r="L305" i="4"/>
  <c r="Q305" i="5"/>
  <c r="M305" i="4"/>
  <c r="R305" i="5"/>
  <c r="N305" i="4"/>
  <c r="T305" i="5"/>
  <c r="O305" i="4"/>
  <c r="U305" i="5"/>
  <c r="P305" i="4"/>
  <c r="W305" i="5"/>
  <c r="Q305" i="4"/>
  <c r="X305" i="5"/>
  <c r="AA305" i="5"/>
  <c r="T305" i="4"/>
  <c r="AC305" i="5"/>
  <c r="AD305" i="5"/>
  <c r="X305" i="4"/>
  <c r="AI305" i="5"/>
  <c r="Y305" i="4"/>
  <c r="AJ305" i="5"/>
  <c r="Z305" i="4"/>
  <c r="AL305" i="5"/>
  <c r="F305" i="5"/>
  <c r="H305" i="5"/>
  <c r="I305" i="5"/>
  <c r="Z305" i="5"/>
  <c r="AN305" i="5"/>
  <c r="O306" i="5"/>
  <c r="K306" i="5"/>
  <c r="AG306" i="5"/>
  <c r="V48" i="2"/>
  <c r="V306" i="4"/>
  <c r="AF306" i="5"/>
  <c r="C48" i="2"/>
  <c r="C306" i="4"/>
  <c r="C306" i="5"/>
  <c r="D306" i="4"/>
  <c r="E306" i="5"/>
  <c r="I306" i="4"/>
  <c r="L306" i="5"/>
  <c r="J306" i="4"/>
  <c r="N306" i="5"/>
  <c r="L306" i="4"/>
  <c r="Q306" i="5"/>
  <c r="M306" i="4"/>
  <c r="R306" i="5"/>
  <c r="N48" i="2"/>
  <c r="N306" i="4"/>
  <c r="T306" i="5"/>
  <c r="O48" i="2"/>
  <c r="O306" i="4"/>
  <c r="U306" i="5"/>
  <c r="P48" i="2"/>
  <c r="P306" i="4"/>
  <c r="W306" i="5"/>
  <c r="Q48" i="2"/>
  <c r="Q306" i="4"/>
  <c r="X306" i="5"/>
  <c r="AA306" i="5"/>
  <c r="X48" i="2"/>
  <c r="X306" i="4"/>
  <c r="AI306" i="5"/>
  <c r="Y48" i="2"/>
  <c r="Y306" i="4"/>
  <c r="AJ306" i="5"/>
  <c r="Z48" i="2"/>
  <c r="Z306" i="4"/>
  <c r="AL306" i="5"/>
  <c r="F306" i="5"/>
  <c r="H306" i="5"/>
  <c r="I306" i="5"/>
  <c r="Z306" i="5"/>
  <c r="AN306" i="5"/>
  <c r="O307" i="5"/>
  <c r="K307" i="5"/>
  <c r="AG307" i="5"/>
  <c r="B307" i="4"/>
  <c r="V307" i="4"/>
  <c r="AF307" i="5"/>
  <c r="C307" i="4"/>
  <c r="C307" i="5"/>
  <c r="D307" i="4"/>
  <c r="E307" i="5"/>
  <c r="I307" i="4"/>
  <c r="L307" i="5"/>
  <c r="J307" i="4"/>
  <c r="N307" i="5"/>
  <c r="L307" i="4"/>
  <c r="Q307" i="5"/>
  <c r="M307" i="4"/>
  <c r="R307" i="5"/>
  <c r="N307" i="4"/>
  <c r="T307" i="5"/>
  <c r="O307" i="4"/>
  <c r="U307" i="5"/>
  <c r="P307" i="4"/>
  <c r="W307" i="5"/>
  <c r="Q307" i="4"/>
  <c r="X307" i="5"/>
  <c r="AA307" i="5"/>
  <c r="T307" i="4"/>
  <c r="AC307" i="5"/>
  <c r="AD307" i="5"/>
  <c r="X307" i="4"/>
  <c r="AI307" i="5"/>
  <c r="Y307" i="4"/>
  <c r="AJ307" i="5"/>
  <c r="Z307" i="4"/>
  <c r="AL307" i="5"/>
  <c r="F307" i="5"/>
  <c r="H307" i="5"/>
  <c r="I307" i="5"/>
  <c r="Z307" i="5"/>
  <c r="AN307" i="5"/>
  <c r="O308" i="5"/>
  <c r="K308" i="5"/>
  <c r="AG308" i="5"/>
  <c r="V308" i="4"/>
  <c r="AF308" i="5"/>
  <c r="C308" i="4"/>
  <c r="C308" i="5"/>
  <c r="D308" i="4"/>
  <c r="E308" i="5"/>
  <c r="I308" i="4"/>
  <c r="L308" i="5"/>
  <c r="J308" i="4"/>
  <c r="N308" i="5"/>
  <c r="L308" i="4"/>
  <c r="Q308" i="5"/>
  <c r="M308" i="4"/>
  <c r="R308" i="5"/>
  <c r="N308" i="4"/>
  <c r="T308" i="5"/>
  <c r="O308" i="4"/>
  <c r="U308" i="5"/>
  <c r="P308" i="4"/>
  <c r="W308" i="5"/>
  <c r="Q308" i="4"/>
  <c r="X308" i="5"/>
  <c r="AA308" i="5"/>
  <c r="X308" i="4"/>
  <c r="AI308" i="5"/>
  <c r="Y308" i="4"/>
  <c r="AJ308" i="5"/>
  <c r="Z308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AG310" i="5"/>
  <c r="V310" i="4"/>
  <c r="AF310" i="5"/>
  <c r="C310" i="4"/>
  <c r="C310" i="5"/>
  <c r="N310" i="4"/>
  <c r="T310" i="5"/>
  <c r="O310" i="4"/>
  <c r="U310" i="5"/>
  <c r="P310" i="4"/>
  <c r="W310" i="5"/>
  <c r="Q310" i="4"/>
  <c r="X310" i="5"/>
  <c r="AA310" i="5"/>
  <c r="AC310" i="5"/>
  <c r="AD310" i="5"/>
  <c r="X310" i="4"/>
  <c r="AI310" i="5"/>
  <c r="Y310" i="4"/>
  <c r="AJ310" i="5"/>
  <c r="Z310" i="4"/>
  <c r="AL310" i="5"/>
  <c r="F310" i="5"/>
  <c r="H310" i="5"/>
  <c r="I310" i="5"/>
  <c r="Z310" i="5"/>
  <c r="AN310" i="5"/>
  <c r="O311" i="5"/>
  <c r="K311" i="5"/>
  <c r="AG311" i="5"/>
  <c r="B311" i="4"/>
  <c r="V311" i="4"/>
  <c r="AF311" i="5"/>
  <c r="C311" i="4"/>
  <c r="C311" i="5"/>
  <c r="D311" i="4"/>
  <c r="E311" i="5"/>
  <c r="I311" i="4"/>
  <c r="L311" i="5"/>
  <c r="J311" i="4"/>
  <c r="N311" i="5"/>
  <c r="L311" i="4"/>
  <c r="Q311" i="5"/>
  <c r="M311" i="4"/>
  <c r="R311" i="5"/>
  <c r="N311" i="4"/>
  <c r="T311" i="5"/>
  <c r="O311" i="4"/>
  <c r="U311" i="5"/>
  <c r="P311" i="4"/>
  <c r="W311" i="5"/>
  <c r="Q311" i="4"/>
  <c r="X311" i="5"/>
  <c r="AA311" i="5"/>
  <c r="AC311" i="5"/>
  <c r="AD311" i="5"/>
  <c r="X311" i="4"/>
  <c r="AI311" i="5"/>
  <c r="Y311" i="4"/>
  <c r="AJ311" i="5"/>
  <c r="Z311" i="4"/>
  <c r="AL311" i="5"/>
  <c r="F311" i="5"/>
  <c r="H311" i="5"/>
  <c r="I311" i="5"/>
  <c r="Z311" i="5"/>
  <c r="AN311" i="5"/>
  <c r="O312" i="5"/>
  <c r="K312" i="5"/>
  <c r="AG312" i="5"/>
  <c r="B312" i="4"/>
  <c r="V312" i="4"/>
  <c r="AF312" i="5"/>
  <c r="C312" i="4"/>
  <c r="C312" i="5"/>
  <c r="D312" i="4"/>
  <c r="E312" i="5"/>
  <c r="I312" i="4"/>
  <c r="L312" i="5"/>
  <c r="J312" i="4"/>
  <c r="N312" i="5"/>
  <c r="L312" i="4"/>
  <c r="Q312" i="5"/>
  <c r="M312" i="4"/>
  <c r="R312" i="5"/>
  <c r="N312" i="4"/>
  <c r="T312" i="5"/>
  <c r="O312" i="4"/>
  <c r="U312" i="5"/>
  <c r="P312" i="4"/>
  <c r="W312" i="5"/>
  <c r="Q312" i="4"/>
  <c r="X312" i="5"/>
  <c r="AA312" i="5"/>
  <c r="AC312" i="5"/>
  <c r="AD312" i="5"/>
  <c r="X312" i="4"/>
  <c r="AI312" i="5"/>
  <c r="Y312" i="4"/>
  <c r="AJ312" i="5"/>
  <c r="Z312" i="4"/>
  <c r="AL312" i="5"/>
  <c r="F312" i="5"/>
  <c r="H312" i="5"/>
  <c r="I312" i="5"/>
  <c r="Z312" i="5"/>
  <c r="AN312" i="5"/>
  <c r="O313" i="5"/>
  <c r="K313" i="5"/>
  <c r="AG313" i="5"/>
  <c r="B313" i="4"/>
  <c r="V313" i="4"/>
  <c r="AF313" i="5"/>
  <c r="C313" i="4"/>
  <c r="C313" i="5"/>
  <c r="D313" i="4"/>
  <c r="E313" i="5"/>
  <c r="I313" i="4"/>
  <c r="L313" i="5"/>
  <c r="J313" i="4"/>
  <c r="N313" i="5"/>
  <c r="L313" i="4"/>
  <c r="Q313" i="5"/>
  <c r="M313" i="4"/>
  <c r="R313" i="5"/>
  <c r="N313" i="4"/>
  <c r="T313" i="5"/>
  <c r="O313" i="4"/>
  <c r="U313" i="5"/>
  <c r="P313" i="4"/>
  <c r="W313" i="5"/>
  <c r="Q313" i="4"/>
  <c r="X313" i="5"/>
  <c r="AA313" i="5"/>
  <c r="AC313" i="5"/>
  <c r="AD313" i="5"/>
  <c r="X313" i="4"/>
  <c r="AI313" i="5"/>
  <c r="Y313" i="4"/>
  <c r="AJ313" i="5"/>
  <c r="Z313" i="4"/>
  <c r="AL313" i="5"/>
  <c r="F313" i="5"/>
  <c r="H313" i="5"/>
  <c r="I313" i="5"/>
  <c r="Z313" i="5"/>
  <c r="AN313" i="5"/>
  <c r="O314" i="5"/>
  <c r="K314" i="5"/>
  <c r="AG314" i="5"/>
  <c r="B314" i="4"/>
  <c r="V314" i="4"/>
  <c r="AF314" i="5"/>
  <c r="C314" i="4"/>
  <c r="C314" i="5"/>
  <c r="D314" i="4"/>
  <c r="E314" i="5"/>
  <c r="I314" i="4"/>
  <c r="L314" i="5"/>
  <c r="J314" i="4"/>
  <c r="N314" i="5"/>
  <c r="L314" i="4"/>
  <c r="Q314" i="5"/>
  <c r="M314" i="4"/>
  <c r="R314" i="5"/>
  <c r="N314" i="4"/>
  <c r="T314" i="5"/>
  <c r="O314" i="4"/>
  <c r="U314" i="5"/>
  <c r="P314" i="4"/>
  <c r="W314" i="5"/>
  <c r="Q314" i="4"/>
  <c r="X314" i="5"/>
  <c r="AA314" i="5"/>
  <c r="AC314" i="5"/>
  <c r="AD314" i="5"/>
  <c r="X314" i="4"/>
  <c r="AI314" i="5"/>
  <c r="Y314" i="4"/>
  <c r="AJ314" i="5"/>
  <c r="Z314" i="4"/>
  <c r="AL314" i="5"/>
  <c r="F314" i="5"/>
  <c r="H314" i="5"/>
  <c r="I314" i="5"/>
  <c r="Z314" i="5"/>
  <c r="AN314" i="5"/>
  <c r="O315" i="5"/>
  <c r="K315" i="5"/>
  <c r="AG315" i="5"/>
  <c r="B315" i="4"/>
  <c r="V315" i="4"/>
  <c r="AF315" i="5"/>
  <c r="C315" i="5"/>
  <c r="D315" i="4"/>
  <c r="E315" i="5"/>
  <c r="I315" i="5"/>
  <c r="I315" i="4"/>
  <c r="L315" i="5"/>
  <c r="J315" i="4"/>
  <c r="N315" i="5"/>
  <c r="L315" i="4"/>
  <c r="Q315" i="5"/>
  <c r="M315" i="4"/>
  <c r="R315" i="5"/>
  <c r="N315" i="4"/>
  <c r="T315" i="5"/>
  <c r="O315" i="4"/>
  <c r="U315" i="5"/>
  <c r="P315" i="4"/>
  <c r="W315" i="5"/>
  <c r="Q315" i="4"/>
  <c r="X315" i="5"/>
  <c r="AA315" i="5"/>
  <c r="AC315" i="5"/>
  <c r="AD315" i="5"/>
  <c r="X315" i="4"/>
  <c r="AI315" i="5"/>
  <c r="Y315" i="4"/>
  <c r="AJ315" i="5"/>
  <c r="AL315" i="5"/>
  <c r="Z315" i="5"/>
  <c r="AN315" i="5"/>
  <c r="O316" i="5"/>
  <c r="K316" i="5"/>
  <c r="AG316" i="5"/>
  <c r="B316" i="4"/>
  <c r="V316" i="4"/>
  <c r="AF316" i="5"/>
  <c r="C316" i="5"/>
  <c r="D316" i="4"/>
  <c r="E316" i="5"/>
  <c r="I316" i="5"/>
  <c r="I316" i="4"/>
  <c r="L316" i="5"/>
  <c r="J316" i="4"/>
  <c r="N316" i="5"/>
  <c r="L316" i="4"/>
  <c r="Q316" i="5"/>
  <c r="M316" i="4"/>
  <c r="R316" i="5"/>
  <c r="N316" i="4"/>
  <c r="T316" i="5"/>
  <c r="O316" i="4"/>
  <c r="U316" i="5"/>
  <c r="P316" i="4"/>
  <c r="W316" i="5"/>
  <c r="Q316" i="4"/>
  <c r="X316" i="5"/>
  <c r="AA316" i="5"/>
  <c r="AC316" i="5"/>
  <c r="AD316" i="5"/>
  <c r="X316" i="4"/>
  <c r="AI316" i="5"/>
  <c r="Y316" i="4"/>
  <c r="AJ316" i="5"/>
  <c r="AL316" i="5"/>
  <c r="Z316" i="5"/>
  <c r="AN316" i="5"/>
  <c r="O317" i="5"/>
  <c r="K317" i="5"/>
  <c r="AG317" i="5"/>
  <c r="B317" i="4"/>
  <c r="V317" i="4"/>
  <c r="AF317" i="5"/>
  <c r="C317" i="5"/>
  <c r="D317" i="4"/>
  <c r="E317" i="5"/>
  <c r="I317" i="5"/>
  <c r="I317" i="4"/>
  <c r="L317" i="5"/>
  <c r="J317" i="4"/>
  <c r="N317" i="5"/>
  <c r="L317" i="4"/>
  <c r="Q317" i="5"/>
  <c r="M317" i="4"/>
  <c r="R317" i="5"/>
  <c r="N317" i="4"/>
  <c r="T317" i="5"/>
  <c r="O317" i="4"/>
  <c r="U317" i="5"/>
  <c r="P317" i="4"/>
  <c r="W317" i="5"/>
  <c r="Q317" i="4"/>
  <c r="X317" i="5"/>
  <c r="AA317" i="5"/>
  <c r="AC317" i="5"/>
  <c r="AD317" i="5"/>
  <c r="X317" i="4"/>
  <c r="AI317" i="5"/>
  <c r="Y317" i="4"/>
  <c r="AJ317" i="5"/>
  <c r="AL317" i="5"/>
  <c r="Z317" i="5"/>
  <c r="AN317" i="5"/>
  <c r="O318" i="5"/>
  <c r="K318" i="5"/>
  <c r="AG318" i="5"/>
  <c r="B318" i="4"/>
  <c r="V318" i="4"/>
  <c r="AF318" i="5"/>
  <c r="C318" i="5"/>
  <c r="D318" i="4"/>
  <c r="E318" i="5"/>
  <c r="I318" i="5"/>
  <c r="I318" i="4"/>
  <c r="L318" i="5"/>
  <c r="J318" i="4"/>
  <c r="N318" i="5"/>
  <c r="L318" i="4"/>
  <c r="Q318" i="5"/>
  <c r="M318" i="4"/>
  <c r="R318" i="5"/>
  <c r="N318" i="4"/>
  <c r="T318" i="5"/>
  <c r="O318" i="4"/>
  <c r="U318" i="5"/>
  <c r="P318" i="4"/>
  <c r="W318" i="5"/>
  <c r="Q318" i="4"/>
  <c r="X318" i="5"/>
  <c r="AA318" i="5"/>
  <c r="AC318" i="5"/>
  <c r="AD318" i="5"/>
  <c r="X318" i="4"/>
  <c r="AI318" i="5"/>
  <c r="Y318" i="4"/>
  <c r="AJ318" i="5"/>
  <c r="AL318" i="5"/>
  <c r="Z318" i="5"/>
  <c r="AN318" i="5"/>
  <c r="O319" i="5"/>
  <c r="K319" i="5"/>
  <c r="AG319" i="5"/>
  <c r="B319" i="4"/>
  <c r="V319" i="4"/>
  <c r="AF319" i="5"/>
  <c r="C319" i="5"/>
  <c r="D319" i="4"/>
  <c r="E319" i="5"/>
  <c r="I319" i="5"/>
  <c r="I319" i="4"/>
  <c r="L319" i="5"/>
  <c r="J319" i="4"/>
  <c r="N319" i="5"/>
  <c r="L319" i="4"/>
  <c r="Q319" i="5"/>
  <c r="M319" i="4"/>
  <c r="R319" i="5"/>
  <c r="N319" i="4"/>
  <c r="T319" i="5"/>
  <c r="O319" i="4"/>
  <c r="U319" i="5"/>
  <c r="P319" i="4"/>
  <c r="W319" i="5"/>
  <c r="Q319" i="4"/>
  <c r="X319" i="5"/>
  <c r="AA319" i="5"/>
  <c r="AC319" i="5"/>
  <c r="AD319" i="5"/>
  <c r="X319" i="4"/>
  <c r="AI319" i="5"/>
  <c r="Y319" i="4"/>
  <c r="AJ319" i="5"/>
  <c r="AL319" i="5"/>
  <c r="Z319" i="5"/>
  <c r="AN319" i="5"/>
  <c r="O320" i="5"/>
  <c r="K320" i="5"/>
  <c r="AG320" i="5"/>
  <c r="B320" i="4"/>
  <c r="V320" i="4"/>
  <c r="AF320" i="5"/>
  <c r="C320" i="5"/>
  <c r="D320" i="4"/>
  <c r="E320" i="5"/>
  <c r="I320" i="4"/>
  <c r="L320" i="5"/>
  <c r="J320" i="4"/>
  <c r="N320" i="5"/>
  <c r="L320" i="4"/>
  <c r="Q320" i="5"/>
  <c r="M320" i="4"/>
  <c r="R320" i="5"/>
  <c r="N320" i="4"/>
  <c r="T320" i="5"/>
  <c r="O320" i="4"/>
  <c r="U320" i="5"/>
  <c r="P320" i="4"/>
  <c r="W320" i="5"/>
  <c r="Q320" i="4"/>
  <c r="X320" i="5"/>
  <c r="AA320" i="5"/>
  <c r="AC320" i="5"/>
  <c r="AD320" i="5"/>
  <c r="X320" i="4"/>
  <c r="AI320" i="5"/>
  <c r="Y320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21" i="4"/>
  <c r="D321" i="4"/>
  <c r="E321" i="5"/>
  <c r="I321" i="5"/>
  <c r="I321" i="4"/>
  <c r="L321" i="5"/>
  <c r="J321" i="4"/>
  <c r="N321" i="5"/>
  <c r="L321" i="4"/>
  <c r="Q321" i="5"/>
  <c r="M321" i="4"/>
  <c r="R321" i="5"/>
  <c r="N321" i="4"/>
  <c r="T321" i="5"/>
  <c r="O321" i="4"/>
  <c r="U321" i="5"/>
  <c r="P321" i="4"/>
  <c r="W321" i="5"/>
  <c r="Q321" i="4"/>
  <c r="X321" i="5"/>
  <c r="AA321" i="5"/>
  <c r="AC321" i="5"/>
  <c r="AD321" i="5"/>
  <c r="X321" i="4"/>
  <c r="AI321" i="5"/>
  <c r="Y321" i="4"/>
  <c r="AJ321" i="5"/>
  <c r="AL321" i="5"/>
  <c r="Z321" i="5"/>
  <c r="AN321" i="5"/>
  <c r="O322" i="5"/>
  <c r="K322" i="5"/>
  <c r="AG322" i="5"/>
  <c r="B322" i="4"/>
  <c r="V322" i="4"/>
  <c r="AF322" i="5"/>
  <c r="C322" i="5"/>
  <c r="D322" i="4"/>
  <c r="E322" i="5"/>
  <c r="I322" i="5"/>
  <c r="I322" i="4"/>
  <c r="L322" i="5"/>
  <c r="J322" i="4"/>
  <c r="N322" i="5"/>
  <c r="L322" i="4"/>
  <c r="Q322" i="5"/>
  <c r="M322" i="4"/>
  <c r="R322" i="5"/>
  <c r="N322" i="4"/>
  <c r="T322" i="5"/>
  <c r="O322" i="4"/>
  <c r="U322" i="5"/>
  <c r="P322" i="4"/>
  <c r="W322" i="5"/>
  <c r="Q322" i="4"/>
  <c r="X322" i="5"/>
  <c r="AA322" i="5"/>
  <c r="AC322" i="5"/>
  <c r="AD322" i="5"/>
  <c r="X322" i="4"/>
  <c r="AI322" i="5"/>
  <c r="Y322" i="4"/>
  <c r="AJ322" i="5"/>
  <c r="AL322" i="5"/>
  <c r="Z322" i="5"/>
  <c r="AN322" i="5"/>
  <c r="O323" i="5"/>
  <c r="K323" i="5"/>
  <c r="AG323" i="5"/>
  <c r="B323" i="4"/>
  <c r="V323" i="4"/>
  <c r="AF323" i="5"/>
  <c r="C323" i="5"/>
  <c r="D323" i="4"/>
  <c r="E323" i="5"/>
  <c r="I323" i="4"/>
  <c r="L323" i="5"/>
  <c r="J323" i="4"/>
  <c r="N323" i="5"/>
  <c r="L323" i="4"/>
  <c r="Q323" i="5"/>
  <c r="M323" i="4"/>
  <c r="R323" i="5"/>
  <c r="N323" i="4"/>
  <c r="T323" i="5"/>
  <c r="O323" i="4"/>
  <c r="U323" i="5"/>
  <c r="P323" i="4"/>
  <c r="W323" i="5"/>
  <c r="Q323" i="4"/>
  <c r="X323" i="5"/>
  <c r="AA323" i="5"/>
  <c r="AC323" i="5"/>
  <c r="AD323" i="5"/>
  <c r="X323" i="4"/>
  <c r="AI323" i="5"/>
  <c r="Y323" i="4"/>
  <c r="AJ323" i="5"/>
  <c r="AL323" i="5"/>
  <c r="F323" i="5"/>
  <c r="H323" i="5"/>
  <c r="I323" i="5"/>
  <c r="Z323" i="5"/>
  <c r="AN323" i="5"/>
  <c r="O324" i="5"/>
  <c r="K324" i="5"/>
  <c r="AG324" i="5"/>
  <c r="B324" i="4"/>
  <c r="V324" i="4"/>
  <c r="AF324" i="5"/>
  <c r="C324" i="5"/>
  <c r="D324" i="4"/>
  <c r="E324" i="5"/>
  <c r="I324" i="4"/>
  <c r="L324" i="5"/>
  <c r="J324" i="4"/>
  <c r="N324" i="5"/>
  <c r="L324" i="4"/>
  <c r="Q324" i="5"/>
  <c r="M324" i="4"/>
  <c r="R324" i="5"/>
  <c r="N324" i="4"/>
  <c r="T324" i="5"/>
  <c r="O324" i="4"/>
  <c r="U324" i="5"/>
  <c r="P324" i="4"/>
  <c r="W324" i="5"/>
  <c r="Q324" i="4"/>
  <c r="X324" i="5"/>
  <c r="AA324" i="5"/>
  <c r="AC324" i="5"/>
  <c r="AD324" i="5"/>
  <c r="X324" i="4"/>
  <c r="AI324" i="5"/>
  <c r="Y324" i="4"/>
  <c r="AJ324" i="5"/>
  <c r="AL324" i="5"/>
  <c r="F324" i="5"/>
  <c r="H324" i="5"/>
  <c r="I324" i="5"/>
  <c r="Z324" i="5"/>
  <c r="AN324" i="5"/>
  <c r="O325" i="5"/>
  <c r="K325" i="5"/>
  <c r="AG325" i="5"/>
  <c r="B325" i="4"/>
  <c r="V325" i="4"/>
  <c r="AF325" i="5"/>
  <c r="C325" i="5"/>
  <c r="D325" i="4"/>
  <c r="E325" i="5"/>
  <c r="I325" i="4"/>
  <c r="L325" i="5"/>
  <c r="J325" i="4"/>
  <c r="N325" i="5"/>
  <c r="L325" i="4"/>
  <c r="Q325" i="5"/>
  <c r="M325" i="4"/>
  <c r="R325" i="5"/>
  <c r="N325" i="4"/>
  <c r="T325" i="5"/>
  <c r="O325" i="4"/>
  <c r="U325" i="5"/>
  <c r="P325" i="4"/>
  <c r="W325" i="5"/>
  <c r="Q325" i="4"/>
  <c r="X325" i="5"/>
  <c r="AA325" i="5"/>
  <c r="AC325" i="5"/>
  <c r="AD325" i="5"/>
  <c r="X325" i="4"/>
  <c r="AI325" i="5"/>
  <c r="Y325" i="4"/>
  <c r="AJ325" i="5"/>
  <c r="AL325" i="5"/>
  <c r="F325" i="5"/>
  <c r="H325" i="5"/>
  <c r="I325" i="5"/>
  <c r="Z325" i="5"/>
  <c r="AN325" i="5"/>
  <c r="O326" i="5"/>
  <c r="K326" i="5"/>
  <c r="AG326" i="5"/>
  <c r="B326" i="4"/>
  <c r="V326" i="4"/>
  <c r="AF326" i="5"/>
  <c r="C326" i="5"/>
  <c r="D326" i="4"/>
  <c r="E326" i="5"/>
  <c r="I326" i="5"/>
  <c r="I326" i="4"/>
  <c r="L326" i="5"/>
  <c r="J326" i="4"/>
  <c r="N326" i="5"/>
  <c r="L326" i="4"/>
  <c r="Q326" i="5"/>
  <c r="M326" i="4"/>
  <c r="R326" i="5"/>
  <c r="N326" i="4"/>
  <c r="T326" i="5"/>
  <c r="O326" i="4"/>
  <c r="U326" i="5"/>
  <c r="P326" i="4"/>
  <c r="W326" i="5"/>
  <c r="Q326" i="4"/>
  <c r="X326" i="5"/>
  <c r="AA326" i="5"/>
  <c r="AC326" i="5"/>
  <c r="AD326" i="5"/>
  <c r="X326" i="4"/>
  <c r="AI326" i="5"/>
  <c r="Y326" i="4"/>
  <c r="AJ326" i="5"/>
  <c r="AL326" i="5"/>
  <c r="Z326" i="5"/>
  <c r="AN326" i="5"/>
  <c r="O327" i="5"/>
  <c r="K327" i="5"/>
  <c r="AG327" i="5"/>
  <c r="B347" i="4"/>
  <c r="AF327" i="5"/>
  <c r="C327" i="5"/>
  <c r="D347" i="4"/>
  <c r="E327" i="5"/>
  <c r="I327" i="5"/>
  <c r="I347" i="4"/>
  <c r="L327" i="5"/>
  <c r="J347" i="4"/>
  <c r="N327" i="5"/>
  <c r="L347" i="4"/>
  <c r="Q327" i="5"/>
  <c r="M347" i="4"/>
  <c r="R327" i="5"/>
  <c r="N347" i="4"/>
  <c r="T327" i="5"/>
  <c r="O347" i="4"/>
  <c r="U327" i="5"/>
  <c r="P347" i="4"/>
  <c r="W327" i="5"/>
  <c r="Q347" i="4"/>
  <c r="X327" i="5"/>
  <c r="AA327" i="5"/>
  <c r="AC327" i="5"/>
  <c r="AD327" i="5"/>
  <c r="X347" i="4"/>
  <c r="AI327" i="5"/>
  <c r="Z327" i="5"/>
  <c r="AN327" i="5"/>
  <c r="O328" i="5"/>
  <c r="K328" i="5"/>
  <c r="AG328" i="5"/>
  <c r="B327" i="4"/>
  <c r="V327" i="4"/>
  <c r="AF328" i="5"/>
  <c r="C328" i="5"/>
  <c r="D327" i="4"/>
  <c r="E328" i="5"/>
  <c r="I328" i="5"/>
  <c r="I327" i="4"/>
  <c r="L328" i="5"/>
  <c r="J327" i="4"/>
  <c r="N328" i="5"/>
  <c r="L327" i="4"/>
  <c r="Q328" i="5"/>
  <c r="M327" i="4"/>
  <c r="R328" i="5"/>
  <c r="N327" i="4"/>
  <c r="T328" i="5"/>
  <c r="O327" i="4"/>
  <c r="U328" i="5"/>
  <c r="P327" i="4"/>
  <c r="W328" i="5"/>
  <c r="Q327" i="4"/>
  <c r="X328" i="5"/>
  <c r="AA328" i="5"/>
  <c r="AC328" i="5"/>
  <c r="AD328" i="5"/>
  <c r="X327" i="4"/>
  <c r="AI328" i="5"/>
  <c r="Y327" i="4"/>
  <c r="AJ328" i="5"/>
  <c r="AL328" i="5"/>
  <c r="Z328" i="5"/>
  <c r="AN328" i="5"/>
  <c r="O329" i="5"/>
  <c r="K329" i="5"/>
  <c r="AG329" i="5"/>
  <c r="B328" i="4"/>
  <c r="V328" i="4"/>
  <c r="AF329" i="5"/>
  <c r="C329" i="5"/>
  <c r="D328" i="4"/>
  <c r="E329" i="5"/>
  <c r="I329" i="5"/>
  <c r="I328" i="4"/>
  <c r="L329" i="5"/>
  <c r="J328" i="4"/>
  <c r="N329" i="5"/>
  <c r="L328" i="4"/>
  <c r="Q329" i="5"/>
  <c r="M328" i="4"/>
  <c r="R329" i="5"/>
  <c r="N328" i="4"/>
  <c r="T329" i="5"/>
  <c r="O328" i="4"/>
  <c r="U329" i="5"/>
  <c r="P328" i="4"/>
  <c r="W329" i="5"/>
  <c r="Q328" i="4"/>
  <c r="X329" i="5"/>
  <c r="AA329" i="5"/>
  <c r="AC329" i="5"/>
  <c r="AD329" i="5"/>
  <c r="X328" i="4"/>
  <c r="AI329" i="5"/>
  <c r="Y328" i="4"/>
  <c r="AJ329" i="5"/>
  <c r="AL329" i="5"/>
  <c r="Z329" i="5"/>
  <c r="AN329" i="5"/>
  <c r="O330" i="5"/>
  <c r="K330" i="5"/>
  <c r="AG330" i="5"/>
  <c r="B329" i="4"/>
  <c r="V329" i="4"/>
  <c r="AF330" i="5"/>
  <c r="C330" i="5"/>
  <c r="D329" i="4"/>
  <c r="E330" i="5"/>
  <c r="I329" i="4"/>
  <c r="L330" i="5"/>
  <c r="J329" i="4"/>
  <c r="N330" i="5"/>
  <c r="L329" i="4"/>
  <c r="Q330" i="5"/>
  <c r="M329" i="4"/>
  <c r="R330" i="5"/>
  <c r="N329" i="4"/>
  <c r="T330" i="5"/>
  <c r="O329" i="4"/>
  <c r="U330" i="5"/>
  <c r="P329" i="4"/>
  <c r="W330" i="5"/>
  <c r="Q329" i="4"/>
  <c r="X330" i="5"/>
  <c r="AA330" i="5"/>
  <c r="AC330" i="5"/>
  <c r="AD330" i="5"/>
  <c r="X329" i="4"/>
  <c r="AI330" i="5"/>
  <c r="Y329" i="4"/>
  <c r="AJ330" i="5"/>
  <c r="AL330" i="5"/>
  <c r="F330" i="5"/>
  <c r="H330" i="5"/>
  <c r="I330" i="5"/>
  <c r="Z330" i="5"/>
  <c r="AN330" i="5"/>
  <c r="O331" i="5"/>
  <c r="K331" i="5"/>
  <c r="AG331" i="5"/>
  <c r="B330" i="4"/>
  <c r="V330" i="4"/>
  <c r="AF331" i="5"/>
  <c r="C331" i="5"/>
  <c r="D330" i="4"/>
  <c r="E331" i="5"/>
  <c r="I330" i="4"/>
  <c r="L331" i="5"/>
  <c r="J330" i="4"/>
  <c r="N331" i="5"/>
  <c r="L330" i="4"/>
  <c r="Q331" i="5"/>
  <c r="M330" i="4"/>
  <c r="R331" i="5"/>
  <c r="N330" i="4"/>
  <c r="T331" i="5"/>
  <c r="O330" i="4"/>
  <c r="U331" i="5"/>
  <c r="P330" i="4"/>
  <c r="W331" i="5"/>
  <c r="Q330" i="4"/>
  <c r="X331" i="5"/>
  <c r="AA331" i="5"/>
  <c r="AC331" i="5"/>
  <c r="AD331" i="5"/>
  <c r="X330" i="4"/>
  <c r="AI331" i="5"/>
  <c r="Y330" i="4"/>
  <c r="AJ331" i="5"/>
  <c r="AL331" i="5"/>
  <c r="F331" i="5"/>
  <c r="H331" i="5"/>
  <c r="I331" i="5"/>
  <c r="Z331" i="5"/>
  <c r="AN331" i="5"/>
  <c r="O332" i="5"/>
  <c r="K332" i="5"/>
  <c r="AG332" i="5"/>
  <c r="B331" i="4"/>
  <c r="V331" i="4"/>
  <c r="AF332" i="5"/>
  <c r="C332" i="5"/>
  <c r="D331" i="4"/>
  <c r="E332" i="5"/>
  <c r="I332" i="5"/>
  <c r="I331" i="4"/>
  <c r="L332" i="5"/>
  <c r="J331" i="4"/>
  <c r="N332" i="5"/>
  <c r="L331" i="4"/>
  <c r="Q332" i="5"/>
  <c r="M331" i="4"/>
  <c r="R332" i="5"/>
  <c r="N331" i="4"/>
  <c r="T332" i="5"/>
  <c r="O331" i="4"/>
  <c r="U332" i="5"/>
  <c r="P331" i="4"/>
  <c r="W332" i="5"/>
  <c r="Q331" i="4"/>
  <c r="X332" i="5"/>
  <c r="AA332" i="5"/>
  <c r="AC332" i="5"/>
  <c r="AD332" i="5"/>
  <c r="X331" i="4"/>
  <c r="AI332" i="5"/>
  <c r="Y331" i="4"/>
  <c r="AJ332" i="5"/>
  <c r="AL332" i="5"/>
  <c r="Z332" i="5"/>
  <c r="AN332" i="5"/>
  <c r="O333" i="5"/>
  <c r="K333" i="5"/>
  <c r="AG333" i="5"/>
  <c r="AF333" i="5"/>
  <c r="C333" i="5"/>
  <c r="B332" i="4"/>
  <c r="D332" i="4"/>
  <c r="E333" i="5"/>
  <c r="I333" i="5"/>
  <c r="I332" i="4"/>
  <c r="L333" i="5"/>
  <c r="J332" i="4"/>
  <c r="N333" i="5"/>
  <c r="L332" i="4"/>
  <c r="Q333" i="5"/>
  <c r="M332" i="4"/>
  <c r="R333" i="5"/>
  <c r="N332" i="4"/>
  <c r="T333" i="5"/>
  <c r="O332" i="4"/>
  <c r="U333" i="5"/>
  <c r="P332" i="4"/>
  <c r="W333" i="5"/>
  <c r="Q332" i="4"/>
  <c r="X333" i="5"/>
  <c r="AA333" i="5"/>
  <c r="AC333" i="5"/>
  <c r="AD333" i="5"/>
  <c r="X332" i="4"/>
  <c r="AI333" i="5"/>
  <c r="Y332" i="4"/>
  <c r="AJ333" i="5"/>
  <c r="AL333" i="5"/>
  <c r="Z333" i="5"/>
  <c r="AN333" i="5"/>
  <c r="O334" i="5"/>
  <c r="K334" i="5"/>
  <c r="AG334" i="5"/>
  <c r="B333" i="4"/>
  <c r="V333" i="4"/>
  <c r="AF334" i="5"/>
  <c r="C334" i="5"/>
  <c r="D333" i="4"/>
  <c r="E334" i="5"/>
  <c r="I334" i="5"/>
  <c r="I333" i="4"/>
  <c r="L334" i="5"/>
  <c r="J333" i="4"/>
  <c r="N334" i="5"/>
  <c r="L333" i="4"/>
  <c r="Q334" i="5"/>
  <c r="M333" i="4"/>
  <c r="R334" i="5"/>
  <c r="N333" i="4"/>
  <c r="T334" i="5"/>
  <c r="O333" i="4"/>
  <c r="U334" i="5"/>
  <c r="P333" i="4"/>
  <c r="W334" i="5"/>
  <c r="Q333" i="4"/>
  <c r="X334" i="5"/>
  <c r="AA334" i="5"/>
  <c r="AC334" i="5"/>
  <c r="AD334" i="5"/>
  <c r="X333" i="4"/>
  <c r="AI334" i="5"/>
  <c r="Y333" i="4"/>
  <c r="AJ334" i="5"/>
  <c r="AL334" i="5"/>
  <c r="Z334" i="5"/>
  <c r="AN334" i="5"/>
  <c r="O335" i="5"/>
  <c r="K335" i="5"/>
  <c r="AG335" i="5"/>
  <c r="B334" i="4"/>
  <c r="V334" i="4"/>
  <c r="AF335" i="5"/>
  <c r="C335" i="5"/>
  <c r="D334" i="4"/>
  <c r="E335" i="5"/>
  <c r="I335" i="5"/>
  <c r="I334" i="4"/>
  <c r="L335" i="5"/>
  <c r="J334" i="4"/>
  <c r="N335" i="5"/>
  <c r="L334" i="4"/>
  <c r="Q335" i="5"/>
  <c r="M334" i="4"/>
  <c r="R335" i="5"/>
  <c r="N334" i="4"/>
  <c r="T335" i="5"/>
  <c r="O334" i="4"/>
  <c r="U335" i="5"/>
  <c r="P334" i="4"/>
  <c r="W335" i="5"/>
  <c r="Q334" i="4"/>
  <c r="X335" i="5"/>
  <c r="AA335" i="5"/>
  <c r="AC335" i="5"/>
  <c r="AD335" i="5"/>
  <c r="X334" i="4"/>
  <c r="AI335" i="5"/>
  <c r="Y334" i="4"/>
  <c r="AJ335" i="5"/>
  <c r="AL335" i="5"/>
  <c r="Z335" i="5"/>
  <c r="AN335" i="5"/>
  <c r="O336" i="5"/>
  <c r="K336" i="5"/>
  <c r="AG336" i="5"/>
  <c r="B335" i="4"/>
  <c r="V335" i="4"/>
  <c r="AF336" i="5"/>
  <c r="C336" i="5"/>
  <c r="D335" i="4"/>
  <c r="E336" i="5"/>
  <c r="I335" i="4"/>
  <c r="L336" i="5"/>
  <c r="J335" i="4"/>
  <c r="N336" i="5"/>
  <c r="L335" i="4"/>
  <c r="Q336" i="5"/>
  <c r="M335" i="4"/>
  <c r="R336" i="5"/>
  <c r="N335" i="4"/>
  <c r="T336" i="5"/>
  <c r="O335" i="4"/>
  <c r="U336" i="5"/>
  <c r="P335" i="4"/>
  <c r="W336" i="5"/>
  <c r="Q335" i="4"/>
  <c r="X336" i="5"/>
  <c r="AA336" i="5"/>
  <c r="AC336" i="5"/>
  <c r="AD336" i="5"/>
  <c r="X335" i="4"/>
  <c r="AI336" i="5"/>
  <c r="Y335" i="4"/>
  <c r="AJ336" i="5"/>
  <c r="AL336" i="5"/>
  <c r="F336" i="5"/>
  <c r="H336" i="5"/>
  <c r="I336" i="5"/>
  <c r="Z336" i="5"/>
  <c r="AN336" i="5"/>
  <c r="O337" i="5"/>
  <c r="K337" i="5"/>
  <c r="AG337" i="5"/>
  <c r="B336" i="4"/>
  <c r="V336" i="4"/>
  <c r="AF337" i="5"/>
  <c r="C337" i="5"/>
  <c r="D336" i="4"/>
  <c r="E337" i="5"/>
  <c r="I337" i="5"/>
  <c r="I336" i="4"/>
  <c r="L337" i="5"/>
  <c r="J336" i="4"/>
  <c r="N337" i="5"/>
  <c r="L336" i="4"/>
  <c r="Q337" i="5"/>
  <c r="M336" i="4"/>
  <c r="R337" i="5"/>
  <c r="N336" i="4"/>
  <c r="T337" i="5"/>
  <c r="O336" i="4"/>
  <c r="U337" i="5"/>
  <c r="P336" i="4"/>
  <c r="W337" i="5"/>
  <c r="Q336" i="4"/>
  <c r="X337" i="5"/>
  <c r="AA337" i="5"/>
  <c r="AC337" i="5"/>
  <c r="AD337" i="5"/>
  <c r="X336" i="4"/>
  <c r="AI337" i="5"/>
  <c r="Y336" i="4"/>
  <c r="AJ337" i="5"/>
  <c r="AL337" i="5"/>
  <c r="Z337" i="5"/>
  <c r="AN337" i="5"/>
  <c r="O338" i="5"/>
  <c r="K338" i="5"/>
  <c r="AG338" i="5"/>
  <c r="B337" i="4"/>
  <c r="V337" i="4"/>
  <c r="AF338" i="5"/>
  <c r="C338" i="5"/>
  <c r="D337" i="4"/>
  <c r="E338" i="5"/>
  <c r="I337" i="4"/>
  <c r="L338" i="5"/>
  <c r="J337" i="4"/>
  <c r="N338" i="5"/>
  <c r="L337" i="4"/>
  <c r="Q338" i="5"/>
  <c r="M337" i="4"/>
  <c r="R338" i="5"/>
  <c r="N337" i="4"/>
  <c r="T338" i="5"/>
  <c r="O337" i="4"/>
  <c r="U338" i="5"/>
  <c r="P337" i="4"/>
  <c r="W338" i="5"/>
  <c r="Q337" i="4"/>
  <c r="X338" i="5"/>
  <c r="AA338" i="5"/>
  <c r="AC338" i="5"/>
  <c r="AD338" i="5"/>
  <c r="X337" i="4"/>
  <c r="AI338" i="5"/>
  <c r="Y337" i="4"/>
  <c r="AJ338" i="5"/>
  <c r="AL338" i="5"/>
  <c r="F338" i="5"/>
  <c r="H338" i="5"/>
  <c r="I338" i="5"/>
  <c r="Z338" i="5"/>
  <c r="AN338" i="5"/>
  <c r="O339" i="5"/>
  <c r="K339" i="5"/>
  <c r="AG339" i="5"/>
  <c r="B338" i="4"/>
  <c r="V338" i="4"/>
  <c r="AF339" i="5"/>
  <c r="C339" i="5"/>
  <c r="D338" i="4"/>
  <c r="E339" i="5"/>
  <c r="I339" i="5"/>
  <c r="I338" i="4"/>
  <c r="L339" i="5"/>
  <c r="J338" i="4"/>
  <c r="N339" i="5"/>
  <c r="L338" i="4"/>
  <c r="Q339" i="5"/>
  <c r="M338" i="4"/>
  <c r="R339" i="5"/>
  <c r="N338" i="4"/>
  <c r="T339" i="5"/>
  <c r="O338" i="4"/>
  <c r="U339" i="5"/>
  <c r="P338" i="4"/>
  <c r="W339" i="5"/>
  <c r="Q338" i="4"/>
  <c r="X339" i="5"/>
  <c r="AA339" i="5"/>
  <c r="AC339" i="5"/>
  <c r="AD339" i="5"/>
  <c r="X338" i="4"/>
  <c r="AI339" i="5"/>
  <c r="Y338" i="4"/>
  <c r="AJ339" i="5"/>
  <c r="AL339" i="5"/>
  <c r="Z339" i="5"/>
  <c r="AN339" i="5"/>
  <c r="O340" i="5"/>
  <c r="K340" i="5"/>
  <c r="AG340" i="5"/>
  <c r="B339" i="4"/>
  <c r="V339" i="4"/>
  <c r="AF340" i="5"/>
  <c r="C340" i="5"/>
  <c r="D339" i="4"/>
  <c r="E340" i="5"/>
  <c r="I339" i="4"/>
  <c r="L340" i="5"/>
  <c r="J339" i="4"/>
  <c r="N340" i="5"/>
  <c r="L339" i="4"/>
  <c r="Q340" i="5"/>
  <c r="M339" i="4"/>
  <c r="R340" i="5"/>
  <c r="N339" i="4"/>
  <c r="T340" i="5"/>
  <c r="O339" i="4"/>
  <c r="U340" i="5"/>
  <c r="P339" i="4"/>
  <c r="W340" i="5"/>
  <c r="Q339" i="4"/>
  <c r="X340" i="5"/>
  <c r="AA340" i="5"/>
  <c r="AC340" i="5"/>
  <c r="AD340" i="5"/>
  <c r="X339" i="4"/>
  <c r="AI340" i="5"/>
  <c r="Y339" i="4"/>
  <c r="AJ340" i="5"/>
  <c r="AL340" i="5"/>
  <c r="F340" i="5"/>
  <c r="H340" i="5"/>
  <c r="I340" i="5"/>
  <c r="Z340" i="5"/>
  <c r="AN340" i="5"/>
  <c r="O341" i="5"/>
  <c r="K341" i="5"/>
  <c r="AG341" i="5"/>
  <c r="B340" i="4"/>
  <c r="V340" i="4"/>
  <c r="AF341" i="5"/>
  <c r="C341" i="5"/>
  <c r="D340" i="4"/>
  <c r="E341" i="5"/>
  <c r="I341" i="5"/>
  <c r="I340" i="4"/>
  <c r="L341" i="5"/>
  <c r="J340" i="4"/>
  <c r="N341" i="5"/>
  <c r="L340" i="4"/>
  <c r="Q341" i="5"/>
  <c r="M340" i="4"/>
  <c r="R341" i="5"/>
  <c r="N340" i="4"/>
  <c r="T341" i="5"/>
  <c r="O340" i="4"/>
  <c r="U341" i="5"/>
  <c r="P340" i="4"/>
  <c r="W341" i="5"/>
  <c r="Q340" i="4"/>
  <c r="X341" i="5"/>
  <c r="AA341" i="5"/>
  <c r="AC341" i="5"/>
  <c r="AD341" i="5"/>
  <c r="X340" i="4"/>
  <c r="AI341" i="5"/>
  <c r="Y340" i="4"/>
  <c r="AJ341" i="5"/>
  <c r="AL341" i="5"/>
  <c r="Z341" i="5"/>
  <c r="AN341" i="5"/>
  <c r="O342" i="5"/>
  <c r="K342" i="5"/>
  <c r="AG342" i="5"/>
  <c r="B341" i="4"/>
  <c r="V341" i="4"/>
  <c r="AF342" i="5"/>
  <c r="C342" i="5"/>
  <c r="D341" i="4"/>
  <c r="E342" i="5"/>
  <c r="I342" i="5"/>
  <c r="I341" i="4"/>
  <c r="L342" i="5"/>
  <c r="J341" i="4"/>
  <c r="N342" i="5"/>
  <c r="L341" i="4"/>
  <c r="Q342" i="5"/>
  <c r="M341" i="4"/>
  <c r="R342" i="5"/>
  <c r="N341" i="4"/>
  <c r="T342" i="5"/>
  <c r="O341" i="4"/>
  <c r="U342" i="5"/>
  <c r="P341" i="4"/>
  <c r="W342" i="5"/>
  <c r="Q341" i="4"/>
  <c r="X342" i="5"/>
  <c r="AA342" i="5"/>
  <c r="AC342" i="5"/>
  <c r="AD342" i="5"/>
  <c r="X341" i="4"/>
  <c r="AI342" i="5"/>
  <c r="Y341" i="4"/>
  <c r="AJ342" i="5"/>
  <c r="AL342" i="5"/>
  <c r="Z342" i="5"/>
  <c r="AN342" i="5"/>
  <c r="O343" i="5"/>
  <c r="K343" i="5"/>
  <c r="AG343" i="5"/>
  <c r="B342" i="4"/>
  <c r="V342" i="4"/>
  <c r="AF343" i="5"/>
  <c r="C343" i="5"/>
  <c r="D342" i="4"/>
  <c r="E343" i="5"/>
  <c r="I343" i="5"/>
  <c r="I342" i="4"/>
  <c r="L343" i="5"/>
  <c r="J342" i="4"/>
  <c r="N343" i="5"/>
  <c r="L342" i="4"/>
  <c r="Q343" i="5"/>
  <c r="M342" i="4"/>
  <c r="R343" i="5"/>
  <c r="N342" i="4"/>
  <c r="T343" i="5"/>
  <c r="O342" i="4"/>
  <c r="U343" i="5"/>
  <c r="P342" i="4"/>
  <c r="W343" i="5"/>
  <c r="Q342" i="4"/>
  <c r="X343" i="5"/>
  <c r="AA343" i="5"/>
  <c r="AC343" i="5"/>
  <c r="AD343" i="5"/>
  <c r="X342" i="4"/>
  <c r="AI343" i="5"/>
  <c r="Y342" i="4"/>
  <c r="AJ343" i="5"/>
  <c r="AL343" i="5"/>
  <c r="Z343" i="5"/>
  <c r="AN343" i="5"/>
  <c r="O344" i="5"/>
  <c r="K344" i="5"/>
  <c r="AG344" i="5"/>
  <c r="B343" i="4"/>
  <c r="V343" i="4"/>
  <c r="AF344" i="5"/>
  <c r="C344" i="5"/>
  <c r="D343" i="4"/>
  <c r="E344" i="5"/>
  <c r="I343" i="4"/>
  <c r="L344" i="5"/>
  <c r="J343" i="4"/>
  <c r="N344" i="5"/>
  <c r="L343" i="4"/>
  <c r="Q344" i="5"/>
  <c r="M343" i="4"/>
  <c r="R344" i="5"/>
  <c r="N343" i="4"/>
  <c r="T344" i="5"/>
  <c r="O343" i="4"/>
  <c r="U344" i="5"/>
  <c r="P343" i="4"/>
  <c r="W344" i="5"/>
  <c r="Q343" i="4"/>
  <c r="X344" i="5"/>
  <c r="AA344" i="5"/>
  <c r="AC344" i="5"/>
  <c r="AD344" i="5"/>
  <c r="X343" i="4"/>
  <c r="AI344" i="5"/>
  <c r="Y343" i="4"/>
  <c r="AJ344" i="5"/>
  <c r="AL344" i="5"/>
  <c r="F344" i="5"/>
  <c r="H344" i="5"/>
  <c r="I344" i="5"/>
  <c r="Z344" i="5"/>
  <c r="AN344" i="5"/>
  <c r="O345" i="5"/>
  <c r="K345" i="5"/>
  <c r="AG345" i="5"/>
  <c r="B344" i="4"/>
  <c r="V344" i="4"/>
  <c r="AF345" i="5"/>
  <c r="C345" i="5"/>
  <c r="D344" i="4"/>
  <c r="E345" i="5"/>
  <c r="I344" i="4"/>
  <c r="L345" i="5"/>
  <c r="J344" i="4"/>
  <c r="N345" i="5"/>
  <c r="L344" i="4"/>
  <c r="Q345" i="5"/>
  <c r="M344" i="4"/>
  <c r="R345" i="5"/>
  <c r="N344" i="4"/>
  <c r="T345" i="5"/>
  <c r="O344" i="4"/>
  <c r="U345" i="5"/>
  <c r="P344" i="4"/>
  <c r="W345" i="5"/>
  <c r="Q344" i="4"/>
  <c r="X345" i="5"/>
  <c r="AA345" i="5"/>
  <c r="AC345" i="5"/>
  <c r="AD345" i="5"/>
  <c r="X344" i="4"/>
  <c r="AI345" i="5"/>
  <c r="Y344" i="4"/>
  <c r="AJ345" i="5"/>
  <c r="AL345" i="5"/>
  <c r="F345" i="5"/>
  <c r="H345" i="5"/>
  <c r="I345" i="5"/>
  <c r="Z345" i="5"/>
  <c r="AN345" i="5"/>
  <c r="O346" i="5"/>
  <c r="K346" i="5"/>
  <c r="AG346" i="5"/>
  <c r="B345" i="4"/>
  <c r="V345" i="4"/>
  <c r="AF346" i="5"/>
  <c r="C346" i="5"/>
  <c r="D345" i="4"/>
  <c r="E346" i="5"/>
  <c r="I345" i="4"/>
  <c r="L346" i="5"/>
  <c r="J345" i="4"/>
  <c r="N346" i="5"/>
  <c r="L345" i="4"/>
  <c r="Q346" i="5"/>
  <c r="M345" i="4"/>
  <c r="R346" i="5"/>
  <c r="N345" i="4"/>
  <c r="T346" i="5"/>
  <c r="O345" i="4"/>
  <c r="U346" i="5"/>
  <c r="P345" i="4"/>
  <c r="W346" i="5"/>
  <c r="Q345" i="4"/>
  <c r="X346" i="5"/>
  <c r="AA346" i="5"/>
  <c r="AC346" i="5"/>
  <c r="AD346" i="5"/>
  <c r="X345" i="4"/>
  <c r="AI346" i="5"/>
  <c r="Y345" i="4"/>
  <c r="AJ346" i="5"/>
  <c r="AL346" i="5"/>
  <c r="F346" i="5"/>
  <c r="H346" i="5"/>
  <c r="I346" i="5"/>
  <c r="Z346" i="5"/>
  <c r="AN346" i="5"/>
  <c r="O347" i="5"/>
  <c r="K347" i="5"/>
  <c r="AG347" i="5"/>
  <c r="B346" i="4"/>
  <c r="V346" i="4"/>
  <c r="AF347" i="5"/>
  <c r="C347" i="5"/>
  <c r="D346" i="4"/>
  <c r="E347" i="5"/>
  <c r="I347" i="5"/>
  <c r="I346" i="4"/>
  <c r="L347" i="5"/>
  <c r="J346" i="4"/>
  <c r="N347" i="5"/>
  <c r="L346" i="4"/>
  <c r="Q347" i="5"/>
  <c r="M346" i="4"/>
  <c r="R347" i="5"/>
  <c r="N346" i="4"/>
  <c r="T347" i="5"/>
  <c r="O346" i="4"/>
  <c r="U347" i="5"/>
  <c r="P346" i="4"/>
  <c r="W347" i="5"/>
  <c r="Q346" i="4"/>
  <c r="X347" i="5"/>
  <c r="AA347" i="5"/>
  <c r="AC347" i="5"/>
  <c r="AD347" i="5"/>
  <c r="X346" i="4"/>
  <c r="AI347" i="5"/>
  <c r="Y346" i="4"/>
  <c r="AJ347" i="5"/>
  <c r="AL347" i="5"/>
  <c r="Z347" i="5"/>
  <c r="AN347" i="5"/>
  <c r="K50" i="2"/>
  <c r="B348" i="4"/>
  <c r="K348" i="4"/>
  <c r="O348" i="5"/>
  <c r="H50" i="2"/>
  <c r="H348" i="4"/>
  <c r="K348" i="5"/>
  <c r="W50" i="2"/>
  <c r="W348" i="4"/>
  <c r="AG348" i="5"/>
  <c r="V50" i="2"/>
  <c r="V348" i="4"/>
  <c r="AF348" i="5"/>
  <c r="C50" i="2"/>
  <c r="C348" i="4"/>
  <c r="C348" i="5"/>
  <c r="D50" i="2"/>
  <c r="D348" i="4"/>
  <c r="E348" i="5"/>
  <c r="I50" i="2"/>
  <c r="I348" i="4"/>
  <c r="L348" i="5"/>
  <c r="J50" i="2"/>
  <c r="J348" i="4"/>
  <c r="N348" i="5"/>
  <c r="L50" i="2"/>
  <c r="L348" i="4"/>
  <c r="Q348" i="5"/>
  <c r="M50" i="2"/>
  <c r="M348" i="4"/>
  <c r="R348" i="5"/>
  <c r="N50" i="2"/>
  <c r="N348" i="4"/>
  <c r="T348" i="5"/>
  <c r="O50" i="2"/>
  <c r="O348" i="4"/>
  <c r="U348" i="5"/>
  <c r="P50" i="2"/>
  <c r="P348" i="4"/>
  <c r="W348" i="5"/>
  <c r="Q50" i="2"/>
  <c r="Q348" i="4"/>
  <c r="X348" i="5"/>
  <c r="S50" i="2"/>
  <c r="S348" i="4"/>
  <c r="AA348" i="5"/>
  <c r="T50" i="2"/>
  <c r="T348" i="4"/>
  <c r="AC348" i="5"/>
  <c r="U50" i="2"/>
  <c r="U348" i="4"/>
  <c r="AD348" i="5"/>
  <c r="X50" i="2"/>
  <c r="X348" i="4"/>
  <c r="AI348" i="5"/>
  <c r="Y50" i="2"/>
  <c r="Y348" i="4"/>
  <c r="AJ348" i="5"/>
  <c r="Z50" i="2"/>
  <c r="Z348" i="4"/>
  <c r="AL348" i="5"/>
  <c r="F348" i="5"/>
  <c r="H348" i="5"/>
  <c r="I348" i="5"/>
  <c r="Z348" i="5"/>
  <c r="AN348" i="5"/>
  <c r="B349" i="4"/>
  <c r="K349" i="4"/>
  <c r="O349" i="5"/>
  <c r="H349" i="4"/>
  <c r="K349" i="5"/>
  <c r="W349" i="4"/>
  <c r="AG349" i="5"/>
  <c r="V349" i="4"/>
  <c r="AF349" i="5"/>
  <c r="C349" i="4"/>
  <c r="C349" i="5"/>
  <c r="D349" i="4"/>
  <c r="E349" i="5"/>
  <c r="I349" i="4"/>
  <c r="L349" i="5"/>
  <c r="J349" i="4"/>
  <c r="N349" i="5"/>
  <c r="L349" i="4"/>
  <c r="Q349" i="5"/>
  <c r="M349" i="4"/>
  <c r="R349" i="5"/>
  <c r="N349" i="4"/>
  <c r="T349" i="5"/>
  <c r="O349" i="4"/>
  <c r="U349" i="5"/>
  <c r="P349" i="4"/>
  <c r="W349" i="5"/>
  <c r="Q349" i="4"/>
  <c r="X349" i="5"/>
  <c r="S349" i="4"/>
  <c r="AA349" i="5"/>
  <c r="T349" i="4"/>
  <c r="AC349" i="5"/>
  <c r="U349" i="4"/>
  <c r="AD349" i="5"/>
  <c r="X349" i="4"/>
  <c r="AI349" i="5"/>
  <c r="Y349" i="4"/>
  <c r="AJ349" i="5"/>
  <c r="Z349" i="4"/>
  <c r="AL349" i="5"/>
  <c r="F349" i="5"/>
  <c r="H349" i="5"/>
  <c r="I349" i="5"/>
  <c r="Z349" i="5"/>
  <c r="AN349" i="5"/>
  <c r="B350" i="4"/>
  <c r="K350" i="4"/>
  <c r="O350" i="5"/>
  <c r="H350" i="4"/>
  <c r="K350" i="5"/>
  <c r="W350" i="4"/>
  <c r="AG350" i="5"/>
  <c r="V350" i="4"/>
  <c r="AF350" i="5"/>
  <c r="C350" i="4"/>
  <c r="C350" i="5"/>
  <c r="D350" i="4"/>
  <c r="E350" i="5"/>
  <c r="I350" i="4"/>
  <c r="L350" i="5"/>
  <c r="J350" i="4"/>
  <c r="N350" i="5"/>
  <c r="L350" i="4"/>
  <c r="Q350" i="5"/>
  <c r="M350" i="4"/>
  <c r="R350" i="5"/>
  <c r="N350" i="4"/>
  <c r="T350" i="5"/>
  <c r="O350" i="4"/>
  <c r="U350" i="5"/>
  <c r="P350" i="4"/>
  <c r="W350" i="5"/>
  <c r="Q350" i="4"/>
  <c r="X350" i="5"/>
  <c r="S350" i="4"/>
  <c r="AA350" i="5"/>
  <c r="T350" i="4"/>
  <c r="AC350" i="5"/>
  <c r="U350" i="4"/>
  <c r="AD350" i="5"/>
  <c r="X350" i="4"/>
  <c r="AI350" i="5"/>
  <c r="Y350" i="4"/>
  <c r="AJ350" i="5"/>
  <c r="Z350" i="4"/>
  <c r="AL350" i="5"/>
  <c r="F350" i="5"/>
  <c r="H350" i="5"/>
  <c r="I350" i="5"/>
  <c r="Z350" i="5"/>
  <c r="AN350" i="5"/>
  <c r="B351" i="4"/>
  <c r="S351" i="4"/>
  <c r="AA351" i="5"/>
  <c r="P51" i="2"/>
  <c r="P351" i="4"/>
  <c r="W351" i="5"/>
  <c r="K51" i="2"/>
  <c r="K351" i="4"/>
  <c r="O351" i="5"/>
  <c r="H51" i="2"/>
  <c r="H351" i="4"/>
  <c r="K351" i="5"/>
  <c r="W51" i="2"/>
  <c r="W351" i="4"/>
  <c r="AG351" i="5"/>
  <c r="V51" i="2"/>
  <c r="V351" i="4"/>
  <c r="AF351" i="5"/>
  <c r="C51" i="2"/>
  <c r="C351" i="4"/>
  <c r="C351" i="5"/>
  <c r="D51" i="2"/>
  <c r="D351" i="4"/>
  <c r="E351" i="5"/>
  <c r="I51" i="2"/>
  <c r="I351" i="4"/>
  <c r="L351" i="5"/>
  <c r="J51" i="2"/>
  <c r="J351" i="4"/>
  <c r="N351" i="5"/>
  <c r="L51" i="2"/>
  <c r="L351" i="4"/>
  <c r="Q351" i="5"/>
  <c r="M51" i="2"/>
  <c r="M351" i="4"/>
  <c r="R351" i="5"/>
  <c r="N51" i="2"/>
  <c r="N351" i="4"/>
  <c r="T351" i="5"/>
  <c r="O51" i="2"/>
  <c r="O351" i="4"/>
  <c r="U351" i="5"/>
  <c r="Q51" i="2"/>
  <c r="Q351" i="4"/>
  <c r="X351" i="5"/>
  <c r="R51" i="2"/>
  <c r="R351" i="4"/>
  <c r="Z351" i="5"/>
  <c r="T51" i="2"/>
  <c r="T351" i="4"/>
  <c r="AC351" i="5"/>
  <c r="U51" i="2"/>
  <c r="U351" i="4"/>
  <c r="AD351" i="5"/>
  <c r="X51" i="2"/>
  <c r="X351" i="4"/>
  <c r="AI351" i="5"/>
  <c r="Y351" i="4"/>
  <c r="AJ351" i="5"/>
  <c r="Z51" i="2"/>
  <c r="Z351" i="4"/>
  <c r="AL351" i="5"/>
  <c r="F351" i="5"/>
  <c r="H351" i="5"/>
  <c r="I351" i="5"/>
  <c r="AN351" i="5"/>
  <c r="K352" i="4"/>
  <c r="O352" i="5"/>
  <c r="H352" i="4"/>
  <c r="K352" i="5"/>
  <c r="W352" i="4"/>
  <c r="AG352" i="5"/>
  <c r="V352" i="4"/>
  <c r="AF352" i="5"/>
  <c r="C352" i="4"/>
  <c r="C352" i="5"/>
  <c r="D352" i="4"/>
  <c r="E352" i="5"/>
  <c r="I352" i="4"/>
  <c r="L352" i="5"/>
  <c r="J352" i="4"/>
  <c r="N352" i="5"/>
  <c r="L352" i="4"/>
  <c r="Q352" i="5"/>
  <c r="M352" i="4"/>
  <c r="R352" i="5"/>
  <c r="N352" i="4"/>
  <c r="T352" i="5"/>
  <c r="O352" i="4"/>
  <c r="U352" i="5"/>
  <c r="P352" i="4"/>
  <c r="W352" i="5"/>
  <c r="Q352" i="4"/>
  <c r="X352" i="5"/>
  <c r="T352" i="4"/>
  <c r="AC352" i="5"/>
  <c r="U352" i="4"/>
  <c r="AD352" i="5"/>
  <c r="X352" i="4"/>
  <c r="AI352" i="5"/>
  <c r="Y352" i="4"/>
  <c r="AJ352" i="5"/>
  <c r="Z352" i="4"/>
  <c r="AL352" i="5"/>
  <c r="Z352" i="5"/>
  <c r="F352" i="5"/>
  <c r="H352" i="5"/>
  <c r="I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T353" i="4"/>
  <c r="AC353" i="5"/>
  <c r="U353" i="4"/>
  <c r="AD353" i="5"/>
  <c r="X353" i="4"/>
  <c r="AI353" i="5"/>
  <c r="Y353" i="4"/>
  <c r="AJ353" i="5"/>
  <c r="Z353" i="4"/>
  <c r="AL353" i="5"/>
  <c r="Z353" i="5"/>
  <c r="F353" i="5"/>
  <c r="H353" i="5"/>
  <c r="I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66" i="4"/>
  <c r="AL354" i="5"/>
  <c r="Z354" i="5"/>
  <c r="F354" i="5"/>
  <c r="H354" i="5"/>
  <c r="I354" i="5"/>
  <c r="AN354" i="5"/>
  <c r="B367" i="4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P367" i="4"/>
  <c r="W355" i="5"/>
  <c r="Q367" i="4"/>
  <c r="X355" i="5"/>
  <c r="S367" i="4"/>
  <c r="AA355" i="5"/>
  <c r="T367" i="4"/>
  <c r="AC355" i="5"/>
  <c r="U367" i="4"/>
  <c r="AD355" i="5"/>
  <c r="X367" i="4"/>
  <c r="AI355" i="5"/>
  <c r="Y367" i="4"/>
  <c r="AJ355" i="5"/>
  <c r="Z355" i="5"/>
  <c r="F355" i="5"/>
  <c r="H355" i="5"/>
  <c r="I355" i="5"/>
  <c r="AN355" i="5"/>
  <c r="S368" i="4"/>
  <c r="P368" i="4"/>
  <c r="W356" i="5"/>
  <c r="K368" i="4"/>
  <c r="O356" i="5"/>
  <c r="H368" i="4"/>
  <c r="K356" i="5"/>
  <c r="W368" i="4"/>
  <c r="AG356" i="5"/>
  <c r="V368" i="4"/>
  <c r="AF356" i="5"/>
  <c r="C368" i="4"/>
  <c r="C356" i="5"/>
  <c r="D368" i="4"/>
  <c r="E356" i="5"/>
  <c r="I368" i="4"/>
  <c r="L356" i="5"/>
  <c r="J368" i="4"/>
  <c r="N356" i="5"/>
  <c r="L368" i="4"/>
  <c r="Q356" i="5"/>
  <c r="M368" i="4"/>
  <c r="R356" i="5"/>
  <c r="N368" i="4"/>
  <c r="T356" i="5"/>
  <c r="O368" i="4"/>
  <c r="U356" i="5"/>
  <c r="Q368" i="4"/>
  <c r="X356" i="5"/>
  <c r="R368" i="4"/>
  <c r="Z356" i="5"/>
  <c r="T368" i="4"/>
  <c r="AC356" i="5"/>
  <c r="U368" i="4"/>
  <c r="AD356" i="5"/>
  <c r="X368" i="4"/>
  <c r="AI356" i="5"/>
  <c r="F356" i="5"/>
  <c r="H356" i="5"/>
  <c r="I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AA357" i="5"/>
  <c r="T354" i="4"/>
  <c r="AC357" i="5"/>
  <c r="U354" i="4"/>
  <c r="AD357" i="5"/>
  <c r="X354" i="4"/>
  <c r="AI357" i="5"/>
  <c r="Y354" i="4"/>
  <c r="AJ357" i="5"/>
  <c r="Z354" i="4"/>
  <c r="AL357" i="5"/>
  <c r="F357" i="5"/>
  <c r="H357" i="5"/>
  <c r="I357" i="5"/>
  <c r="Z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F358" i="5"/>
  <c r="H358" i="5"/>
  <c r="I358" i="5"/>
  <c r="Z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F359" i="5"/>
  <c r="H359" i="5"/>
  <c r="I359" i="5"/>
  <c r="Z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57" i="4"/>
  <c r="AL360" i="5"/>
  <c r="F360" i="5"/>
  <c r="H360" i="5"/>
  <c r="I360" i="5"/>
  <c r="Z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F361" i="5"/>
  <c r="H361" i="5"/>
  <c r="I361" i="5"/>
  <c r="Z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F362" i="5"/>
  <c r="H362" i="5"/>
  <c r="I362" i="5"/>
  <c r="Z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F363" i="5"/>
  <c r="H363" i="5"/>
  <c r="I363" i="5"/>
  <c r="Z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F364" i="5"/>
  <c r="H364" i="5"/>
  <c r="I364" i="5"/>
  <c r="Z364" i="5"/>
  <c r="AN364" i="5"/>
  <c r="B362" i="4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P362" i="4"/>
  <c r="W365" i="5"/>
  <c r="Q362" i="4"/>
  <c r="X365" i="5"/>
  <c r="S362" i="4"/>
  <c r="AA365" i="5"/>
  <c r="T362" i="4"/>
  <c r="AC365" i="5"/>
  <c r="U362" i="4"/>
  <c r="AD365" i="5"/>
  <c r="X362" i="4"/>
  <c r="AI365" i="5"/>
  <c r="Y362" i="4"/>
  <c r="AJ365" i="5"/>
  <c r="Z362" i="4"/>
  <c r="AL365" i="5"/>
  <c r="F365" i="5"/>
  <c r="H365" i="5"/>
  <c r="I365" i="5"/>
  <c r="Z365" i="5"/>
  <c r="AN365" i="5"/>
  <c r="B369" i="4"/>
  <c r="S369" i="4"/>
  <c r="AA366" i="5"/>
  <c r="P369" i="4"/>
  <c r="W366" i="5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Q369" i="4"/>
  <c r="X366" i="5"/>
  <c r="R369" i="4"/>
  <c r="Z366" i="5"/>
  <c r="T369" i="4"/>
  <c r="AC366" i="5"/>
  <c r="U369" i="4"/>
  <c r="AD366" i="5"/>
  <c r="X369" i="4"/>
  <c r="AI366" i="5"/>
  <c r="F366" i="5"/>
  <c r="H366" i="5"/>
  <c r="I366" i="5"/>
  <c r="AN366" i="5"/>
  <c r="B363" i="4"/>
  <c r="K363" i="4"/>
  <c r="O367" i="5"/>
  <c r="H363" i="4"/>
  <c r="K367" i="5"/>
  <c r="W363" i="4"/>
  <c r="AG367" i="5"/>
  <c r="V363" i="4"/>
  <c r="AF367" i="5"/>
  <c r="C363" i="4"/>
  <c r="C367" i="5"/>
  <c r="D363" i="4"/>
  <c r="E367" i="5"/>
  <c r="I363" i="4"/>
  <c r="L367" i="5"/>
  <c r="J363" i="4"/>
  <c r="N367" i="5"/>
  <c r="L363" i="4"/>
  <c r="Q367" i="5"/>
  <c r="M363" i="4"/>
  <c r="R367" i="5"/>
  <c r="N363" i="4"/>
  <c r="T367" i="5"/>
  <c r="O363" i="4"/>
  <c r="U367" i="5"/>
  <c r="P363" i="4"/>
  <c r="W367" i="5"/>
  <c r="Q363" i="4"/>
  <c r="X367" i="5"/>
  <c r="S363" i="4"/>
  <c r="AA367" i="5"/>
  <c r="T363" i="4"/>
  <c r="AC367" i="5"/>
  <c r="U363" i="4"/>
  <c r="AD367" i="5"/>
  <c r="X363" i="4"/>
  <c r="AI367" i="5"/>
  <c r="Y363" i="4"/>
  <c r="AJ367" i="5"/>
  <c r="Z363" i="4"/>
  <c r="AL367" i="5"/>
  <c r="F367" i="5"/>
  <c r="H367" i="5"/>
  <c r="I367" i="5"/>
  <c r="Z367" i="5"/>
  <c r="AN367" i="5"/>
  <c r="B364" i="4"/>
  <c r="K364" i="4"/>
  <c r="O368" i="5"/>
  <c r="H364" i="4"/>
  <c r="K368" i="5"/>
  <c r="W364" i="4"/>
  <c r="AG368" i="5"/>
  <c r="V364" i="4"/>
  <c r="AF368" i="5"/>
  <c r="C364" i="4"/>
  <c r="C368" i="5"/>
  <c r="D364" i="4"/>
  <c r="E368" i="5"/>
  <c r="I364" i="4"/>
  <c r="L368" i="5"/>
  <c r="J364" i="4"/>
  <c r="N368" i="5"/>
  <c r="L364" i="4"/>
  <c r="Q368" i="5"/>
  <c r="M364" i="4"/>
  <c r="R368" i="5"/>
  <c r="N364" i="4"/>
  <c r="T368" i="5"/>
  <c r="O364" i="4"/>
  <c r="U368" i="5"/>
  <c r="P364" i="4"/>
  <c r="W368" i="5"/>
  <c r="Q364" i="4"/>
  <c r="X368" i="5"/>
  <c r="S364" i="4"/>
  <c r="AA368" i="5"/>
  <c r="T364" i="4"/>
  <c r="AC368" i="5"/>
  <c r="U364" i="4"/>
  <c r="AD368" i="5"/>
  <c r="X364" i="4"/>
  <c r="AI368" i="5"/>
  <c r="Y364" i="4"/>
  <c r="AJ368" i="5"/>
  <c r="Z364" i="4"/>
  <c r="AL368" i="5"/>
  <c r="F368" i="5"/>
  <c r="H368" i="5"/>
  <c r="I368" i="5"/>
  <c r="Z368" i="5"/>
  <c r="AN368" i="5"/>
  <c r="B365" i="4"/>
  <c r="K365" i="4"/>
  <c r="O369" i="5"/>
  <c r="H365" i="4"/>
  <c r="K369" i="5"/>
  <c r="W365" i="4"/>
  <c r="AG369" i="5"/>
  <c r="V365" i="4"/>
  <c r="AF369" i="5"/>
  <c r="C365" i="4"/>
  <c r="C369" i="5"/>
  <c r="D365" i="4"/>
  <c r="E369" i="5"/>
  <c r="I365" i="4"/>
  <c r="L369" i="5"/>
  <c r="J365" i="4"/>
  <c r="N369" i="5"/>
  <c r="L365" i="4"/>
  <c r="Q369" i="5"/>
  <c r="M365" i="4"/>
  <c r="R369" i="5"/>
  <c r="N365" i="4"/>
  <c r="T369" i="5"/>
  <c r="O365" i="4"/>
  <c r="U369" i="5"/>
  <c r="P365" i="4"/>
  <c r="W369" i="5"/>
  <c r="Q365" i="4"/>
  <c r="X369" i="5"/>
  <c r="S365" i="4"/>
  <c r="AA369" i="5"/>
  <c r="T365" i="4"/>
  <c r="AC369" i="5"/>
  <c r="U365" i="4"/>
  <c r="AD369" i="5"/>
  <c r="X365" i="4"/>
  <c r="AI369" i="5"/>
  <c r="Y365" i="4"/>
  <c r="AJ369" i="5"/>
  <c r="Z365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V373" i="4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B374" i="4"/>
  <c r="K374" i="4"/>
  <c r="O374" i="5"/>
  <c r="H374" i="4"/>
  <c r="K374" i="5"/>
  <c r="W374" i="4"/>
  <c r="AG374" i="5"/>
  <c r="AF374" i="5"/>
  <c r="C374" i="4"/>
  <c r="C374" i="5"/>
  <c r="D374" i="4"/>
  <c r="E374" i="5"/>
  <c r="I374" i="4"/>
  <c r="L374" i="5"/>
  <c r="J374" i="4"/>
  <c r="N374" i="5"/>
  <c r="L374" i="4"/>
  <c r="Q374" i="5"/>
  <c r="M374" i="4"/>
  <c r="R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8" i="4"/>
  <c r="K378" i="4"/>
  <c r="O378" i="5"/>
  <c r="H378" i="4"/>
  <c r="K378" i="5"/>
  <c r="W378" i="4"/>
  <c r="AG378" i="5"/>
  <c r="V378" i="4"/>
  <c r="AF378" i="5"/>
  <c r="C378" i="4"/>
  <c r="C378" i="5"/>
  <c r="D378" i="4"/>
  <c r="E378" i="5"/>
  <c r="I378" i="4"/>
  <c r="L378" i="5"/>
  <c r="J378" i="4"/>
  <c r="N378" i="5"/>
  <c r="L378" i="4"/>
  <c r="Q378" i="5"/>
  <c r="M378" i="4"/>
  <c r="R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F378" i="5"/>
  <c r="H378" i="5"/>
  <c r="I378" i="5"/>
  <c r="Z378" i="5"/>
  <c r="AN378" i="5"/>
  <c r="B379" i="4"/>
  <c r="K379" i="4"/>
  <c r="O379" i="5"/>
  <c r="H379" i="4"/>
  <c r="K379" i="5"/>
  <c r="W379" i="4"/>
  <c r="AG379" i="5"/>
  <c r="V379" i="4"/>
  <c r="AF379" i="5"/>
  <c r="C379" i="4"/>
  <c r="C379" i="5"/>
  <c r="D379" i="4"/>
  <c r="E379" i="5"/>
  <c r="I379" i="4"/>
  <c r="L379" i="5"/>
  <c r="J379" i="4"/>
  <c r="N379" i="5"/>
  <c r="L379" i="4"/>
  <c r="Q379" i="5"/>
  <c r="M379" i="4"/>
  <c r="R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5" i="4"/>
  <c r="C385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15" i="2"/>
  <c r="R387" i="4"/>
  <c r="Z387" i="5"/>
  <c r="AC387" i="5"/>
  <c r="AD387" i="5"/>
  <c r="X387" i="4"/>
  <c r="AI387" i="5"/>
  <c r="Y387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01" i="4"/>
  <c r="P401" i="4"/>
  <c r="W401" i="5"/>
  <c r="O401" i="5"/>
  <c r="K401" i="5"/>
  <c r="AG401" i="5"/>
  <c r="AF401" i="5"/>
  <c r="C401" i="5"/>
  <c r="L401" i="5"/>
  <c r="N401" i="5"/>
  <c r="L401" i="4"/>
  <c r="Q401" i="5"/>
  <c r="U401" i="5"/>
  <c r="Q401" i="4"/>
  <c r="X401" i="5"/>
  <c r="R401" i="4"/>
  <c r="Z401" i="5"/>
  <c r="AC401" i="5"/>
  <c r="AD401" i="5"/>
  <c r="X401" i="4"/>
  <c r="AI401" i="5"/>
  <c r="Y401" i="4"/>
  <c r="AJ401" i="5"/>
  <c r="AL401" i="5"/>
  <c r="F401" i="5"/>
  <c r="E401" i="5"/>
  <c r="H401" i="5"/>
  <c r="I401" i="5"/>
  <c r="R401" i="5"/>
  <c r="T401" i="5"/>
  <c r="AN401" i="5"/>
  <c r="AA402" i="5"/>
  <c r="B402" i="4"/>
  <c r="P402" i="4"/>
  <c r="W402" i="5"/>
  <c r="O402" i="5"/>
  <c r="K402" i="5"/>
  <c r="AG402" i="5"/>
  <c r="AF402" i="5"/>
  <c r="C402" i="5"/>
  <c r="L402" i="5"/>
  <c r="N402" i="5"/>
  <c r="L402" i="4"/>
  <c r="Q402" i="5"/>
  <c r="U402" i="5"/>
  <c r="Q402" i="4"/>
  <c r="X402" i="5"/>
  <c r="R402" i="4"/>
  <c r="Z402" i="5"/>
  <c r="AC402" i="5"/>
  <c r="AD402" i="5"/>
  <c r="X402" i="4"/>
  <c r="AI402" i="5"/>
  <c r="Y402" i="4"/>
  <c r="AJ402" i="5"/>
  <c r="AL402" i="5"/>
  <c r="F402" i="5"/>
  <c r="E402" i="5"/>
  <c r="H402" i="5"/>
  <c r="I402" i="5"/>
  <c r="R402" i="5"/>
  <c r="T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F403" i="5"/>
  <c r="E403" i="5"/>
  <c r="H403" i="5"/>
  <c r="I403" i="5"/>
  <c r="R403" i="5"/>
  <c r="T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F404" i="5"/>
  <c r="E404" i="5"/>
  <c r="H404" i="5"/>
  <c r="I404" i="5"/>
  <c r="R404" i="5"/>
  <c r="T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296" i="4"/>
  <c r="C296" i="4"/>
  <c r="C2" i="5"/>
  <c r="D296" i="4"/>
  <c r="E2" i="5"/>
  <c r="K2" i="5"/>
  <c r="L296" i="4"/>
  <c r="Q2" i="5"/>
  <c r="M296" i="4"/>
  <c r="R2" i="5"/>
  <c r="T2" i="5"/>
  <c r="U2" i="5"/>
  <c r="P296" i="4"/>
  <c r="W2" i="5"/>
  <c r="Q296" i="4"/>
  <c r="X2" i="5"/>
  <c r="S296" i="4"/>
  <c r="AA2" i="5"/>
  <c r="AI296" i="4"/>
  <c r="T296" i="4" a="1"/>
  <c r="T296" i="4"/>
  <c r="AC2" i="5"/>
  <c r="U296" i="4" a="1"/>
  <c r="U296" i="4"/>
  <c r="AD2" i="5"/>
  <c r="X296" i="4"/>
  <c r="AI2" i="5"/>
  <c r="Y296" i="4"/>
  <c r="AJ2" i="5"/>
  <c r="Z296" i="4"/>
  <c r="AL2" i="5"/>
  <c r="F2" i="5"/>
  <c r="L2" i="5"/>
  <c r="N2" i="5"/>
  <c r="O2" i="5"/>
  <c r="H2" i="5"/>
  <c r="I2" i="5"/>
  <c r="Z2" i="5"/>
  <c r="AN2" i="5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BB21" i="1"/>
  <c r="AZ21" i="1"/>
  <c r="BA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AZ137" i="1"/>
  <c r="BA137" i="1"/>
  <c r="BB137" i="1"/>
  <c r="CT137" i="1"/>
  <c r="AI304" i="4"/>
  <c r="AI305" i="4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W30" i="2"/>
  <c r="E25" i="2"/>
  <c r="F25" i="2"/>
  <c r="H47" i="2"/>
  <c r="S47" i="2"/>
  <c r="R16" i="2"/>
  <c r="AH24" i="4"/>
  <c r="AH184" i="4"/>
  <c r="AH61" i="4"/>
  <c r="AH186" i="4"/>
  <c r="AH188" i="4"/>
  <c r="AH185" i="4"/>
  <c r="AH175" i="4"/>
  <c r="AH174" i="4"/>
  <c r="AH187" i="4"/>
  <c r="AH182" i="4"/>
  <c r="AH298" i="4"/>
  <c r="AH245" i="4"/>
  <c r="AH276" i="4"/>
  <c r="AH172" i="4"/>
  <c r="AH48" i="4"/>
  <c r="AH112" i="4"/>
  <c r="AH131" i="4"/>
  <c r="AH116" i="4"/>
  <c r="AH64" i="4"/>
  <c r="AH26" i="4"/>
  <c r="AH68" i="4"/>
  <c r="AH69" i="4"/>
  <c r="AH25" i="4"/>
  <c r="AH67" i="4"/>
  <c r="AH55" i="4"/>
  <c r="AH59" i="4"/>
  <c r="AH291" i="4"/>
  <c r="AH73" i="4"/>
  <c r="AH58" i="4"/>
  <c r="AH27" i="4"/>
  <c r="AH52" i="4"/>
  <c r="AH51" i="4"/>
  <c r="AH54" i="4"/>
  <c r="AH57" i="4"/>
  <c r="AH60" i="4"/>
  <c r="AH71" i="4"/>
  <c r="AH70" i="4"/>
  <c r="AH86" i="4"/>
  <c r="AH87" i="4"/>
  <c r="AH88" i="4"/>
  <c r="AH247" i="4"/>
  <c r="AH130" i="4"/>
  <c r="AH183" i="4"/>
  <c r="AH287" i="4"/>
  <c r="AH53" i="4"/>
  <c r="AH56" i="4"/>
  <c r="AH72" i="4"/>
  <c r="AH47" i="4"/>
  <c r="AH292" i="4"/>
  <c r="AH181" i="4"/>
  <c r="AH84" i="4"/>
  <c r="AH137" i="4"/>
  <c r="AH163" i="4"/>
  <c r="AH125" i="4"/>
  <c r="AH262" i="4"/>
  <c r="AH162" i="4"/>
  <c r="AH82" i="4"/>
  <c r="AH164" i="4"/>
  <c r="AH89" i="4"/>
  <c r="AH171" i="4"/>
  <c r="AH285" i="4"/>
  <c r="AH212" i="4"/>
  <c r="AH173" i="4"/>
  <c r="AH83" i="4"/>
  <c r="AH230" i="4"/>
  <c r="AH169" i="4"/>
  <c r="AH233" i="4"/>
  <c r="AH119" i="4"/>
  <c r="AH136" i="4"/>
  <c r="AH155" i="4"/>
  <c r="AH156" i="4"/>
  <c r="AH231" i="4"/>
  <c r="AH239" i="4"/>
  <c r="AH255" i="4"/>
  <c r="AH97" i="4"/>
  <c r="AH243" i="4"/>
  <c r="AH100" i="4"/>
  <c r="AH62" i="4"/>
  <c r="AH154" i="4"/>
  <c r="AH108" i="4"/>
  <c r="AH237" i="4"/>
  <c r="AH266" i="4"/>
  <c r="AH115" i="4"/>
  <c r="AH42" i="4"/>
  <c r="AH41" i="4"/>
  <c r="AH105" i="4"/>
  <c r="AH99" i="4"/>
  <c r="AH110" i="4"/>
  <c r="AH238" i="4"/>
  <c r="AH275" i="4"/>
  <c r="AH170" i="4"/>
  <c r="AH168" i="4"/>
  <c r="AH120" i="4"/>
  <c r="AH235" i="4"/>
  <c r="AH129" i="4"/>
  <c r="AH122" i="4"/>
  <c r="AH140" i="4"/>
  <c r="AH244" i="4"/>
  <c r="AH45" i="4"/>
  <c r="AH118" i="4"/>
  <c r="AH101" i="4"/>
  <c r="AH63" i="4"/>
  <c r="AH256" i="4"/>
  <c r="AH151" i="4"/>
  <c r="AH133" i="4"/>
  <c r="AH34" i="4"/>
  <c r="AH43" i="4"/>
  <c r="AH274" i="4"/>
  <c r="AH90" i="4"/>
  <c r="AH286" i="4"/>
  <c r="AH234" i="4"/>
  <c r="AH236" i="4"/>
  <c r="AH240" i="4"/>
  <c r="AH242" i="4"/>
  <c r="AH241" i="4"/>
  <c r="AH252" i="4"/>
  <c r="AH44" i="4"/>
  <c r="AH216" i="4"/>
  <c r="AH217" i="4"/>
  <c r="AH273" i="4"/>
  <c r="AH201" i="4"/>
  <c r="AH147" i="4"/>
  <c r="AH218" i="4"/>
  <c r="AH220" i="4"/>
  <c r="AH270" i="4"/>
  <c r="AH219" i="4"/>
  <c r="AH271" i="4"/>
  <c r="AH221" i="4"/>
  <c r="AH200" i="4"/>
  <c r="AH179" i="4"/>
  <c r="AH104" i="4"/>
  <c r="AH113" i="4"/>
  <c r="AH132" i="4"/>
  <c r="AH267" i="4"/>
  <c r="AH268" i="4"/>
  <c r="AH264" i="4"/>
  <c r="AH263" i="4"/>
  <c r="AH91" i="4"/>
  <c r="AH223" i="4"/>
  <c r="AH224" i="4"/>
  <c r="AH222" i="4"/>
  <c r="AH227" i="4"/>
  <c r="AH226" i="4"/>
  <c r="AH206" i="4"/>
  <c r="AH193" i="4"/>
  <c r="AH80" i="4"/>
  <c r="AH81" i="4"/>
  <c r="AH134" i="4"/>
  <c r="AH191" i="4"/>
  <c r="AH79" i="4"/>
  <c r="AH94" i="4"/>
  <c r="AH190" i="4"/>
  <c r="AH92" i="4"/>
  <c r="AH272" i="4"/>
  <c r="AH192" i="4"/>
  <c r="AH207" i="4"/>
  <c r="AH250" i="4"/>
  <c r="AH22" i="4"/>
  <c r="AH158" i="4"/>
  <c r="AH199" i="4"/>
  <c r="AH194" i="4"/>
  <c r="AH196" i="4"/>
  <c r="AH205" i="4"/>
  <c r="AH297" i="4"/>
  <c r="AH294" i="4"/>
  <c r="AH295" i="4"/>
  <c r="AH278" i="4"/>
  <c r="AH280" i="4"/>
  <c r="AH23" i="4"/>
  <c r="AH178" i="4"/>
  <c r="AH165" i="4"/>
  <c r="AH166" i="4"/>
  <c r="AH167" i="4"/>
  <c r="AH213" i="4"/>
  <c r="AH215" i="4"/>
  <c r="AH195" i="4"/>
  <c r="AH121" i="4"/>
  <c r="AH148" i="4"/>
  <c r="AH254" i="4"/>
  <c r="AH177" i="4"/>
  <c r="AH20" i="4"/>
  <c r="AH253" i="4"/>
  <c r="AH153" i="4"/>
  <c r="AH197" i="4"/>
  <c r="AH128" i="4"/>
  <c r="AH180" i="4"/>
  <c r="AH98" i="4"/>
  <c r="AH46" i="4"/>
  <c r="AH202" i="4"/>
  <c r="AH141" i="4"/>
  <c r="AH117" i="4"/>
  <c r="AH189" i="4"/>
  <c r="AH106" i="4"/>
  <c r="AH203" i="4"/>
  <c r="AH265" i="4"/>
  <c r="AH176" i="4"/>
  <c r="AH21" i="4"/>
  <c r="AH66" i="4"/>
  <c r="AH296" i="4"/>
  <c r="AH152" i="4"/>
  <c r="AH279" i="4"/>
  <c r="AH261" i="4"/>
  <c r="AH161" i="4"/>
  <c r="AH260" i="4"/>
  <c r="AH269" i="4"/>
  <c r="AH114" i="4"/>
  <c r="AH281" i="4"/>
  <c r="AH283" i="4"/>
  <c r="AH282" i="4"/>
  <c r="AH277" i="4"/>
  <c r="AH214" i="4"/>
  <c r="AH225" i="4"/>
  <c r="AH111" i="4"/>
  <c r="AH96" i="4"/>
  <c r="AH123" i="4"/>
  <c r="AH109" i="4"/>
  <c r="AH103" i="4"/>
  <c r="AH139" i="4"/>
  <c r="AH150" i="4"/>
  <c r="AH135" i="4"/>
  <c r="AH204" i="4"/>
  <c r="AH293" i="4"/>
  <c r="AH246" i="4"/>
  <c r="AH198" i="4"/>
  <c r="AH290" i="4"/>
  <c r="AH16" i="4"/>
  <c r="AH209" i="4"/>
  <c r="AH249" i="4"/>
  <c r="AH65" i="4"/>
  <c r="AH143" i="4"/>
  <c r="AH146" i="4"/>
  <c r="AH126" i="4"/>
  <c r="AH78" i="4"/>
  <c r="AH210" i="4"/>
  <c r="AH144" i="4"/>
  <c r="AH138" i="4"/>
  <c r="AH85" i="4"/>
  <c r="AH6" i="4"/>
  <c r="AH4" i="4"/>
  <c r="AH288" i="4"/>
  <c r="AH284" i="4"/>
  <c r="AH232" i="4"/>
  <c r="AH74" i="4"/>
  <c r="AH142" i="4"/>
  <c r="AH18" i="4"/>
  <c r="AH229" i="4"/>
  <c r="AH107" i="4"/>
  <c r="AH289" i="4"/>
  <c r="AH3" i="4"/>
  <c r="AH228" i="4"/>
  <c r="AH17" i="4"/>
  <c r="AH251" i="4"/>
  <c r="AH35" i="4"/>
  <c r="AH19" i="4"/>
  <c r="AH5" i="4"/>
  <c r="AH13" i="4"/>
  <c r="AH36" i="4"/>
  <c r="AH211" i="4"/>
  <c r="AH248" i="4"/>
  <c r="AH7" i="4"/>
  <c r="AH37" i="4"/>
  <c r="AH149" i="4"/>
  <c r="AH15" i="4"/>
  <c r="AH2" i="4"/>
  <c r="AH124" i="4"/>
  <c r="AH10" i="4"/>
  <c r="AH50" i="4"/>
  <c r="AH9" i="4"/>
  <c r="AH14" i="4"/>
  <c r="AH127" i="4"/>
  <c r="AH11" i="4"/>
  <c r="AH102" i="4"/>
  <c r="AH12" i="4"/>
  <c r="AH93" i="4"/>
  <c r="AH145" i="4"/>
  <c r="AH160" i="4"/>
  <c r="AH76" i="4"/>
  <c r="AH8" i="4"/>
  <c r="AH208" i="4"/>
  <c r="AH159" i="4"/>
  <c r="AH40" i="4"/>
  <c r="AH28" i="4"/>
  <c r="AH38" i="4"/>
  <c r="AH75" i="4"/>
  <c r="AH39" i="4"/>
  <c r="AH29" i="4"/>
  <c r="AH32" i="4"/>
  <c r="AH95" i="4"/>
  <c r="AH157" i="4"/>
  <c r="AH33" i="4"/>
  <c r="AH31" i="4"/>
  <c r="AH30" i="4"/>
  <c r="AH302" i="4"/>
  <c r="AH301" i="4"/>
  <c r="AH299" i="4"/>
  <c r="AH300" i="4"/>
  <c r="AH305" i="4"/>
  <c r="AH306" i="4"/>
  <c r="AH307" i="4"/>
  <c r="AH308" i="4"/>
  <c r="AH304" i="4"/>
  <c r="AH309" i="4"/>
  <c r="AH312" i="4"/>
  <c r="AH313" i="4"/>
  <c r="AH314" i="4"/>
  <c r="AH311" i="4"/>
  <c r="AH310" i="4"/>
  <c r="AH330" i="4"/>
  <c r="AH345" i="4"/>
  <c r="AH343" i="4"/>
  <c r="AH344" i="4"/>
  <c r="AH346" i="4"/>
  <c r="AH334" i="4"/>
  <c r="AH341" i="4"/>
  <c r="AH333" i="4"/>
  <c r="AH331" i="4"/>
  <c r="AH335" i="4"/>
  <c r="AH328" i="4"/>
  <c r="AH336" i="4"/>
  <c r="AH320" i="4"/>
  <c r="AH337" i="4"/>
  <c r="AH338" i="4"/>
  <c r="AH339" i="4"/>
  <c r="AH340" i="4"/>
  <c r="AH322" i="4"/>
  <c r="AH323" i="4"/>
  <c r="AH324" i="4"/>
  <c r="AH325" i="4"/>
  <c r="AH327" i="4"/>
  <c r="AH326" i="4"/>
  <c r="AH329" i="4"/>
  <c r="AH342" i="4"/>
  <c r="AH332" i="4"/>
  <c r="AH347" i="4"/>
  <c r="AH321" i="4"/>
  <c r="AH318" i="4"/>
  <c r="AH319" i="4"/>
  <c r="AH317" i="4"/>
  <c r="AH315" i="4"/>
  <c r="AH316" i="4"/>
  <c r="AH354" i="4"/>
  <c r="AH355" i="4"/>
  <c r="AH352" i="4"/>
  <c r="AH353" i="4"/>
  <c r="AH363" i="4"/>
  <c r="AH364" i="4"/>
  <c r="AH365" i="4"/>
  <c r="AH359" i="4"/>
  <c r="AH348" i="4"/>
  <c r="AH356" i="4"/>
  <c r="AH357" i="4"/>
  <c r="AH358" i="4"/>
  <c r="AH360" i="4"/>
  <c r="AH361" i="4"/>
  <c r="AH362" i="4"/>
  <c r="AH349" i="4"/>
  <c r="AH350" i="4"/>
  <c r="AH366" i="4"/>
  <c r="AH367" i="4"/>
  <c r="AH368" i="4"/>
  <c r="AH369" i="4"/>
  <c r="AH351" i="4"/>
  <c r="AH375" i="4"/>
  <c r="AH371" i="4"/>
  <c r="AH379" i="4"/>
  <c r="AH370" i="4"/>
  <c r="AH372" i="4"/>
  <c r="AH374" i="4"/>
  <c r="AH377" i="4"/>
  <c r="AH373" i="4"/>
  <c r="AH376" i="4"/>
  <c r="AH381" i="4"/>
  <c r="AH378" i="4"/>
  <c r="AH384" i="4"/>
  <c r="AH383" i="4"/>
  <c r="AH385" i="4"/>
  <c r="AH386" i="4"/>
  <c r="AH382" i="4"/>
  <c r="AH390" i="4"/>
  <c r="AH389" i="4"/>
  <c r="AH404" i="4"/>
  <c r="AH388" i="4"/>
  <c r="AH407" i="4"/>
  <c r="AH396" i="4"/>
  <c r="AH391" i="4"/>
  <c r="AH392" i="4"/>
  <c r="AH393" i="4"/>
  <c r="AH394" i="4"/>
  <c r="AH400" i="4"/>
  <c r="AH402" i="4"/>
  <c r="AH403" i="4"/>
  <c r="AH398" i="4"/>
  <c r="AH399" i="4"/>
  <c r="AH406" i="4"/>
  <c r="AH409" i="4"/>
  <c r="AH410" i="4"/>
  <c r="AH411" i="4"/>
  <c r="AH395" i="4"/>
  <c r="AH397" i="4"/>
  <c r="AH405" i="4"/>
  <c r="AH387" i="4"/>
  <c r="AH408" i="4"/>
  <c r="AH401" i="4"/>
  <c r="AH49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I31" i="2"/>
  <c r="J31" i="2"/>
  <c r="N31" i="2"/>
  <c r="R17" i="2"/>
  <c r="R38" i="2"/>
  <c r="T18" i="2"/>
  <c r="U18" i="2"/>
  <c r="T24" i="2"/>
  <c r="U24" i="2"/>
  <c r="V24" i="2"/>
  <c r="K29" i="2"/>
  <c r="T29" i="2"/>
  <c r="U29" i="2"/>
  <c r="V29" i="2"/>
  <c r="W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C48" i="1"/>
  <c r="BB48" i="1"/>
  <c r="BA48" i="1"/>
  <c r="AZ48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N65" i="4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5" i="1"/>
  <c r="BA69" i="1"/>
  <c r="BA68" i="1"/>
  <c r="BA109" i="1"/>
  <c r="BA107" i="1"/>
  <c r="BA110" i="1"/>
  <c r="BA111" i="1"/>
  <c r="BA112" i="1"/>
  <c r="BA113" i="1"/>
  <c r="BA200" i="1"/>
  <c r="BA211" i="1"/>
  <c r="BA212" i="1"/>
  <c r="BA275" i="1"/>
  <c r="BA3" i="1"/>
  <c r="BA4" i="1"/>
  <c r="BA7" i="1"/>
  <c r="BA9" i="1"/>
  <c r="BA8" i="1"/>
  <c r="BA10" i="1"/>
  <c r="BA24" i="1"/>
  <c r="BA34" i="1"/>
  <c r="BA32" i="1"/>
  <c r="BA37" i="1"/>
  <c r="BA41" i="1"/>
  <c r="BA42" i="1"/>
  <c r="BA43" i="1"/>
  <c r="BA44" i="1"/>
  <c r="BA33" i="1"/>
  <c r="BA39" i="1"/>
  <c r="BA29" i="1"/>
  <c r="BA30" i="1"/>
  <c r="BA31" i="1"/>
  <c r="BA36" i="1"/>
  <c r="BA38" i="1"/>
  <c r="BA40" i="1"/>
  <c r="BA35" i="1"/>
  <c r="BA28" i="1"/>
  <c r="BA27" i="1"/>
  <c r="BA64" i="1"/>
  <c r="BA65" i="1"/>
  <c r="BA66" i="1"/>
  <c r="BA67" i="1"/>
  <c r="BA75" i="1"/>
  <c r="BA76" i="1"/>
  <c r="BA77" i="1"/>
  <c r="BA78" i="1"/>
  <c r="BA79" i="1"/>
  <c r="BA80" i="1"/>
  <c r="BA81" i="1"/>
  <c r="BA82" i="1"/>
  <c r="BA83" i="1"/>
  <c r="BA84" i="1"/>
  <c r="BA87" i="1"/>
  <c r="BA88" i="1"/>
  <c r="BA90" i="1"/>
  <c r="BA91" i="1"/>
  <c r="BA86" i="1"/>
  <c r="BA93" i="1"/>
  <c r="BA89" i="1"/>
  <c r="BA85" i="1"/>
  <c r="BA94" i="1"/>
  <c r="BA92" i="1"/>
  <c r="BA101" i="1"/>
  <c r="BA115" i="1"/>
  <c r="BA108" i="1"/>
  <c r="BA102" i="1"/>
  <c r="BA114" i="1"/>
  <c r="BA103" i="1"/>
  <c r="BA104" i="1"/>
  <c r="BA105" i="1"/>
  <c r="BA106" i="1"/>
  <c r="BA118" i="1"/>
  <c r="BA120" i="1"/>
  <c r="BA121" i="1"/>
  <c r="BA119" i="1"/>
  <c r="BA133" i="1"/>
  <c r="BA134" i="1"/>
  <c r="BA135" i="1"/>
  <c r="BA136" i="1"/>
  <c r="BA143" i="1"/>
  <c r="BA145" i="1"/>
  <c r="BA146" i="1"/>
  <c r="BA147" i="1"/>
  <c r="BA284" i="1"/>
  <c r="BA288" i="1"/>
  <c r="BA287" i="1"/>
  <c r="BA286" i="1"/>
  <c r="BA285" i="1"/>
  <c r="BA150" i="1"/>
  <c r="BA151" i="1"/>
  <c r="BA153" i="1"/>
  <c r="BA152" i="1"/>
  <c r="BA156" i="1"/>
  <c r="BA157" i="1"/>
  <c r="BA163" i="1"/>
  <c r="BA162" i="1"/>
  <c r="BA161" i="1"/>
  <c r="BA168" i="1"/>
  <c r="BA169" i="1"/>
  <c r="BA289" i="1"/>
  <c r="BA291" i="1"/>
  <c r="BA290" i="1"/>
  <c r="BA292" i="1"/>
  <c r="BA305" i="1"/>
  <c r="BA306" i="1"/>
  <c r="BA307" i="1"/>
  <c r="BA308" i="1"/>
  <c r="BA309" i="1"/>
  <c r="BA310" i="1"/>
  <c r="BA173" i="1"/>
  <c r="BA174" i="1"/>
  <c r="BA175" i="1"/>
  <c r="BA176" i="1"/>
  <c r="BA177" i="1"/>
  <c r="BA178" i="1"/>
  <c r="BA184" i="1"/>
  <c r="BA185" i="1"/>
  <c r="BA188" i="1"/>
  <c r="BA187" i="1"/>
  <c r="BA186" i="1"/>
  <c r="BA190" i="1"/>
  <c r="BA191" i="1"/>
  <c r="BA192" i="1"/>
  <c r="BA193" i="1"/>
  <c r="BA194" i="1"/>
  <c r="BA195" i="1"/>
  <c r="BA196" i="1"/>
  <c r="BA198" i="1"/>
  <c r="BA199" i="1"/>
  <c r="BA203" i="1"/>
  <c r="BA205" i="1"/>
  <c r="BA204" i="1"/>
  <c r="BA206" i="1"/>
  <c r="BA207" i="1"/>
  <c r="BA214" i="1"/>
  <c r="BA215" i="1"/>
  <c r="BA216" i="1"/>
  <c r="BA208" i="1"/>
  <c r="BA209" i="1"/>
  <c r="BA229" i="1"/>
  <c r="BA230" i="1"/>
  <c r="BA234" i="1"/>
  <c r="BA235" i="1"/>
  <c r="BA236" i="1"/>
  <c r="BA237" i="1"/>
  <c r="BA238" i="1"/>
  <c r="BA239" i="1"/>
  <c r="BA240" i="1"/>
  <c r="BA243" i="1"/>
  <c r="BA245" i="1"/>
  <c r="BA244" i="1"/>
  <c r="BA246" i="1"/>
  <c r="BA247" i="1"/>
  <c r="BA248" i="1"/>
  <c r="BA249" i="1"/>
  <c r="BA250" i="1"/>
  <c r="BA251" i="1"/>
  <c r="BA272" i="1"/>
  <c r="BA273" i="1"/>
  <c r="BA313" i="1"/>
  <c r="BA315" i="1"/>
  <c r="BA314" i="1"/>
  <c r="BA317" i="1"/>
  <c r="BA318" i="1"/>
  <c r="BA319" i="1"/>
  <c r="BA320" i="1"/>
  <c r="BA316" i="1"/>
  <c r="BA274" i="1"/>
  <c r="BA26" i="1"/>
  <c r="AZ26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C133" i="1"/>
  <c r="BB133" i="1"/>
  <c r="AZ133" i="1"/>
  <c r="BB212" i="1"/>
  <c r="BB4" i="1"/>
  <c r="BB10" i="1"/>
  <c r="BB209" i="1"/>
  <c r="BB211" i="1"/>
  <c r="BB214" i="1"/>
  <c r="BB215" i="1"/>
  <c r="BB216" i="1"/>
  <c r="BB229" i="1"/>
  <c r="BB39" i="1"/>
  <c r="BB40" i="1"/>
  <c r="BB41" i="1"/>
  <c r="BB42" i="1"/>
  <c r="BB43" i="1"/>
  <c r="BB44" i="1"/>
  <c r="BB64" i="1"/>
  <c r="BB65" i="1"/>
  <c r="BB66" i="1"/>
  <c r="BB67" i="1"/>
  <c r="BB68" i="1"/>
  <c r="BB69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8" i="1"/>
  <c r="BB119" i="1"/>
  <c r="BB120" i="1"/>
  <c r="BB121" i="1"/>
  <c r="BB135" i="1"/>
  <c r="BB136" i="1"/>
  <c r="BB143" i="1"/>
  <c r="BB145" i="1"/>
  <c r="BB146" i="1"/>
  <c r="BB147" i="1"/>
  <c r="BB284" i="1"/>
  <c r="BB285" i="1"/>
  <c r="BB286" i="1"/>
  <c r="BB287" i="1"/>
  <c r="BB288" i="1"/>
  <c r="BB150" i="1"/>
  <c r="BB151" i="1"/>
  <c r="BB152" i="1"/>
  <c r="BB153" i="1"/>
  <c r="BB156" i="1"/>
  <c r="BB157" i="1"/>
  <c r="BB161" i="1"/>
  <c r="BB162" i="1"/>
  <c r="BB163" i="1"/>
  <c r="BB168" i="1"/>
  <c r="BB169" i="1"/>
  <c r="BB289" i="1"/>
  <c r="BB290" i="1"/>
  <c r="BB291" i="1"/>
  <c r="BB292" i="1"/>
  <c r="BB305" i="1"/>
  <c r="BB306" i="1"/>
  <c r="BB307" i="1"/>
  <c r="BB308" i="1"/>
  <c r="BB309" i="1"/>
  <c r="BB310" i="1"/>
  <c r="BB173" i="1"/>
  <c r="BB174" i="1"/>
  <c r="BB175" i="1"/>
  <c r="BB176" i="1"/>
  <c r="BB177" i="1"/>
  <c r="BB178" i="1"/>
  <c r="BB184" i="1"/>
  <c r="BB185" i="1"/>
  <c r="BB186" i="1"/>
  <c r="BB187" i="1"/>
  <c r="BB188" i="1"/>
  <c r="BB190" i="1"/>
  <c r="BB191" i="1"/>
  <c r="BB192" i="1"/>
  <c r="BB193" i="1"/>
  <c r="BB194" i="1"/>
  <c r="BB195" i="1"/>
  <c r="BB196" i="1"/>
  <c r="BB198" i="1"/>
  <c r="BB199" i="1"/>
  <c r="BB200" i="1"/>
  <c r="BB203" i="1"/>
  <c r="BB204" i="1"/>
  <c r="BB205" i="1"/>
  <c r="BB206" i="1"/>
  <c r="BB207" i="1"/>
  <c r="BB208" i="1"/>
  <c r="BB36" i="1"/>
  <c r="BB37" i="1"/>
  <c r="BB38" i="1"/>
  <c r="AZ36" i="1"/>
  <c r="AZ211" i="1"/>
  <c r="AZ212" i="1"/>
  <c r="AZ214" i="1"/>
  <c r="AZ215" i="1"/>
  <c r="AZ21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T2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BC163" i="1"/>
  <c r="BC162" i="1"/>
  <c r="BC35" i="1"/>
  <c r="BC94" i="1"/>
  <c r="BC216" i="1"/>
  <c r="BC292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73" i="4"/>
  <c r="AF114" i="4"/>
  <c r="AF103" i="4"/>
  <c r="AF213" i="4"/>
  <c r="AF287" i="4"/>
  <c r="AF138" i="4"/>
  <c r="AF144" i="4"/>
  <c r="AF232" i="4"/>
  <c r="AF143" i="4"/>
  <c r="AF101" i="4"/>
  <c r="AF27" i="4"/>
  <c r="AF296" i="4"/>
  <c r="AF207" i="4"/>
  <c r="AF194" i="4"/>
  <c r="AF196" i="4"/>
  <c r="AF205" i="4"/>
  <c r="AF297" i="4"/>
  <c r="AF121" i="4"/>
  <c r="AF148" i="4"/>
  <c r="AF195" i="4"/>
  <c r="AF202" i="4"/>
  <c r="AF203" i="4"/>
  <c r="AF204" i="4"/>
  <c r="AF124" i="4"/>
  <c r="AF208" i="4"/>
  <c r="AF206" i="4"/>
  <c r="AF254" i="4"/>
  <c r="AF294" i="4"/>
  <c r="AF295" i="4"/>
  <c r="AF111" i="4"/>
  <c r="AF98" i="4"/>
  <c r="AF229" i="4"/>
  <c r="AF228" i="4"/>
  <c r="AF68" i="4"/>
  <c r="AF69" i="4"/>
  <c r="AF266" i="4"/>
  <c r="AF286" i="4"/>
  <c r="AF166" i="4"/>
  <c r="AF167" i="4"/>
  <c r="AF269" i="4"/>
  <c r="AF267" i="4"/>
  <c r="AF110" i="4"/>
  <c r="AF238" i="4"/>
  <c r="AF42" i="4"/>
  <c r="AF244" i="4"/>
  <c r="AF222" i="4"/>
  <c r="AF227" i="4"/>
  <c r="AF215" i="4"/>
  <c r="AF289" i="4"/>
  <c r="AF288" i="4"/>
  <c r="AF104" i="4"/>
  <c r="AF226" i="4"/>
  <c r="AF99" i="4"/>
  <c r="AF145" i="4"/>
  <c r="AF100" i="4"/>
  <c r="AF263" i="4"/>
  <c r="AF264" i="4"/>
  <c r="AF265" i="4"/>
  <c r="AF165" i="4"/>
  <c r="AF223" i="4"/>
  <c r="AF224" i="4"/>
  <c r="AF184" i="4"/>
  <c r="AF185" i="4"/>
  <c r="AF187" i="4"/>
  <c r="AF188" i="4"/>
  <c r="AF133" i="4"/>
  <c r="AF128" i="4"/>
  <c r="AF141" i="4"/>
  <c r="AF117" i="4"/>
  <c r="AF122" i="4"/>
  <c r="AF140" i="4"/>
  <c r="AF25" i="4"/>
  <c r="AF67" i="4"/>
  <c r="AF22" i="4"/>
  <c r="AF293" i="4"/>
  <c r="AF72" i="4"/>
  <c r="AF115" i="4"/>
  <c r="AF70" i="4"/>
  <c r="AF55" i="4"/>
  <c r="AF59" i="4"/>
  <c r="AF291" i="4"/>
  <c r="AF53" i="4"/>
  <c r="AF23" i="4"/>
  <c r="AF20" i="4"/>
  <c r="AF172" i="4"/>
  <c r="AF173" i="4"/>
  <c r="AF270" i="4"/>
  <c r="AF66" i="4"/>
  <c r="AF78" i="4"/>
  <c r="AF85" i="4"/>
  <c r="AF74" i="4"/>
  <c r="AF248" i="4"/>
  <c r="AF51" i="4"/>
  <c r="AF54" i="4"/>
  <c r="AF268" i="4"/>
  <c r="AF272" i="4"/>
  <c r="AF275" i="4"/>
  <c r="AF219" i="4"/>
  <c r="AF271" i="4"/>
  <c r="AF169" i="4"/>
  <c r="AF170" i="4"/>
  <c r="AF274" i="4"/>
  <c r="AF181" i="4"/>
  <c r="AF130" i="4"/>
  <c r="AF292" i="4"/>
  <c r="AF168" i="4"/>
  <c r="AF273" i="4"/>
  <c r="AF120" i="4"/>
  <c r="AF48" i="4"/>
  <c r="AF86" i="4"/>
  <c r="AF112" i="4"/>
  <c r="AF131" i="4"/>
  <c r="AF183" i="4"/>
  <c r="AF47" i="4"/>
  <c r="AF84" i="4"/>
  <c r="AF125" i="4"/>
  <c r="AF262" i="4"/>
  <c r="AF83" i="4"/>
  <c r="AF97" i="4"/>
  <c r="AF119" i="4"/>
  <c r="AF136" i="4"/>
  <c r="AF155" i="4"/>
  <c r="AF156" i="4"/>
  <c r="AF212" i="4"/>
  <c r="AF230" i="4"/>
  <c r="AF231" i="4"/>
  <c r="AF239" i="4"/>
  <c r="AF255" i="4"/>
  <c r="AF62" i="4"/>
  <c r="AF108" i="4"/>
  <c r="AF154" i="4"/>
  <c r="AF237" i="4"/>
  <c r="AF105" i="4"/>
  <c r="AF235" i="4"/>
  <c r="AF45" i="4"/>
  <c r="AF118" i="4"/>
  <c r="AF256" i="4"/>
  <c r="AF90" i="4"/>
  <c r="AF234" i="4"/>
  <c r="AF242" i="4"/>
  <c r="AF44" i="4"/>
  <c r="AF113" i="4"/>
  <c r="AF132" i="4"/>
  <c r="AF179" i="4"/>
  <c r="AF91" i="4"/>
  <c r="AF92" i="4"/>
  <c r="AF94" i="4"/>
  <c r="AF190" i="4"/>
  <c r="AF191" i="4"/>
  <c r="AF192" i="4"/>
  <c r="AF158" i="4"/>
  <c r="AF278" i="4"/>
  <c r="AF280" i="4"/>
  <c r="AF46" i="4"/>
  <c r="AF153" i="4"/>
  <c r="AF180" i="4"/>
  <c r="AF161" i="4"/>
  <c r="AF279" i="4"/>
  <c r="AF214" i="4"/>
  <c r="AF277" i="4"/>
  <c r="AF281" i="4"/>
  <c r="AF283" i="4"/>
  <c r="AF123" i="4"/>
  <c r="AF290" i="4"/>
  <c r="AF146" i="4"/>
  <c r="AF284" i="4"/>
  <c r="AF107" i="4"/>
  <c r="AF251" i="4"/>
  <c r="AF5" i="4"/>
  <c r="AF36" i="4"/>
  <c r="AF37" i="4"/>
  <c r="AF149" i="4"/>
  <c r="AF2" i="4"/>
  <c r="AF10" i="4"/>
  <c r="AF11" i="4"/>
  <c r="AF12" i="4"/>
  <c r="AF93" i="4"/>
  <c r="AF8" i="4"/>
  <c r="AF38" i="4"/>
  <c r="AF39" i="4"/>
  <c r="AF95" i="4"/>
  <c r="AF33" i="4"/>
  <c r="AF30" i="4"/>
  <c r="AF49" i="4"/>
  <c r="AF182" i="4"/>
  <c r="AF87" i="4"/>
  <c r="AF129" i="4"/>
  <c r="AF197" i="4"/>
  <c r="AF260" i="4"/>
  <c r="AF175" i="4"/>
  <c r="AF298" i="4"/>
  <c r="AF116" i="4"/>
  <c r="AF63" i="4"/>
  <c r="AF96" i="4"/>
  <c r="AF282" i="4"/>
  <c r="AF35" i="4"/>
  <c r="AF186" i="4"/>
  <c r="AF26" i="4"/>
  <c r="AF247" i="4"/>
  <c r="AF43" i="4"/>
  <c r="AF193" i="4"/>
  <c r="AF139" i="4"/>
  <c r="AF126" i="4"/>
  <c r="AF50" i="4"/>
  <c r="AF245" i="4"/>
  <c r="AF64" i="4"/>
  <c r="AF137" i="4"/>
  <c r="AF241" i="4"/>
  <c r="AF18" i="4"/>
  <c r="AF40" i="4"/>
  <c r="AF88" i="4"/>
  <c r="AF151" i="4"/>
  <c r="AF174" i="4"/>
  <c r="AF199" i="4"/>
  <c r="AF109" i="4"/>
  <c r="AF150" i="4"/>
  <c r="AF198" i="4"/>
  <c r="AF17" i="4"/>
  <c r="AF19" i="4"/>
  <c r="AF13" i="4"/>
  <c r="AF15" i="4"/>
  <c r="AF106" i="4"/>
  <c r="AF135" i="4"/>
  <c r="AF209" i="4"/>
  <c r="AF142" i="4"/>
  <c r="AF211" i="4"/>
  <c r="AF6" i="4"/>
  <c r="AF276" i="4"/>
  <c r="AF252" i="4"/>
  <c r="AF250" i="4"/>
  <c r="AF249" i="4"/>
  <c r="AF7" i="4"/>
  <c r="AF177" i="4"/>
  <c r="AF253" i="4"/>
  <c r="AF79" i="4"/>
  <c r="AF34" i="4"/>
  <c r="AF178" i="4"/>
  <c r="AF189" i="4"/>
  <c r="AF176" i="4"/>
  <c r="AF246" i="4"/>
  <c r="AF162" i="4"/>
  <c r="AF163" i="4"/>
  <c r="AF164" i="4"/>
  <c r="AF89" i="4"/>
  <c r="AF171" i="4"/>
  <c r="AF285" i="4"/>
  <c r="AF102" i="4"/>
  <c r="AF56" i="4"/>
  <c r="AF71" i="4"/>
  <c r="AF21" i="4"/>
  <c r="AF65" i="4"/>
  <c r="AF216" i="4"/>
  <c r="AF220" i="4"/>
  <c r="AF221" i="4"/>
  <c r="AF217" i="4"/>
  <c r="AF218" i="4"/>
  <c r="AF82" i="4"/>
  <c r="AF233" i="4"/>
  <c r="AF243" i="4"/>
  <c r="AF41" i="4"/>
  <c r="AF240" i="4"/>
  <c r="AF4" i="4"/>
  <c r="AF3" i="4"/>
  <c r="AF9" i="4"/>
  <c r="AF28" i="4"/>
  <c r="AF29" i="4"/>
  <c r="AF32" i="4"/>
  <c r="AF157" i="4"/>
  <c r="AF31" i="4"/>
  <c r="AF80" i="4"/>
  <c r="AF225" i="4"/>
  <c r="AF14" i="4"/>
  <c r="AF210" i="4"/>
  <c r="AF61" i="4"/>
  <c r="AF52" i="4"/>
  <c r="AF160" i="4"/>
  <c r="AF81" i="4"/>
  <c r="AF134" i="4"/>
  <c r="AF75" i="4"/>
  <c r="AF236" i="4"/>
  <c r="AF16" i="4"/>
  <c r="AF159" i="4"/>
  <c r="AF127" i="4"/>
  <c r="AF152" i="4"/>
  <c r="AF58" i="4"/>
  <c r="AF200" i="4"/>
  <c r="AF201" i="4"/>
  <c r="AF57" i="4"/>
  <c r="AF60" i="4"/>
  <c r="AF76" i="4"/>
  <c r="AF261" i="4"/>
  <c r="AF147" i="4"/>
  <c r="AF314" i="4"/>
  <c r="AF302" i="4"/>
  <c r="AF299" i="4"/>
  <c r="AF300" i="4"/>
  <c r="AF304" i="4"/>
  <c r="AF309" i="4"/>
  <c r="AF312" i="4"/>
  <c r="AF313" i="4"/>
  <c r="AF305" i="4"/>
  <c r="AF306" i="4"/>
  <c r="AF307" i="4"/>
  <c r="AF311" i="4"/>
  <c r="AF310" i="4"/>
  <c r="AF301" i="4"/>
  <c r="AF308" i="4"/>
  <c r="AF341" i="4"/>
  <c r="AF318" i="4"/>
  <c r="AF319" i="4"/>
  <c r="AF345" i="4"/>
  <c r="AF343" i="4"/>
  <c r="AF344" i="4"/>
  <c r="AF320" i="4"/>
  <c r="AF337" i="4"/>
  <c r="AF338" i="4"/>
  <c r="AF339" i="4"/>
  <c r="AF340" i="4"/>
  <c r="AF321" i="4"/>
  <c r="AF346" i="4"/>
  <c r="AF342" i="4"/>
  <c r="AF330" i="4"/>
  <c r="AF333" i="4"/>
  <c r="AF331" i="4"/>
  <c r="AF335" i="4"/>
  <c r="AF332" i="4"/>
  <c r="AF334" i="4"/>
  <c r="AF336" i="4"/>
  <c r="AF327" i="4"/>
  <c r="AF328" i="4"/>
  <c r="AF326" i="4"/>
  <c r="AF347" i="4"/>
  <c r="AF329" i="4"/>
  <c r="AF322" i="4"/>
  <c r="AF323" i="4"/>
  <c r="AF324" i="4"/>
  <c r="AF325" i="4"/>
  <c r="AF317" i="4"/>
  <c r="AF315" i="4"/>
  <c r="AF316" i="4"/>
  <c r="AF352" i="4"/>
  <c r="AF353" i="4"/>
  <c r="AF366" i="4"/>
  <c r="AF367" i="4"/>
  <c r="AF368" i="4"/>
  <c r="AF369" i="4"/>
  <c r="AF350" i="4"/>
  <c r="AF354" i="4"/>
  <c r="AF351" i="4"/>
  <c r="AF348" i="4"/>
  <c r="AF356" i="4"/>
  <c r="AF357" i="4"/>
  <c r="AF358" i="4"/>
  <c r="AF360" i="4"/>
  <c r="AF361" i="4"/>
  <c r="AF362" i="4"/>
  <c r="AF349" i="4"/>
  <c r="AF363" i="4"/>
  <c r="AF364" i="4"/>
  <c r="AF365" i="4"/>
  <c r="AF355" i="4"/>
  <c r="AF359" i="4"/>
  <c r="AF375" i="4"/>
  <c r="AF371" i="4"/>
  <c r="AF379" i="4"/>
  <c r="AF370" i="4"/>
  <c r="AF372" i="4"/>
  <c r="AF374" i="4"/>
  <c r="AF377" i="4"/>
  <c r="AF373" i="4"/>
  <c r="AF376" i="4"/>
  <c r="AF378" i="4"/>
  <c r="AF381" i="4"/>
  <c r="AF383" i="4"/>
  <c r="AF386" i="4"/>
  <c r="AF385" i="4"/>
  <c r="AF382" i="4"/>
  <c r="AF384" i="4"/>
  <c r="AF390" i="4"/>
  <c r="AF405" i="4"/>
  <c r="AF408" i="4"/>
  <c r="AF391" i="4"/>
  <c r="AF392" i="4"/>
  <c r="AF393" i="4"/>
  <c r="AF394" i="4"/>
  <c r="AF400" i="4"/>
  <c r="AF402" i="4"/>
  <c r="AF403" i="4"/>
  <c r="AF407" i="4"/>
  <c r="AF401" i="4"/>
  <c r="AF389" i="4"/>
  <c r="AF387" i="4"/>
  <c r="AF388" i="4"/>
  <c r="AF396" i="4"/>
  <c r="AF397" i="4"/>
  <c r="AF398" i="4"/>
  <c r="AF399" i="4"/>
  <c r="AF404" i="4"/>
  <c r="AF406" i="4"/>
  <c r="AF409" i="4"/>
  <c r="AF410" i="4"/>
  <c r="AF411" i="4"/>
  <c r="AF395" i="4"/>
  <c r="AF24" i="4"/>
  <c r="AE61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43" i="1"/>
  <c r="BC143" i="1"/>
  <c r="AZ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K35" i="2"/>
  <c r="K216" i="4"/>
  <c r="K34" i="2"/>
  <c r="K32" i="2"/>
  <c r="K220" i="4"/>
  <c r="K33" i="2"/>
  <c r="K8" i="2"/>
  <c r="K16" i="2"/>
  <c r="K221" i="4"/>
  <c r="K31" i="2"/>
  <c r="K217" i="4"/>
  <c r="K218" i="4"/>
  <c r="K165" i="4"/>
  <c r="K265" i="4"/>
  <c r="AL184" i="4"/>
  <c r="AL24" i="4"/>
  <c r="AL185" i="4"/>
  <c r="AL187" i="4"/>
  <c r="AL188" i="4"/>
  <c r="AL133" i="4"/>
  <c r="AL128" i="4"/>
  <c r="AL141" i="4"/>
  <c r="AL122" i="4"/>
  <c r="AL140" i="4"/>
  <c r="AL101" i="4"/>
  <c r="AL114" i="4"/>
  <c r="AL25" i="4"/>
  <c r="AL27" i="4"/>
  <c r="AL67" i="4"/>
  <c r="AL68" i="4"/>
  <c r="AL73" i="4"/>
  <c r="AL22" i="4"/>
  <c r="AL293" i="4"/>
  <c r="AL56" i="4"/>
  <c r="AL72" i="4"/>
  <c r="AL115" i="4"/>
  <c r="AL52" i="4"/>
  <c r="AL70" i="4"/>
  <c r="AL71" i="4"/>
  <c r="AL69" i="4"/>
  <c r="AL55" i="4"/>
  <c r="AL58" i="4"/>
  <c r="AL21" i="4"/>
  <c r="AL60" i="4"/>
  <c r="AL172" i="4"/>
  <c r="AL173" i="4"/>
  <c r="AL266" i="4"/>
  <c r="AL286" i="4"/>
  <c r="AL200" i="4"/>
  <c r="AL270" i="4"/>
  <c r="AL166" i="4"/>
  <c r="AL167" i="4"/>
  <c r="AL265" i="4"/>
  <c r="AL66" i="4"/>
  <c r="AL269" i="4"/>
  <c r="AL78" i="4"/>
  <c r="AL85" i="4"/>
  <c r="AL74" i="4"/>
  <c r="AL248" i="4"/>
  <c r="AL160" i="4"/>
  <c r="AL65" i="4"/>
  <c r="AL51" i="4"/>
  <c r="AL54" i="4"/>
  <c r="AL216" i="4"/>
  <c r="AL220" i="4"/>
  <c r="AL221" i="4"/>
  <c r="AL268" i="4"/>
  <c r="AL272" i="4"/>
  <c r="AL296" i="4"/>
  <c r="AL275" i="4"/>
  <c r="AL201" i="4"/>
  <c r="AL217" i="4"/>
  <c r="AL219" i="4"/>
  <c r="AL271" i="4"/>
  <c r="AL169" i="4"/>
  <c r="AL170" i="4"/>
  <c r="AL274" i="4"/>
  <c r="AL218" i="4"/>
  <c r="AL267" i="4"/>
  <c r="AL181" i="4"/>
  <c r="AL57" i="4"/>
  <c r="AL130" i="4"/>
  <c r="AL292" i="4"/>
  <c r="AL110" i="4"/>
  <c r="AL238" i="4"/>
  <c r="AL168" i="4"/>
  <c r="AL48" i="4"/>
  <c r="AL86" i="4"/>
  <c r="AL112" i="4"/>
  <c r="AL131" i="4"/>
  <c r="AL183" i="4"/>
  <c r="AL47" i="4"/>
  <c r="AL84" i="4"/>
  <c r="AL82" i="4"/>
  <c r="AL125" i="4"/>
  <c r="AL262" i="4"/>
  <c r="AL83" i="4"/>
  <c r="AL97" i="4"/>
  <c r="AL119" i="4"/>
  <c r="AL136" i="4"/>
  <c r="AL155" i="4"/>
  <c r="AL156" i="4"/>
  <c r="AL212" i="4"/>
  <c r="AL230" i="4"/>
  <c r="AL231" i="4"/>
  <c r="AL233" i="4"/>
  <c r="AL239" i="4"/>
  <c r="AL243" i="4"/>
  <c r="AL255" i="4"/>
  <c r="AL62" i="4"/>
  <c r="AL108" i="4"/>
  <c r="AL154" i="4"/>
  <c r="AL237" i="4"/>
  <c r="AL41" i="4"/>
  <c r="AL42" i="4"/>
  <c r="AL105" i="4"/>
  <c r="AL235" i="4"/>
  <c r="AL244" i="4"/>
  <c r="AL45" i="4"/>
  <c r="AL118" i="4"/>
  <c r="AL256" i="4"/>
  <c r="AL90" i="4"/>
  <c r="AL234" i="4"/>
  <c r="AL240" i="4"/>
  <c r="AL242" i="4"/>
  <c r="AL44" i="4"/>
  <c r="AL113" i="4"/>
  <c r="AL132" i="4"/>
  <c r="AL179" i="4"/>
  <c r="AL91" i="4"/>
  <c r="AL222" i="4"/>
  <c r="AL223" i="4"/>
  <c r="AL224" i="4"/>
  <c r="AL227" i="4"/>
  <c r="AL81" i="4"/>
  <c r="AL134" i="4"/>
  <c r="AL92" i="4"/>
  <c r="AL94" i="4"/>
  <c r="AL190" i="4"/>
  <c r="AL191" i="4"/>
  <c r="AL192" i="4"/>
  <c r="AL207" i="4"/>
  <c r="AL158" i="4"/>
  <c r="AL194" i="4"/>
  <c r="AL196" i="4"/>
  <c r="AL205" i="4"/>
  <c r="AL297" i="4"/>
  <c r="AL121" i="4"/>
  <c r="AL148" i="4"/>
  <c r="AL195" i="4"/>
  <c r="AL213" i="4"/>
  <c r="AL215" i="4"/>
  <c r="AL278" i="4"/>
  <c r="AL280" i="4"/>
  <c r="AL46" i="4"/>
  <c r="AL153" i="4"/>
  <c r="AL180" i="4"/>
  <c r="AL202" i="4"/>
  <c r="AL203" i="4"/>
  <c r="AL161" i="4"/>
  <c r="AL261" i="4"/>
  <c r="AL279" i="4"/>
  <c r="AL214" i="4"/>
  <c r="AL277" i="4"/>
  <c r="AL281" i="4"/>
  <c r="AL283" i="4"/>
  <c r="AL123" i="4"/>
  <c r="AL204" i="4"/>
  <c r="AL290" i="4"/>
  <c r="AL146" i="4"/>
  <c r="AL138" i="4"/>
  <c r="AL4" i="4"/>
  <c r="AL284" i="4"/>
  <c r="AL229" i="4"/>
  <c r="AL107" i="4"/>
  <c r="AL289" i="4"/>
  <c r="AL3" i="4"/>
  <c r="AL228" i="4"/>
  <c r="AL251" i="4"/>
  <c r="AL5" i="4"/>
  <c r="AL36" i="4"/>
  <c r="AL37" i="4"/>
  <c r="AL149" i="4"/>
  <c r="AL2" i="4"/>
  <c r="AL124" i="4"/>
  <c r="AL10" i="4"/>
  <c r="AL9" i="4"/>
  <c r="AL11" i="4"/>
  <c r="AL12" i="4"/>
  <c r="AL93" i="4"/>
  <c r="AL8" i="4"/>
  <c r="AL208" i="4"/>
  <c r="AL28" i="4"/>
  <c r="AL38" i="4"/>
  <c r="AL75" i="4"/>
  <c r="AL39" i="4"/>
  <c r="AL29" i="4"/>
  <c r="AL32" i="4"/>
  <c r="AL95" i="4"/>
  <c r="AL157" i="4"/>
  <c r="AL33" i="4"/>
  <c r="AL30" i="4"/>
  <c r="AL80" i="4"/>
  <c r="AL49" i="4"/>
  <c r="AL182" i="4"/>
  <c r="AL87" i="4"/>
  <c r="AL129" i="4"/>
  <c r="AL236" i="4"/>
  <c r="AL197" i="4"/>
  <c r="AL260" i="4"/>
  <c r="AL288" i="4"/>
  <c r="AL175" i="4"/>
  <c r="AL298" i="4"/>
  <c r="AL116" i="4"/>
  <c r="AL63" i="4"/>
  <c r="AL104" i="4"/>
  <c r="AL96" i="4"/>
  <c r="AL282" i="4"/>
  <c r="AL35" i="4"/>
  <c r="AL186" i="4"/>
  <c r="AL26" i="4"/>
  <c r="AL247" i="4"/>
  <c r="AL43" i="4"/>
  <c r="AL193" i="4"/>
  <c r="AL139" i="4"/>
  <c r="AL126" i="4"/>
  <c r="AL50" i="4"/>
  <c r="AL245" i="4"/>
  <c r="AL64" i="4"/>
  <c r="AL137" i="4"/>
  <c r="AL241" i="4"/>
  <c r="AL226" i="4"/>
  <c r="AL144" i="4"/>
  <c r="AL18" i="4"/>
  <c r="AL40" i="4"/>
  <c r="AL174" i="4"/>
  <c r="AL99" i="4"/>
  <c r="AL199" i="4"/>
  <c r="AL254" i="4"/>
  <c r="AL225" i="4"/>
  <c r="AL109" i="4"/>
  <c r="AL150" i="4"/>
  <c r="AL198" i="4"/>
  <c r="AL17" i="4"/>
  <c r="AL19" i="4"/>
  <c r="AL13" i="4"/>
  <c r="AL15" i="4"/>
  <c r="AL14" i="4"/>
  <c r="AL145" i="4"/>
  <c r="AL76" i="4"/>
  <c r="AL294" i="4"/>
  <c r="AL295" i="4"/>
  <c r="AL106" i="4"/>
  <c r="AL103" i="4"/>
  <c r="AL135" i="4"/>
  <c r="AL209" i="4"/>
  <c r="AL210" i="4"/>
  <c r="AL142" i="4"/>
  <c r="AL211" i="4"/>
  <c r="AL111" i="4"/>
  <c r="AL143" i="4"/>
  <c r="AL6" i="4"/>
  <c r="AL276" i="4"/>
  <c r="AL252" i="4"/>
  <c r="AL147" i="4"/>
  <c r="AL250" i="4"/>
  <c r="AL249" i="4"/>
  <c r="AL7" i="4"/>
  <c r="AL127" i="4"/>
  <c r="AL177" i="4"/>
  <c r="AL253" i="4"/>
  <c r="AL79" i="4"/>
  <c r="AL34" i="4"/>
  <c r="AL178" i="4"/>
  <c r="AL189" i="4"/>
  <c r="AL176" i="4"/>
  <c r="AL246" i="4"/>
  <c r="AL162" i="4"/>
  <c r="AL163" i="4"/>
  <c r="AL164" i="4"/>
  <c r="AL89" i="4"/>
  <c r="AL171" i="4"/>
  <c r="AL285" i="4"/>
  <c r="AL263" i="4"/>
  <c r="AL264" i="4"/>
  <c r="AL98" i="4"/>
  <c r="AL152" i="4"/>
  <c r="AL102" i="4"/>
  <c r="AL302" i="4"/>
  <c r="AL301" i="4"/>
  <c r="AL299" i="4"/>
  <c r="AL300" i="4"/>
  <c r="AL304" i="4"/>
  <c r="AL309" i="4"/>
  <c r="AL312" i="4"/>
  <c r="AL313" i="4"/>
  <c r="AL314" i="4"/>
  <c r="AL305" i="4"/>
  <c r="AL306" i="4"/>
  <c r="AL307" i="4"/>
  <c r="AL308" i="4"/>
  <c r="AL311" i="4"/>
  <c r="AL310" i="4"/>
  <c r="AL345" i="4"/>
  <c r="AL343" i="4"/>
  <c r="AL344" i="4"/>
  <c r="AL341" i="4"/>
  <c r="AL320" i="4"/>
  <c r="AL322" i="4"/>
  <c r="AL323" i="4"/>
  <c r="AL324" i="4"/>
  <c r="AL325" i="4"/>
  <c r="AL337" i="4"/>
  <c r="AL338" i="4"/>
  <c r="AL339" i="4"/>
  <c r="AL340" i="4"/>
  <c r="AL321" i="4"/>
  <c r="AL318" i="4"/>
  <c r="AL319" i="4"/>
  <c r="AL330" i="4"/>
  <c r="AL346" i="4"/>
  <c r="AL333" i="4"/>
  <c r="AL331" i="4"/>
  <c r="AL335" i="4"/>
  <c r="AL342" i="4"/>
  <c r="AL332" i="4"/>
  <c r="AL317" i="4"/>
  <c r="AL315" i="4"/>
  <c r="AL316" i="4"/>
  <c r="AL334" i="4"/>
  <c r="AL327" i="4"/>
  <c r="AL328" i="4"/>
  <c r="AL326" i="4"/>
  <c r="AL347" i="4"/>
  <c r="AL329" i="4"/>
  <c r="AL336" i="4"/>
  <c r="AL354" i="4"/>
  <c r="AL348" i="4"/>
  <c r="AL352" i="4"/>
  <c r="AL353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51" i="4"/>
  <c r="AL349" i="4"/>
  <c r="AL350" i="4"/>
  <c r="AL375" i="4"/>
  <c r="AL371" i="4"/>
  <c r="AL379" i="4"/>
  <c r="AL370" i="4"/>
  <c r="AL372" i="4"/>
  <c r="AL374" i="4"/>
  <c r="AL377" i="4"/>
  <c r="AL381" i="4"/>
  <c r="AL373" i="4"/>
  <c r="AL376" i="4"/>
  <c r="AL378" i="4"/>
  <c r="AL386" i="4"/>
  <c r="AL385" i="4"/>
  <c r="AL383" i="4"/>
  <c r="AL384" i="4"/>
  <c r="AL382" i="4"/>
  <c r="AL390" i="4"/>
  <c r="AL405" i="4"/>
  <c r="AL408" i="4"/>
  <c r="AL391" i="4"/>
  <c r="AL392" i="4"/>
  <c r="AL393" i="4"/>
  <c r="AL394" i="4"/>
  <c r="AL400" i="4"/>
  <c r="AL402" i="4"/>
  <c r="AL403" i="4"/>
  <c r="AL407" i="4"/>
  <c r="AL401" i="4"/>
  <c r="AL389" i="4"/>
  <c r="AL387" i="4"/>
  <c r="AL388" i="4"/>
  <c r="AL396" i="4"/>
  <c r="AL397" i="4"/>
  <c r="AL398" i="4"/>
  <c r="AL399" i="4"/>
  <c r="AL404" i="4"/>
  <c r="AL406" i="4"/>
  <c r="AL409" i="4"/>
  <c r="AL410" i="4"/>
  <c r="AL411" i="4"/>
  <c r="AL395" i="4"/>
  <c r="AL117" i="4"/>
  <c r="AL59" i="4"/>
  <c r="AL291" i="4"/>
  <c r="AL53" i="4"/>
  <c r="AL23" i="4"/>
  <c r="AL20" i="4"/>
  <c r="AL287" i="4"/>
  <c r="AL273" i="4"/>
  <c r="AL165" i="4"/>
  <c r="AL120" i="4"/>
  <c r="AL88" i="4"/>
  <c r="AL151" i="4"/>
  <c r="AL206" i="4"/>
  <c r="AL16" i="4"/>
  <c r="AL232" i="4"/>
  <c r="AL159" i="4"/>
  <c r="AL100" i="4"/>
  <c r="AL61" i="4"/>
  <c r="F65" i="4"/>
  <c r="F66" i="4"/>
  <c r="E66" i="4"/>
  <c r="E65" i="4"/>
  <c r="M65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45" i="1"/>
  <c r="BC145" i="1"/>
  <c r="AZ146" i="1"/>
  <c r="BC146" i="1"/>
  <c r="BC215" i="1"/>
  <c r="AZ206" i="1"/>
  <c r="BC206" i="1"/>
  <c r="AZ205" i="1"/>
  <c r="BC205" i="1"/>
  <c r="AZ94" i="1"/>
  <c r="AZ320" i="1"/>
  <c r="BC320" i="1"/>
  <c r="BB320" i="1"/>
  <c r="AZ319" i="1"/>
  <c r="BC319" i="1"/>
  <c r="BB319" i="1"/>
  <c r="AZ188" i="1"/>
  <c r="BC188" i="1"/>
  <c r="AZ187" i="1"/>
  <c r="BC187" i="1"/>
  <c r="AZ40" i="1"/>
  <c r="BC40" i="1"/>
  <c r="AZ39" i="1"/>
  <c r="BC39" i="1"/>
  <c r="AZ38" i="1"/>
  <c r="BC38" i="1"/>
  <c r="AZ37" i="1"/>
  <c r="BC37" i="1"/>
  <c r="BC36" i="1"/>
  <c r="AZ115" i="1"/>
  <c r="BC115" i="1"/>
  <c r="AZ114" i="1"/>
  <c r="BC114" i="1"/>
  <c r="AZ44" i="1"/>
  <c r="BC44" i="1"/>
  <c r="AZ43" i="1"/>
  <c r="BC43" i="1"/>
  <c r="AZ3" i="1"/>
  <c r="AZ4" i="1"/>
  <c r="AZ7" i="1"/>
  <c r="AZ8" i="1"/>
  <c r="AZ9" i="1"/>
  <c r="AZ10" i="1"/>
  <c r="AZ24" i="1"/>
  <c r="AZ25" i="1"/>
  <c r="AZ27" i="1"/>
  <c r="AZ28" i="1"/>
  <c r="AZ29" i="1"/>
  <c r="AZ30" i="1"/>
  <c r="AZ31" i="1"/>
  <c r="AZ32" i="1"/>
  <c r="AZ33" i="1"/>
  <c r="AZ34" i="1"/>
  <c r="AZ35" i="1"/>
  <c r="AZ41" i="1"/>
  <c r="AZ42" i="1"/>
  <c r="AZ64" i="1"/>
  <c r="AZ65" i="1"/>
  <c r="AZ66" i="1"/>
  <c r="AZ67" i="1"/>
  <c r="AZ68" i="1"/>
  <c r="AZ69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8" i="1"/>
  <c r="AZ119" i="1"/>
  <c r="AZ120" i="1"/>
  <c r="AZ121" i="1"/>
  <c r="AZ135" i="1"/>
  <c r="AZ136" i="1"/>
  <c r="AZ150" i="1"/>
  <c r="AZ151" i="1"/>
  <c r="AZ152" i="1"/>
  <c r="AZ153" i="1"/>
  <c r="AZ156" i="1"/>
  <c r="AZ157" i="1"/>
  <c r="AZ161" i="1"/>
  <c r="AZ162" i="1"/>
  <c r="AZ163" i="1"/>
  <c r="AZ168" i="1"/>
  <c r="AZ169" i="1"/>
  <c r="AZ173" i="1"/>
  <c r="AZ174" i="1"/>
  <c r="AZ175" i="1"/>
  <c r="AZ176" i="1"/>
  <c r="AZ177" i="1"/>
  <c r="AZ178" i="1"/>
  <c r="AZ184" i="1"/>
  <c r="AZ185" i="1"/>
  <c r="AZ186" i="1"/>
  <c r="AZ190" i="1"/>
  <c r="AZ191" i="1"/>
  <c r="AZ192" i="1"/>
  <c r="AZ193" i="1"/>
  <c r="AZ194" i="1"/>
  <c r="AZ195" i="1"/>
  <c r="AZ196" i="1"/>
  <c r="AZ198" i="1"/>
  <c r="AZ199" i="1"/>
  <c r="AZ200" i="1"/>
  <c r="AZ203" i="1"/>
  <c r="AZ204" i="1"/>
  <c r="AZ207" i="1"/>
  <c r="AZ208" i="1"/>
  <c r="AZ209" i="1"/>
  <c r="AZ229" i="1"/>
  <c r="AZ230" i="1"/>
  <c r="AZ234" i="1"/>
  <c r="AZ235" i="1"/>
  <c r="AZ236" i="1"/>
  <c r="AZ237" i="1"/>
  <c r="AZ238" i="1"/>
  <c r="AZ239" i="1"/>
  <c r="AZ240" i="1"/>
  <c r="AZ243" i="1"/>
  <c r="AZ244" i="1"/>
  <c r="AZ245" i="1"/>
  <c r="AZ246" i="1"/>
  <c r="AZ247" i="1"/>
  <c r="AZ248" i="1"/>
  <c r="AZ249" i="1"/>
  <c r="AZ250" i="1"/>
  <c r="AZ251" i="1"/>
  <c r="AZ272" i="1"/>
  <c r="AZ273" i="1"/>
  <c r="AZ274" i="1"/>
  <c r="AZ275" i="1"/>
  <c r="AZ284" i="1"/>
  <c r="AZ285" i="1"/>
  <c r="AZ286" i="1"/>
  <c r="AZ287" i="1"/>
  <c r="AZ288" i="1"/>
  <c r="AZ289" i="1"/>
  <c r="AZ290" i="1"/>
  <c r="AZ291" i="1"/>
  <c r="AZ292" i="1"/>
  <c r="AZ305" i="1"/>
  <c r="AZ306" i="1"/>
  <c r="AZ307" i="1"/>
  <c r="AZ308" i="1"/>
  <c r="AZ309" i="1"/>
  <c r="AZ310" i="1"/>
  <c r="AZ313" i="1"/>
  <c r="AZ314" i="1"/>
  <c r="AZ315" i="1"/>
  <c r="AZ316" i="1"/>
  <c r="AZ317" i="1"/>
  <c r="AZ318" i="1"/>
  <c r="AZ2" i="1"/>
  <c r="BC42" i="1"/>
  <c r="BC41" i="1"/>
  <c r="BC192" i="1"/>
  <c r="BB318" i="1"/>
  <c r="BC318" i="1"/>
  <c r="BB317" i="1"/>
  <c r="BC317" i="1"/>
  <c r="BB316" i="1"/>
  <c r="BC316" i="1"/>
  <c r="BB315" i="1"/>
  <c r="BC315" i="1"/>
  <c r="BB314" i="1"/>
  <c r="BC314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B313" i="1"/>
  <c r="BC313" i="1"/>
  <c r="BC310" i="1"/>
  <c r="BC309" i="1"/>
  <c r="BC308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C307" i="1"/>
  <c r="BC306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C305" i="1"/>
  <c r="BC291" i="1"/>
  <c r="BC290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C289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C288" i="1"/>
  <c r="BC287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C286" i="1"/>
  <c r="BC285" i="1"/>
  <c r="BC284" i="1"/>
  <c r="BB275" i="1"/>
  <c r="BC275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B274" i="1"/>
  <c r="BC274" i="1"/>
  <c r="BB273" i="1"/>
  <c r="BC273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B272" i="1"/>
  <c r="BC272" i="1"/>
  <c r="BB251" i="1"/>
  <c r="BC251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B250" i="1"/>
  <c r="BC250" i="1"/>
  <c r="BB249" i="1"/>
  <c r="BC249" i="1"/>
  <c r="BB248" i="1"/>
  <c r="BC248" i="1"/>
  <c r="BB247" i="1"/>
  <c r="BC247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B246" i="1"/>
  <c r="BC246" i="1"/>
  <c r="BB245" i="1"/>
  <c r="BC245" i="1"/>
  <c r="BB244" i="1"/>
  <c r="BC244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B243" i="1"/>
  <c r="BC243" i="1"/>
  <c r="BB240" i="1"/>
  <c r="BC240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B239" i="1"/>
  <c r="BC239" i="1"/>
  <c r="BB238" i="1"/>
  <c r="BC238" i="1"/>
  <c r="BB237" i="1"/>
  <c r="BC237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B236" i="1"/>
  <c r="BC236" i="1"/>
  <c r="BB235" i="1"/>
  <c r="BC235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B234" i="1"/>
  <c r="BC234" i="1"/>
  <c r="BB230" i="1"/>
  <c r="BC230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C229" i="1"/>
  <c r="BC214" i="1"/>
  <c r="BC212" i="1"/>
  <c r="BC211" i="1"/>
  <c r="BC209" i="1"/>
  <c r="BC208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C207" i="1"/>
  <c r="BC204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C203" i="1"/>
  <c r="BC200" i="1"/>
  <c r="BC199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C198" i="1"/>
  <c r="BC196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C195" i="1"/>
  <c r="BC194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C193" i="1"/>
  <c r="BC191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C190" i="1"/>
  <c r="BC186" i="1"/>
  <c r="BC185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C184" i="1"/>
  <c r="BC178" i="1"/>
  <c r="BC177" i="1"/>
  <c r="BC176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C175" i="1"/>
  <c r="BC174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C173" i="1"/>
  <c r="BC169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C168" i="1"/>
  <c r="BC157" i="1"/>
  <c r="BC156" i="1"/>
  <c r="BC153" i="1"/>
  <c r="BC152" i="1"/>
  <c r="BC151" i="1"/>
  <c r="BC150" i="1"/>
  <c r="BC136" i="1"/>
  <c r="BC135" i="1"/>
  <c r="BC121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C120" i="1"/>
  <c r="BC119" i="1"/>
  <c r="BC118" i="1"/>
  <c r="BC113" i="1"/>
  <c r="BC112" i="1"/>
  <c r="BC111" i="1"/>
  <c r="BC110" i="1"/>
  <c r="BC109" i="1"/>
  <c r="BC108" i="1"/>
  <c r="BC107" i="1"/>
  <c r="BC106" i="1"/>
  <c r="BC105" i="1"/>
  <c r="BC104" i="1"/>
  <c r="BC103" i="1"/>
  <c r="BC102" i="1"/>
  <c r="BC101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9" i="1"/>
  <c r="BC78" i="1"/>
  <c r="BC77" i="1"/>
  <c r="BC76" i="1"/>
  <c r="BC75" i="1"/>
  <c r="BC69" i="1"/>
  <c r="BC68" i="1"/>
  <c r="BC67" i="1"/>
  <c r="BC66" i="1"/>
  <c r="BC65" i="1"/>
  <c r="BC64" i="1"/>
  <c r="BB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B26" i="1"/>
  <c r="BC26" i="1"/>
  <c r="BB25" i="1"/>
  <c r="BC25" i="1"/>
  <c r="BB24" i="1"/>
  <c r="BC24" i="1"/>
  <c r="BC10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B9" i="1"/>
  <c r="BC9" i="1"/>
  <c r="BB8" i="1"/>
  <c r="BC8" i="1"/>
  <c r="BB7" i="1"/>
  <c r="BC7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33" i="4"/>
  <c r="AI225" i="4"/>
  <c r="U225" i="4" a="1"/>
  <c r="U225" i="4"/>
  <c r="AI229" i="4"/>
  <c r="AI228" i="4"/>
  <c r="G39" i="3"/>
  <c r="G40" i="3"/>
  <c r="G41" i="3"/>
  <c r="T225" i="4" a="1"/>
  <c r="T225" i="4"/>
  <c r="T229" i="4" a="1"/>
  <c r="T229" i="4"/>
  <c r="T228" i="4" a="1"/>
  <c r="T228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3" i="4"/>
  <c r="R345" i="4"/>
  <c r="R343" i="4"/>
  <c r="R344" i="4"/>
  <c r="R329" i="4"/>
  <c r="R341" i="4"/>
  <c r="R318" i="4"/>
  <c r="R319" i="4"/>
  <c r="R335" i="4"/>
  <c r="R339" i="4"/>
  <c r="R337" i="4"/>
  <c r="R338" i="4"/>
  <c r="R316" i="4"/>
  <c r="R327" i="4"/>
  <c r="R317" i="4"/>
  <c r="R321" i="4"/>
  <c r="R331" i="4"/>
  <c r="R322" i="4"/>
  <c r="R50" i="2"/>
  <c r="R348" i="4"/>
  <c r="R326" i="4"/>
  <c r="R349" i="4"/>
  <c r="R361" i="4"/>
  <c r="R355" i="4"/>
  <c r="R358" i="4"/>
  <c r="R354" i="4"/>
  <c r="R360" i="4"/>
  <c r="R362" i="4"/>
  <c r="R320" i="4"/>
  <c r="R359" i="4"/>
  <c r="R357" i="4"/>
  <c r="R365" i="4"/>
  <c r="R356" i="4"/>
  <c r="R363" i="4"/>
  <c r="R364" i="4"/>
  <c r="R36" i="2"/>
  <c r="R164" i="4"/>
  <c r="R163" i="4"/>
  <c r="R323" i="4"/>
  <c r="R162" i="4"/>
  <c r="R342" i="4"/>
  <c r="R350" i="4"/>
  <c r="R336" i="4"/>
  <c r="R347" i="4"/>
  <c r="R330" i="4"/>
  <c r="R340" i="4"/>
  <c r="R328" i="4"/>
  <c r="R264" i="4"/>
  <c r="R352" i="4"/>
  <c r="R285" i="4"/>
  <c r="R263" i="4"/>
  <c r="R353" i="4"/>
  <c r="R324" i="4"/>
  <c r="R89" i="4"/>
  <c r="R37" i="2"/>
  <c r="R171" i="4"/>
  <c r="R370" i="4"/>
  <c r="R378" i="4"/>
  <c r="R332" i="4"/>
  <c r="R334" i="4"/>
  <c r="R134" i="4"/>
  <c r="R377" i="4"/>
  <c r="R372" i="4"/>
  <c r="R375" i="4"/>
  <c r="R381" i="4"/>
  <c r="R379" i="4"/>
  <c r="R371" i="4"/>
  <c r="R374" i="4"/>
  <c r="R373" i="4"/>
  <c r="R325" i="4"/>
  <c r="R376" i="4"/>
  <c r="R299" i="4"/>
  <c r="R310" i="4"/>
  <c r="R307" i="4"/>
  <c r="R300" i="4"/>
  <c r="R203" i="4"/>
  <c r="R311" i="4"/>
  <c r="R306" i="4"/>
  <c r="R309" i="4"/>
  <c r="R308" i="4"/>
  <c r="R301" i="4"/>
  <c r="R81" i="4"/>
  <c r="R305" i="4"/>
  <c r="R312" i="4"/>
  <c r="R313" i="4"/>
  <c r="R302" i="4"/>
  <c r="R304" i="4"/>
  <c r="R314" i="4"/>
  <c r="R179" i="4"/>
  <c r="R98" i="4"/>
  <c r="R80" i="4"/>
  <c r="R243" i="4"/>
  <c r="R298" i="4"/>
  <c r="R261" i="4"/>
  <c r="R37" i="4"/>
  <c r="R79" i="4"/>
  <c r="R230" i="4"/>
  <c r="R190" i="4"/>
  <c r="R196" i="4"/>
  <c r="R19" i="4"/>
  <c r="R144" i="4"/>
  <c r="R245" i="4"/>
  <c r="R13" i="4"/>
  <c r="R244" i="4"/>
  <c r="R210" i="4"/>
  <c r="R148" i="4"/>
  <c r="R209" i="4"/>
  <c r="R10" i="2"/>
  <c r="R30" i="4"/>
  <c r="R214" i="4"/>
  <c r="R31" i="4"/>
  <c r="R198" i="4"/>
  <c r="R219" i="4"/>
  <c r="R78" i="4"/>
  <c r="R103" i="4"/>
  <c r="R220" i="4"/>
  <c r="R294" i="4"/>
  <c r="R2" i="4"/>
  <c r="R45" i="4"/>
  <c r="R254" i="4"/>
  <c r="R58" i="4"/>
  <c r="R121" i="4"/>
  <c r="R135" i="4"/>
  <c r="R218" i="4"/>
  <c r="R229" i="4"/>
  <c r="R119" i="4"/>
  <c r="R295" i="4"/>
  <c r="R270" i="4"/>
  <c r="R14" i="4"/>
  <c r="R15" i="4"/>
  <c r="R93" i="4"/>
  <c r="R115" i="4"/>
  <c r="R132" i="4"/>
  <c r="R199" i="4"/>
  <c r="R46" i="4"/>
  <c r="R70" i="4"/>
  <c r="R202" i="4"/>
  <c r="R206" i="4"/>
  <c r="R226" i="4"/>
  <c r="R227" i="4"/>
  <c r="R288" i="4"/>
  <c r="R40" i="4"/>
  <c r="R72" i="4"/>
  <c r="R112" i="4"/>
  <c r="R173" i="4"/>
  <c r="R228" i="4"/>
  <c r="R233" i="4"/>
  <c r="R367" i="4"/>
  <c r="R207" i="4"/>
  <c r="R260" i="4"/>
  <c r="R278" i="4"/>
  <c r="R296" i="4"/>
  <c r="R221" i="4"/>
  <c r="R9" i="4"/>
  <c r="R3" i="4"/>
  <c r="R286" i="4"/>
  <c r="R60" i="4"/>
  <c r="R94" i="4"/>
  <c r="R26" i="2"/>
  <c r="R197" i="4"/>
  <c r="R205" i="4"/>
  <c r="R208" i="4"/>
  <c r="R216" i="4"/>
  <c r="R217" i="4"/>
  <c r="R273" i="4"/>
  <c r="R57" i="4"/>
  <c r="R124" i="4"/>
  <c r="R201" i="4"/>
  <c r="R204" i="4"/>
  <c r="R315" i="4"/>
  <c r="R26" i="4"/>
  <c r="R5" i="4"/>
  <c r="R50" i="4"/>
  <c r="R69" i="4"/>
  <c r="R153" i="4"/>
  <c r="R24" i="4"/>
  <c r="R25" i="4"/>
  <c r="R36" i="4"/>
  <c r="R42" i="4"/>
  <c r="R142" i="4"/>
  <c r="R290" i="4"/>
  <c r="R85" i="4"/>
  <c r="R211" i="4"/>
  <c r="R241" i="4"/>
  <c r="R139" i="4"/>
  <c r="R271" i="4"/>
  <c r="R366" i="4"/>
  <c r="R17" i="4"/>
  <c r="R111" i="4"/>
  <c r="R151" i="4"/>
  <c r="R280" i="4"/>
  <c r="R4" i="4"/>
  <c r="R52" i="4"/>
  <c r="R125" i="4"/>
  <c r="R130" i="4"/>
  <c r="R161" i="4"/>
  <c r="R239" i="4"/>
  <c r="R262" i="4"/>
  <c r="R272" i="4"/>
  <c r="R53" i="4"/>
  <c r="R192" i="4"/>
  <c r="R281" i="4"/>
  <c r="R283" i="4"/>
  <c r="R44" i="4"/>
  <c r="R64" i="4"/>
  <c r="R145" i="4"/>
  <c r="R279" i="4"/>
  <c r="R282" i="4"/>
  <c r="R10" i="4"/>
  <c r="R38" i="4"/>
  <c r="R48" i="4"/>
  <c r="R159" i="4"/>
  <c r="R168" i="4"/>
  <c r="R200" i="4"/>
  <c r="R213" i="4"/>
  <c r="R8" i="4"/>
  <c r="R55" i="4"/>
  <c r="R63" i="4"/>
  <c r="R68" i="4"/>
  <c r="R90" i="4"/>
  <c r="R104" i="4"/>
  <c r="R116" i="4"/>
  <c r="R223" i="4"/>
  <c r="R224" i="4"/>
  <c r="R232" i="4"/>
  <c r="R249" i="4"/>
  <c r="R49" i="4"/>
  <c r="R71" i="4"/>
  <c r="R74" i="4"/>
  <c r="R97" i="4"/>
  <c r="R225" i="4"/>
  <c r="R274" i="4"/>
  <c r="R289" i="4"/>
  <c r="R32" i="4"/>
  <c r="R235" i="4"/>
  <c r="R16" i="4"/>
  <c r="R27" i="4"/>
  <c r="R180" i="4"/>
  <c r="R222" i="4"/>
  <c r="R33" i="4"/>
  <c r="R51" i="4"/>
  <c r="R54" i="4"/>
  <c r="R59" i="4"/>
  <c r="R118" i="4"/>
  <c r="R215" i="4"/>
  <c r="R231" i="4"/>
  <c r="R234" i="4"/>
  <c r="R246" i="4"/>
  <c r="R75" i="4"/>
  <c r="R95" i="4"/>
  <c r="R105" i="4"/>
  <c r="R138" i="4"/>
  <c r="R247" i="4"/>
  <c r="R277" i="4"/>
  <c r="R43" i="4"/>
  <c r="R61" i="4"/>
  <c r="R76" i="4"/>
  <c r="R113" i="4"/>
  <c r="R123" i="4"/>
  <c r="R195" i="4"/>
  <c r="R238" i="4"/>
  <c r="R18" i="4"/>
  <c r="R41" i="4"/>
  <c r="R73" i="4"/>
  <c r="R157" i="4"/>
  <c r="R194" i="4"/>
  <c r="R131" i="4"/>
  <c r="R284" i="4"/>
  <c r="R28" i="4"/>
  <c r="R56" i="4"/>
  <c r="R107" i="4"/>
  <c r="R193" i="4"/>
  <c r="R155" i="4"/>
  <c r="R156" i="4"/>
  <c r="R191" i="4"/>
  <c r="R236" i="4"/>
  <c r="R29" i="4"/>
  <c r="R35" i="4"/>
  <c r="R86" i="4"/>
  <c r="R87" i="4"/>
  <c r="R88" i="4"/>
  <c r="R67" i="4"/>
  <c r="R91" i="4"/>
  <c r="R169" i="4"/>
  <c r="R237" i="4"/>
  <c r="R240" i="4"/>
  <c r="R291" i="4"/>
  <c r="R106" i="4"/>
  <c r="R109" i="4"/>
  <c r="R158" i="4"/>
  <c r="R11" i="4"/>
  <c r="R62" i="4"/>
  <c r="R256" i="4"/>
  <c r="R287" i="4"/>
  <c r="R12" i="4"/>
  <c r="R47" i="4"/>
  <c r="R92" i="4"/>
  <c r="R120" i="4"/>
  <c r="R150" i="4"/>
  <c r="R212" i="4"/>
  <c r="R242" i="4"/>
  <c r="R275" i="4"/>
  <c r="R22" i="4"/>
  <c r="R127" i="4"/>
  <c r="R82" i="4"/>
  <c r="R253" i="4"/>
  <c r="R255" i="4"/>
  <c r="R20" i="4"/>
  <c r="R84" i="4"/>
  <c r="R137" i="4"/>
  <c r="R7" i="4"/>
  <c r="R110" i="4"/>
  <c r="R136" i="4"/>
  <c r="R140" i="4"/>
  <c r="R149" i="4"/>
  <c r="R170" i="4"/>
  <c r="R172" i="4"/>
  <c r="R21" i="4"/>
  <c r="R23" i="4"/>
  <c r="R292" i="4"/>
  <c r="R108" i="4"/>
  <c r="R154" i="4"/>
  <c r="R39" i="4"/>
  <c r="R83" i="4"/>
  <c r="R160" i="4"/>
  <c r="R129" i="4"/>
  <c r="R133" i="4"/>
  <c r="R143" i="4"/>
  <c r="R6" i="4"/>
  <c r="R126" i="4"/>
  <c r="R146" i="4"/>
  <c r="Z367" i="4"/>
  <c r="Z368" i="4"/>
  <c r="Z369" i="4"/>
  <c r="U2" i="12"/>
  <c r="R276" i="4"/>
  <c r="R250" i="4"/>
  <c r="R96" i="4"/>
  <c r="R346" i="4"/>
  <c r="Q2" i="12"/>
  <c r="O2" i="12"/>
  <c r="N387" i="4"/>
  <c r="N408" i="4"/>
  <c r="M2" i="12"/>
  <c r="K2" i="12"/>
  <c r="J49" i="4"/>
  <c r="J174" i="4"/>
  <c r="J298" i="4"/>
  <c r="J245" i="4"/>
  <c r="J276" i="4"/>
  <c r="J48" i="4"/>
  <c r="J51" i="4"/>
  <c r="J52" i="4"/>
  <c r="J54" i="4"/>
  <c r="J55" i="4"/>
  <c r="J57" i="4"/>
  <c r="J58" i="4"/>
  <c r="J59" i="4"/>
  <c r="J60" i="4"/>
  <c r="J64" i="4"/>
  <c r="J68" i="4"/>
  <c r="J69" i="4"/>
  <c r="J70" i="4"/>
  <c r="J71" i="4"/>
  <c r="J73" i="4"/>
  <c r="J86" i="4"/>
  <c r="J87" i="4"/>
  <c r="J88" i="4"/>
  <c r="J112" i="4"/>
  <c r="J116" i="4"/>
  <c r="J130" i="4"/>
  <c r="J131" i="4"/>
  <c r="J172" i="4"/>
  <c r="J247" i="4"/>
  <c r="J291" i="4"/>
  <c r="J47" i="4"/>
  <c r="J53" i="4"/>
  <c r="J56" i="4"/>
  <c r="J72" i="4"/>
  <c r="J84" i="4"/>
  <c r="J292" i="4"/>
  <c r="J137" i="4"/>
  <c r="J26" i="2"/>
  <c r="J82" i="4"/>
  <c r="J125" i="4"/>
  <c r="J262" i="4"/>
  <c r="J83" i="4"/>
  <c r="J89" i="4"/>
  <c r="J97" i="4"/>
  <c r="J119" i="4"/>
  <c r="J136" i="4"/>
  <c r="J155" i="4"/>
  <c r="J156" i="4"/>
  <c r="J169" i="4"/>
  <c r="J171" i="4"/>
  <c r="J173" i="4"/>
  <c r="J212" i="4"/>
  <c r="J230" i="4"/>
  <c r="J231" i="4"/>
  <c r="J233" i="4"/>
  <c r="J239" i="4"/>
  <c r="J243" i="4"/>
  <c r="J255" i="4"/>
  <c r="J285" i="4"/>
  <c r="J62" i="4"/>
  <c r="J154" i="4"/>
  <c r="J237" i="4"/>
  <c r="J266" i="4"/>
  <c r="J41" i="4"/>
  <c r="J42" i="4"/>
  <c r="J99" i="4"/>
  <c r="J105" i="4"/>
  <c r="J110" i="4"/>
  <c r="J115" i="4"/>
  <c r="J120" i="4"/>
  <c r="J129" i="4"/>
  <c r="J168" i="4"/>
  <c r="J170" i="4"/>
  <c r="J235" i="4"/>
  <c r="J238" i="4"/>
  <c r="J244" i="4"/>
  <c r="J275" i="4"/>
  <c r="J45" i="4"/>
  <c r="J63" i="4"/>
  <c r="J101" i="4"/>
  <c r="J118" i="4"/>
  <c r="J151" i="4"/>
  <c r="J256" i="4"/>
  <c r="J43" i="4"/>
  <c r="J90" i="4"/>
  <c r="J234" i="4"/>
  <c r="J236" i="4"/>
  <c r="J241" i="4"/>
  <c r="J252" i="4"/>
  <c r="J274" i="4"/>
  <c r="J286" i="4"/>
  <c r="J44" i="4"/>
  <c r="J104" i="4"/>
  <c r="J113" i="4"/>
  <c r="J132" i="4"/>
  <c r="J147" i="4"/>
  <c r="J179" i="4"/>
  <c r="J200" i="4"/>
  <c r="J201" i="4"/>
  <c r="J216" i="4"/>
  <c r="J218" i="4"/>
  <c r="J219" i="4"/>
  <c r="J221" i="4"/>
  <c r="J267" i="4"/>
  <c r="J268" i="4"/>
  <c r="J270" i="4"/>
  <c r="J271" i="4"/>
  <c r="J273" i="4"/>
  <c r="J91" i="4"/>
  <c r="J193" i="4"/>
  <c r="J206" i="4"/>
  <c r="J222" i="4"/>
  <c r="J224" i="4"/>
  <c r="J226" i="4"/>
  <c r="J227" i="4"/>
  <c r="J264" i="4"/>
  <c r="J80" i="4"/>
  <c r="J134" i="4"/>
  <c r="J79" i="4"/>
  <c r="J92" i="4"/>
  <c r="J94" i="4"/>
  <c r="J190" i="4"/>
  <c r="J191" i="4"/>
  <c r="J192" i="4"/>
  <c r="J207" i="4"/>
  <c r="J250" i="4"/>
  <c r="J272" i="4"/>
  <c r="J22" i="4"/>
  <c r="J158" i="4"/>
  <c r="J194" i="4"/>
  <c r="J196" i="4"/>
  <c r="J199" i="4"/>
  <c r="J205" i="4"/>
  <c r="J297" i="4"/>
  <c r="J294" i="4"/>
  <c r="J295" i="4"/>
  <c r="J23" i="4"/>
  <c r="J121" i="4"/>
  <c r="J148" i="4"/>
  <c r="J165" i="4"/>
  <c r="J166" i="4"/>
  <c r="J167" i="4"/>
  <c r="J195" i="4"/>
  <c r="J213" i="4"/>
  <c r="J215" i="4"/>
  <c r="J254" i="4"/>
  <c r="J278" i="4"/>
  <c r="J280" i="4"/>
  <c r="J20" i="4"/>
  <c r="J46" i="4"/>
  <c r="J153" i="4"/>
  <c r="J180" i="4"/>
  <c r="J197" i="4"/>
  <c r="J202" i="4"/>
  <c r="J203" i="4"/>
  <c r="J265" i="4"/>
  <c r="J21" i="4"/>
  <c r="J296" i="4"/>
  <c r="J161" i="4"/>
  <c r="J260" i="4"/>
  <c r="J261" i="4"/>
  <c r="J269" i="4"/>
  <c r="J279" i="4"/>
  <c r="J111" i="4"/>
  <c r="J214" i="4"/>
  <c r="J277" i="4"/>
  <c r="J281" i="4"/>
  <c r="J282" i="4"/>
  <c r="J283" i="4"/>
  <c r="J109" i="4"/>
  <c r="J150" i="4"/>
  <c r="J204" i="4"/>
  <c r="J293" i="4"/>
  <c r="J198" i="4"/>
  <c r="J290" i="4"/>
  <c r="J16" i="4"/>
  <c r="J209" i="4"/>
  <c r="J78" i="4"/>
  <c r="J138" i="4"/>
  <c r="J144" i="4"/>
  <c r="J85" i="4"/>
  <c r="J6" i="4"/>
  <c r="J4" i="4"/>
  <c r="J232" i="4"/>
  <c r="J284" i="4"/>
  <c r="J288" i="4"/>
  <c r="J74" i="4"/>
  <c r="J142" i="4"/>
  <c r="J18" i="4"/>
  <c r="J229" i="4"/>
  <c r="J107" i="4"/>
  <c r="J289" i="4"/>
  <c r="J228" i="4"/>
  <c r="J17" i="4"/>
  <c r="J19" i="4"/>
  <c r="J35" i="4"/>
  <c r="J5" i="4"/>
  <c r="J13" i="4"/>
  <c r="J36" i="4"/>
  <c r="J211" i="4"/>
  <c r="J10" i="2"/>
  <c r="J7" i="4"/>
  <c r="J248" i="4"/>
  <c r="J37" i="4"/>
  <c r="J15" i="4"/>
  <c r="J2" i="4"/>
  <c r="J10" i="4"/>
  <c r="J50" i="4"/>
  <c r="J9" i="4"/>
  <c r="J14" i="4"/>
  <c r="J11" i="4"/>
  <c r="J102" i="4"/>
  <c r="J12" i="4"/>
  <c r="J93" i="4"/>
  <c r="J13" i="2"/>
  <c r="J160" i="4"/>
  <c r="J76" i="4"/>
  <c r="J8" i="4"/>
  <c r="J208" i="4"/>
  <c r="J159" i="4"/>
  <c r="J40" i="4"/>
  <c r="J28" i="4"/>
  <c r="J38" i="4"/>
  <c r="J75" i="4"/>
  <c r="J39" i="4"/>
  <c r="J29" i="4"/>
  <c r="J32" i="4"/>
  <c r="J95" i="4"/>
  <c r="J157" i="4"/>
  <c r="J33" i="4"/>
  <c r="J30" i="4"/>
  <c r="I2" i="12"/>
  <c r="H215" i="4"/>
  <c r="H214" i="4"/>
  <c r="G2" i="12"/>
  <c r="F61" i="4"/>
  <c r="F46" i="2"/>
  <c r="F25" i="4"/>
  <c r="F26" i="4"/>
  <c r="F27" i="4"/>
  <c r="F51" i="4"/>
  <c r="F52" i="4"/>
  <c r="F54" i="4"/>
  <c r="F55" i="4"/>
  <c r="F57" i="4"/>
  <c r="F58" i="4"/>
  <c r="F59" i="4"/>
  <c r="F60" i="4"/>
  <c r="F67" i="4"/>
  <c r="F68" i="4"/>
  <c r="F69" i="4"/>
  <c r="F70" i="4"/>
  <c r="F71" i="4"/>
  <c r="F73" i="4"/>
  <c r="F112" i="4"/>
  <c r="F172" i="4"/>
  <c r="F287" i="4"/>
  <c r="F291" i="4"/>
  <c r="F53" i="4"/>
  <c r="F56" i="4"/>
  <c r="F72" i="4"/>
  <c r="F292" i="4"/>
  <c r="F125" i="4"/>
  <c r="F262" i="4"/>
  <c r="F89" i="4"/>
  <c r="F169" i="4"/>
  <c r="F37" i="2"/>
  <c r="F171" i="4"/>
  <c r="F173" i="4"/>
  <c r="F230" i="4"/>
  <c r="F243" i="4"/>
  <c r="F285" i="4"/>
  <c r="F266" i="4"/>
  <c r="F41" i="4"/>
  <c r="F115" i="4"/>
  <c r="F122" i="4"/>
  <c r="F129" i="4"/>
  <c r="F168" i="4"/>
  <c r="F170" i="4"/>
  <c r="F12" i="2"/>
  <c r="F34" i="4"/>
  <c r="F45" i="4"/>
  <c r="F133" i="4"/>
  <c r="F236" i="4"/>
  <c r="F252" i="4"/>
  <c r="F274" i="4"/>
  <c r="F286" i="4"/>
  <c r="F44" i="4"/>
  <c r="F113" i="4"/>
  <c r="F179" i="4"/>
  <c r="F200" i="4"/>
  <c r="F201" i="4"/>
  <c r="F216" i="4"/>
  <c r="F217" i="4"/>
  <c r="F218" i="4"/>
  <c r="F219" i="4"/>
  <c r="F220" i="4"/>
  <c r="F221" i="4"/>
  <c r="F267" i="4"/>
  <c r="F268" i="4"/>
  <c r="F270" i="4"/>
  <c r="F271" i="4"/>
  <c r="F273" i="4"/>
  <c r="F91" i="4"/>
  <c r="F193" i="4"/>
  <c r="F206" i="4"/>
  <c r="F222" i="4"/>
  <c r="F223" i="4"/>
  <c r="F224" i="4"/>
  <c r="F226" i="4"/>
  <c r="F227" i="4"/>
  <c r="F263" i="4"/>
  <c r="F264" i="4"/>
  <c r="F80" i="4"/>
  <c r="F81" i="4"/>
  <c r="F134" i="4"/>
  <c r="F79" i="4"/>
  <c r="F92" i="4"/>
  <c r="F94" i="4"/>
  <c r="F190" i="4"/>
  <c r="F191" i="4"/>
  <c r="F192" i="4"/>
  <c r="F207" i="4"/>
  <c r="F272" i="4"/>
  <c r="F22" i="4"/>
  <c r="F158" i="4"/>
  <c r="F194" i="4"/>
  <c r="F196" i="4"/>
  <c r="F199" i="4"/>
  <c r="F205" i="4"/>
  <c r="F297" i="4"/>
  <c r="F294" i="4"/>
  <c r="F295" i="4"/>
  <c r="F23" i="4"/>
  <c r="F121" i="4"/>
  <c r="F148" i="4"/>
  <c r="F165" i="4"/>
  <c r="F166" i="4"/>
  <c r="F167" i="4"/>
  <c r="F177" i="4"/>
  <c r="F178" i="4"/>
  <c r="F195" i="4"/>
  <c r="F213" i="4"/>
  <c r="F215" i="4"/>
  <c r="F254" i="4"/>
  <c r="F7" i="2"/>
  <c r="F278" i="4"/>
  <c r="F280" i="4"/>
  <c r="F20" i="4"/>
  <c r="F46" i="4"/>
  <c r="F98" i="4"/>
  <c r="F128" i="4"/>
  <c r="F141" i="4"/>
  <c r="F153" i="4"/>
  <c r="F189" i="4"/>
  <c r="F197" i="4"/>
  <c r="F202" i="4"/>
  <c r="F176" i="4"/>
  <c r="F203" i="4"/>
  <c r="F265" i="4"/>
  <c r="F21" i="4"/>
  <c r="F296" i="4"/>
  <c r="F152" i="4"/>
  <c r="F161" i="4"/>
  <c r="F260" i="4"/>
  <c r="F261" i="4"/>
  <c r="F269" i="4"/>
  <c r="F279" i="4"/>
  <c r="F13" i="2"/>
  <c r="F114" i="4"/>
  <c r="F111" i="4"/>
  <c r="F214" i="4"/>
  <c r="F225" i="4"/>
  <c r="F277" i="4"/>
  <c r="F281" i="4"/>
  <c r="F282" i="4"/>
  <c r="F283" i="4"/>
  <c r="F123" i="4"/>
  <c r="F109" i="4"/>
  <c r="F139" i="4"/>
  <c r="F150" i="4"/>
  <c r="F293" i="4"/>
  <c r="F198" i="4"/>
  <c r="F290" i="4"/>
  <c r="F16" i="4"/>
  <c r="F209" i="4"/>
  <c r="F249" i="4"/>
  <c r="F126" i="4"/>
  <c r="F146" i="4"/>
  <c r="F78" i="4"/>
  <c r="F210" i="4"/>
  <c r="F138" i="4"/>
  <c r="F144" i="4"/>
  <c r="F6" i="4"/>
  <c r="F4" i="4"/>
  <c r="F232" i="4"/>
  <c r="F284" i="4"/>
  <c r="F288" i="4"/>
  <c r="F74" i="4"/>
  <c r="F18" i="4"/>
  <c r="F229" i="4"/>
  <c r="F107" i="4"/>
  <c r="F289" i="4"/>
  <c r="F3" i="4"/>
  <c r="F228" i="4"/>
  <c r="F17" i="4"/>
  <c r="F19" i="4"/>
  <c r="F35" i="4"/>
  <c r="F5" i="4"/>
  <c r="F13" i="4"/>
  <c r="F36" i="4"/>
  <c r="F10" i="2"/>
  <c r="F7" i="4"/>
  <c r="F248" i="4"/>
  <c r="F37" i="4"/>
  <c r="F149" i="4"/>
  <c r="F15" i="4"/>
  <c r="F2" i="4"/>
  <c r="F124" i="4"/>
  <c r="F10" i="4"/>
  <c r="F50" i="4"/>
  <c r="F9" i="4"/>
  <c r="F14" i="4"/>
  <c r="F127" i="4"/>
  <c r="F11" i="4"/>
  <c r="F12" i="4"/>
  <c r="F93" i="4"/>
  <c r="F145" i="4"/>
  <c r="F160" i="4"/>
  <c r="F76" i="4"/>
  <c r="F8" i="4"/>
  <c r="F208" i="4"/>
  <c r="F159" i="4"/>
  <c r="F40" i="4"/>
  <c r="F28" i="4"/>
  <c r="F38" i="4"/>
  <c r="F75" i="4"/>
  <c r="F39" i="4"/>
  <c r="F29" i="4"/>
  <c r="F32" i="4"/>
  <c r="F95" i="4"/>
  <c r="F50" i="2"/>
  <c r="F157" i="4"/>
  <c r="F33" i="4"/>
  <c r="F30" i="4"/>
  <c r="F31" i="4"/>
  <c r="F299" i="4"/>
  <c r="F300" i="4"/>
  <c r="F301" i="4"/>
  <c r="F302" i="4"/>
  <c r="F305" i="4"/>
  <c r="F306" i="4"/>
  <c r="F307" i="4"/>
  <c r="F308" i="4"/>
  <c r="F304" i="4"/>
  <c r="F309" i="4"/>
  <c r="F312" i="4"/>
  <c r="F313" i="4"/>
  <c r="F314" i="4"/>
  <c r="F310" i="4"/>
  <c r="F51" i="2"/>
  <c r="F311" i="4"/>
  <c r="F330" i="4"/>
  <c r="F345" i="4"/>
  <c r="F343" i="4"/>
  <c r="F344" i="4"/>
  <c r="F334" i="4"/>
  <c r="F346" i="4"/>
  <c r="F333" i="4"/>
  <c r="F341" i="4"/>
  <c r="F347" i="4"/>
  <c r="F328" i="4"/>
  <c r="F331" i="4"/>
  <c r="F336" i="4"/>
  <c r="F335" i="4"/>
  <c r="F320" i="4"/>
  <c r="F322" i="4"/>
  <c r="F323" i="4"/>
  <c r="F324" i="4"/>
  <c r="F325" i="4"/>
  <c r="F326" i="4"/>
  <c r="F327" i="4"/>
  <c r="F329" i="4"/>
  <c r="F337" i="4"/>
  <c r="F338" i="4"/>
  <c r="F339" i="4"/>
  <c r="F340" i="4"/>
  <c r="F342" i="4"/>
  <c r="F332" i="4"/>
  <c r="F321" i="4"/>
  <c r="F318" i="4"/>
  <c r="F319" i="4"/>
  <c r="F317" i="4"/>
  <c r="F315" i="4"/>
  <c r="F316" i="4"/>
  <c r="F354" i="4"/>
  <c r="F348" i="4"/>
  <c r="F352" i="4"/>
  <c r="F353" i="4"/>
  <c r="F355" i="4"/>
  <c r="F356" i="4"/>
  <c r="F357" i="4"/>
  <c r="F358" i="4"/>
  <c r="F359" i="4"/>
  <c r="F360" i="4"/>
  <c r="F361" i="4"/>
  <c r="F362" i="4"/>
  <c r="F363" i="4"/>
  <c r="F364" i="4"/>
  <c r="F365" i="4"/>
  <c r="F349" i="4"/>
  <c r="F350" i="4"/>
  <c r="F351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9" i="4"/>
  <c r="F378" i="4"/>
  <c r="F381" i="4"/>
  <c r="F390" i="4"/>
  <c r="F389" i="4"/>
  <c r="F387" i="4"/>
  <c r="F388" i="4"/>
  <c r="F391" i="4"/>
  <c r="F392" i="4"/>
  <c r="F393" i="4"/>
  <c r="F394" i="4"/>
  <c r="F395" i="4"/>
  <c r="F396" i="4"/>
  <c r="F397" i="4"/>
  <c r="F398" i="4"/>
  <c r="F399" i="4"/>
  <c r="F400" i="4"/>
  <c r="F402" i="4"/>
  <c r="F403" i="4"/>
  <c r="F404" i="4"/>
  <c r="F405" i="4"/>
  <c r="F406" i="4"/>
  <c r="F407" i="4"/>
  <c r="F408" i="4"/>
  <c r="F409" i="4"/>
  <c r="F410" i="4"/>
  <c r="F411" i="4"/>
  <c r="F401" i="4"/>
  <c r="E2" i="12"/>
  <c r="C2" i="12"/>
  <c r="E61" i="4"/>
  <c r="E46" i="2"/>
  <c r="E25" i="4"/>
  <c r="E26" i="4"/>
  <c r="E27" i="4"/>
  <c r="E51" i="4"/>
  <c r="E52" i="4"/>
  <c r="E54" i="4"/>
  <c r="E55" i="4"/>
  <c r="E57" i="4"/>
  <c r="E58" i="4"/>
  <c r="E59" i="4"/>
  <c r="E60" i="4"/>
  <c r="E67" i="4"/>
  <c r="E68" i="4"/>
  <c r="E69" i="4"/>
  <c r="E70" i="4"/>
  <c r="E71" i="4"/>
  <c r="E73" i="4"/>
  <c r="E112" i="4"/>
  <c r="E172" i="4"/>
  <c r="E287" i="4"/>
  <c r="E291" i="4"/>
  <c r="E53" i="4"/>
  <c r="E56" i="4"/>
  <c r="E72" i="4"/>
  <c r="E292" i="4"/>
  <c r="E125" i="4"/>
  <c r="E262" i="4"/>
  <c r="E89" i="4"/>
  <c r="E169" i="4"/>
  <c r="E37" i="2"/>
  <c r="E171" i="4"/>
  <c r="E173" i="4"/>
  <c r="E230" i="4"/>
  <c r="E243" i="4"/>
  <c r="E285" i="4"/>
  <c r="E266" i="4"/>
  <c r="E41" i="4"/>
  <c r="E115" i="4"/>
  <c r="E122" i="4"/>
  <c r="E129" i="4"/>
  <c r="E168" i="4"/>
  <c r="E170" i="4"/>
  <c r="E12" i="2"/>
  <c r="E34" i="4"/>
  <c r="E45" i="4"/>
  <c r="E133" i="4"/>
  <c r="E236" i="4"/>
  <c r="E252" i="4"/>
  <c r="E274" i="4"/>
  <c r="E286" i="4"/>
  <c r="E44" i="4"/>
  <c r="E113" i="4"/>
  <c r="E179" i="4"/>
  <c r="E200" i="4"/>
  <c r="E201" i="4"/>
  <c r="E216" i="4"/>
  <c r="E217" i="4"/>
  <c r="E218" i="4"/>
  <c r="E219" i="4"/>
  <c r="E220" i="4"/>
  <c r="E221" i="4"/>
  <c r="E267" i="4"/>
  <c r="E268" i="4"/>
  <c r="E270" i="4"/>
  <c r="E271" i="4"/>
  <c r="E273" i="4"/>
  <c r="E91" i="4"/>
  <c r="E193" i="4"/>
  <c r="E206" i="4"/>
  <c r="E222" i="4"/>
  <c r="E223" i="4"/>
  <c r="E224" i="4"/>
  <c r="E226" i="4"/>
  <c r="E227" i="4"/>
  <c r="E263" i="4"/>
  <c r="E264" i="4"/>
  <c r="E80" i="4"/>
  <c r="E81" i="4"/>
  <c r="E134" i="4"/>
  <c r="E79" i="4"/>
  <c r="E92" i="4"/>
  <c r="E94" i="4"/>
  <c r="E190" i="4"/>
  <c r="E191" i="4"/>
  <c r="E192" i="4"/>
  <c r="E207" i="4"/>
  <c r="E272" i="4"/>
  <c r="E22" i="4"/>
  <c r="E158" i="4"/>
  <c r="E194" i="4"/>
  <c r="E196" i="4"/>
  <c r="E199" i="4"/>
  <c r="E205" i="4"/>
  <c r="E297" i="4"/>
  <c r="E294" i="4"/>
  <c r="E295" i="4"/>
  <c r="E23" i="4"/>
  <c r="E121" i="4"/>
  <c r="E148" i="4"/>
  <c r="E165" i="4"/>
  <c r="E166" i="4"/>
  <c r="E167" i="4"/>
  <c r="E177" i="4"/>
  <c r="E178" i="4"/>
  <c r="E195" i="4"/>
  <c r="E213" i="4"/>
  <c r="E215" i="4"/>
  <c r="E254" i="4"/>
  <c r="E7" i="2"/>
  <c r="E278" i="4"/>
  <c r="E280" i="4"/>
  <c r="E20" i="4"/>
  <c r="E46" i="4"/>
  <c r="E98" i="4"/>
  <c r="E128" i="4"/>
  <c r="E141" i="4"/>
  <c r="E153" i="4"/>
  <c r="E189" i="4"/>
  <c r="E197" i="4"/>
  <c r="E202" i="4"/>
  <c r="E176" i="4"/>
  <c r="E203" i="4"/>
  <c r="E265" i="4"/>
  <c r="E21" i="4"/>
  <c r="E296" i="4"/>
  <c r="E152" i="4"/>
  <c r="E161" i="4"/>
  <c r="E260" i="4"/>
  <c r="E261" i="4"/>
  <c r="E269" i="4"/>
  <c r="E279" i="4"/>
  <c r="E13" i="2"/>
  <c r="E114" i="4"/>
  <c r="E111" i="4"/>
  <c r="E214" i="4"/>
  <c r="E225" i="4"/>
  <c r="E277" i="4"/>
  <c r="E281" i="4"/>
  <c r="E282" i="4"/>
  <c r="E283" i="4"/>
  <c r="E123" i="4"/>
  <c r="E109" i="4"/>
  <c r="E139" i="4"/>
  <c r="E150" i="4"/>
  <c r="E293" i="4"/>
  <c r="E198" i="4"/>
  <c r="E290" i="4"/>
  <c r="E16" i="4"/>
  <c r="E209" i="4"/>
  <c r="E249" i="4"/>
  <c r="E126" i="4"/>
  <c r="E146" i="4"/>
  <c r="E78" i="4"/>
  <c r="E210" i="4"/>
  <c r="E138" i="4"/>
  <c r="E144" i="4"/>
  <c r="E6" i="4"/>
  <c r="E4" i="4"/>
  <c r="E232" i="4"/>
  <c r="E284" i="4"/>
  <c r="E288" i="4"/>
  <c r="E74" i="4"/>
  <c r="E18" i="4"/>
  <c r="E229" i="4"/>
  <c r="E107" i="4"/>
  <c r="E289" i="4"/>
  <c r="E3" i="4"/>
  <c r="E228" i="4"/>
  <c r="E17" i="4"/>
  <c r="E19" i="4"/>
  <c r="E35" i="4"/>
  <c r="E5" i="4"/>
  <c r="E13" i="4"/>
  <c r="E36" i="4"/>
  <c r="E10" i="2"/>
  <c r="E7" i="4"/>
  <c r="E248" i="4"/>
  <c r="E37" i="4"/>
  <c r="E149" i="4"/>
  <c r="E15" i="4"/>
  <c r="E2" i="4"/>
  <c r="E124" i="4"/>
  <c r="E10" i="4"/>
  <c r="E50" i="4"/>
  <c r="E9" i="4"/>
  <c r="E14" i="4"/>
  <c r="E127" i="4"/>
  <c r="E11" i="4"/>
  <c r="E12" i="4"/>
  <c r="E93" i="4"/>
  <c r="E145" i="4"/>
  <c r="E160" i="4"/>
  <c r="E76" i="4"/>
  <c r="E8" i="4"/>
  <c r="E208" i="4"/>
  <c r="E159" i="4"/>
  <c r="E40" i="4"/>
  <c r="E28" i="4"/>
  <c r="E38" i="4"/>
  <c r="E75" i="4"/>
  <c r="E39" i="4"/>
  <c r="E29" i="4"/>
  <c r="E32" i="4"/>
  <c r="E95" i="4"/>
  <c r="E50" i="2"/>
  <c r="E157" i="4"/>
  <c r="E33" i="4"/>
  <c r="E30" i="4"/>
  <c r="E31" i="4"/>
  <c r="E299" i="4"/>
  <c r="E300" i="4"/>
  <c r="E301" i="4"/>
  <c r="E302" i="4"/>
  <c r="E305" i="4"/>
  <c r="E306" i="4"/>
  <c r="E307" i="4"/>
  <c r="E308" i="4"/>
  <c r="E304" i="4"/>
  <c r="E309" i="4"/>
  <c r="E312" i="4"/>
  <c r="E313" i="4"/>
  <c r="E314" i="4"/>
  <c r="E310" i="4"/>
  <c r="E51" i="2"/>
  <c r="E311" i="4"/>
  <c r="E330" i="4"/>
  <c r="E345" i="4"/>
  <c r="E343" i="4"/>
  <c r="E344" i="4"/>
  <c r="E334" i="4"/>
  <c r="E346" i="4"/>
  <c r="E333" i="4"/>
  <c r="E341" i="4"/>
  <c r="E347" i="4"/>
  <c r="E328" i="4"/>
  <c r="E331" i="4"/>
  <c r="E336" i="4"/>
  <c r="E335" i="4"/>
  <c r="E320" i="4"/>
  <c r="E322" i="4"/>
  <c r="E323" i="4"/>
  <c r="E324" i="4"/>
  <c r="E325" i="4"/>
  <c r="E326" i="4"/>
  <c r="E327" i="4"/>
  <c r="E329" i="4"/>
  <c r="E337" i="4"/>
  <c r="E338" i="4"/>
  <c r="E339" i="4"/>
  <c r="E340" i="4"/>
  <c r="E342" i="4"/>
  <c r="E332" i="4"/>
  <c r="E321" i="4"/>
  <c r="E318" i="4"/>
  <c r="E319" i="4"/>
  <c r="E317" i="4"/>
  <c r="E315" i="4"/>
  <c r="E316" i="4"/>
  <c r="E354" i="4"/>
  <c r="E348" i="4"/>
  <c r="E352" i="4"/>
  <c r="E353" i="4"/>
  <c r="E355" i="4"/>
  <c r="E356" i="4"/>
  <c r="E357" i="4"/>
  <c r="E358" i="4"/>
  <c r="E359" i="4"/>
  <c r="E360" i="4"/>
  <c r="E361" i="4"/>
  <c r="E362" i="4"/>
  <c r="E363" i="4"/>
  <c r="E364" i="4"/>
  <c r="E365" i="4"/>
  <c r="E349" i="4"/>
  <c r="E350" i="4"/>
  <c r="E351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9" i="4"/>
  <c r="E378" i="4"/>
  <c r="E381" i="4"/>
  <c r="E390" i="4"/>
  <c r="E389" i="4"/>
  <c r="E387" i="4"/>
  <c r="E388" i="4"/>
  <c r="E391" i="4"/>
  <c r="E392" i="4"/>
  <c r="E393" i="4"/>
  <c r="E394" i="4"/>
  <c r="E395" i="4"/>
  <c r="E396" i="4"/>
  <c r="E397" i="4"/>
  <c r="E398" i="4"/>
  <c r="E399" i="4"/>
  <c r="E400" i="4"/>
  <c r="E402" i="4"/>
  <c r="E403" i="4"/>
  <c r="E404" i="4"/>
  <c r="E405" i="4"/>
  <c r="E406" i="4"/>
  <c r="E407" i="4"/>
  <c r="E408" i="4"/>
  <c r="E409" i="4"/>
  <c r="E410" i="4"/>
  <c r="E411" i="4"/>
  <c r="E401" i="4"/>
  <c r="D2" i="12"/>
  <c r="F2" i="12"/>
  <c r="I49" i="4"/>
  <c r="I174" i="4"/>
  <c r="I298" i="4"/>
  <c r="I245" i="4"/>
  <c r="I276" i="4"/>
  <c r="I48" i="4"/>
  <c r="I51" i="4"/>
  <c r="I52" i="4"/>
  <c r="I54" i="4"/>
  <c r="I55" i="4"/>
  <c r="I57" i="4"/>
  <c r="I58" i="4"/>
  <c r="I59" i="4"/>
  <c r="I60" i="4"/>
  <c r="I64" i="4"/>
  <c r="I68" i="4"/>
  <c r="I69" i="4"/>
  <c r="I70" i="4"/>
  <c r="I71" i="4"/>
  <c r="I73" i="4"/>
  <c r="I86" i="4"/>
  <c r="I87" i="4"/>
  <c r="I88" i="4"/>
  <c r="I112" i="4"/>
  <c r="I116" i="4"/>
  <c r="I130" i="4"/>
  <c r="I131" i="4"/>
  <c r="I172" i="4"/>
  <c r="I247" i="4"/>
  <c r="I291" i="4"/>
  <c r="I47" i="4"/>
  <c r="I53" i="4"/>
  <c r="I56" i="4"/>
  <c r="I72" i="4"/>
  <c r="I84" i="4"/>
  <c r="I292" i="4"/>
  <c r="I137" i="4"/>
  <c r="I26" i="2"/>
  <c r="I82" i="4"/>
  <c r="I125" i="4"/>
  <c r="I262" i="4"/>
  <c r="I83" i="4"/>
  <c r="I97" i="4"/>
  <c r="I119" i="4"/>
  <c r="I136" i="4"/>
  <c r="I155" i="4"/>
  <c r="I156" i="4"/>
  <c r="I169" i="4"/>
  <c r="I173" i="4"/>
  <c r="I212" i="4"/>
  <c r="I230" i="4"/>
  <c r="I231" i="4"/>
  <c r="I233" i="4"/>
  <c r="I239" i="4"/>
  <c r="I243" i="4"/>
  <c r="I255" i="4"/>
  <c r="I62" i="4"/>
  <c r="I154" i="4"/>
  <c r="I237" i="4"/>
  <c r="I266" i="4"/>
  <c r="I41" i="4"/>
  <c r="I42" i="4"/>
  <c r="I99" i="4"/>
  <c r="I105" i="4"/>
  <c r="I110" i="4"/>
  <c r="I115" i="4"/>
  <c r="I120" i="4"/>
  <c r="I129" i="4"/>
  <c r="I168" i="4"/>
  <c r="I170" i="4"/>
  <c r="I235" i="4"/>
  <c r="I238" i="4"/>
  <c r="I244" i="4"/>
  <c r="I275" i="4"/>
  <c r="I45" i="4"/>
  <c r="I63" i="4"/>
  <c r="I101" i="4"/>
  <c r="I118" i="4"/>
  <c r="I151" i="4"/>
  <c r="I256" i="4"/>
  <c r="I43" i="4"/>
  <c r="I90" i="4"/>
  <c r="I234" i="4"/>
  <c r="I236" i="4"/>
  <c r="I241" i="4"/>
  <c r="I252" i="4"/>
  <c r="I274" i="4"/>
  <c r="I286" i="4"/>
  <c r="I44" i="4"/>
  <c r="I104" i="4"/>
  <c r="I113" i="4"/>
  <c r="I132" i="4"/>
  <c r="I147" i="4"/>
  <c r="I179" i="4"/>
  <c r="I200" i="4"/>
  <c r="I201" i="4"/>
  <c r="I216" i="4"/>
  <c r="I218" i="4"/>
  <c r="I219" i="4"/>
  <c r="I221" i="4"/>
  <c r="I267" i="4"/>
  <c r="I268" i="4"/>
  <c r="I270" i="4"/>
  <c r="I271" i="4"/>
  <c r="I273" i="4"/>
  <c r="I91" i="4"/>
  <c r="I193" i="4"/>
  <c r="I206" i="4"/>
  <c r="I222" i="4"/>
  <c r="I224" i="4"/>
  <c r="I226" i="4"/>
  <c r="I227" i="4"/>
  <c r="I264" i="4"/>
  <c r="I80" i="4"/>
  <c r="I134" i="4"/>
  <c r="I79" i="4"/>
  <c r="I92" i="4"/>
  <c r="I94" i="4"/>
  <c r="I190" i="4"/>
  <c r="I191" i="4"/>
  <c r="I192" i="4"/>
  <c r="I207" i="4"/>
  <c r="I272" i="4"/>
  <c r="I22" i="4"/>
  <c r="I158" i="4"/>
  <c r="I194" i="4"/>
  <c r="I196" i="4"/>
  <c r="I199" i="4"/>
  <c r="I205" i="4"/>
  <c r="I297" i="4"/>
  <c r="I294" i="4"/>
  <c r="I295" i="4"/>
  <c r="I23" i="4"/>
  <c r="I121" i="4"/>
  <c r="I148" i="4"/>
  <c r="I165" i="4"/>
  <c r="I166" i="4"/>
  <c r="I167" i="4"/>
  <c r="I195" i="4"/>
  <c r="I213" i="4"/>
  <c r="I215" i="4"/>
  <c r="I254" i="4"/>
  <c r="I278" i="4"/>
  <c r="I280" i="4"/>
  <c r="I20" i="4"/>
  <c r="I46" i="4"/>
  <c r="I153" i="4"/>
  <c r="I180" i="4"/>
  <c r="I197" i="4"/>
  <c r="I202" i="4"/>
  <c r="I203" i="4"/>
  <c r="I265" i="4"/>
  <c r="I21" i="4"/>
  <c r="I296" i="4"/>
  <c r="I161" i="4"/>
  <c r="I260" i="4"/>
  <c r="I261" i="4"/>
  <c r="I269" i="4"/>
  <c r="I279" i="4"/>
  <c r="I111" i="4"/>
  <c r="I214" i="4"/>
  <c r="I277" i="4"/>
  <c r="I281" i="4"/>
  <c r="I282" i="4"/>
  <c r="I283" i="4"/>
  <c r="I109" i="4"/>
  <c r="I150" i="4"/>
  <c r="I204" i="4"/>
  <c r="I293" i="4"/>
  <c r="I198" i="4"/>
  <c r="I290" i="4"/>
  <c r="I16" i="4"/>
  <c r="I209" i="4"/>
  <c r="I78" i="4"/>
  <c r="I138" i="4"/>
  <c r="I144" i="4"/>
  <c r="I85" i="4"/>
  <c r="I6" i="4"/>
  <c r="I4" i="4"/>
  <c r="I232" i="4"/>
  <c r="I284" i="4"/>
  <c r="I288" i="4"/>
  <c r="I74" i="4"/>
  <c r="I142" i="4"/>
  <c r="I18" i="4"/>
  <c r="I229" i="4"/>
  <c r="I107" i="4"/>
  <c r="I289" i="4"/>
  <c r="I228" i="4"/>
  <c r="I17" i="4"/>
  <c r="I19" i="4"/>
  <c r="I35" i="4"/>
  <c r="I5" i="4"/>
  <c r="I13" i="4"/>
  <c r="I36" i="4"/>
  <c r="I211" i="4"/>
  <c r="I10" i="2"/>
  <c r="I7" i="4"/>
  <c r="I248" i="4"/>
  <c r="I37" i="4"/>
  <c r="I15" i="4"/>
  <c r="I2" i="4"/>
  <c r="I10" i="4"/>
  <c r="I50" i="4"/>
  <c r="I9" i="4"/>
  <c r="I14" i="4"/>
  <c r="I11" i="4"/>
  <c r="I102" i="4"/>
  <c r="I12" i="4"/>
  <c r="I93" i="4"/>
  <c r="I13" i="2"/>
  <c r="I160" i="4"/>
  <c r="I76" i="4"/>
  <c r="I8" i="4"/>
  <c r="I208" i="4"/>
  <c r="I159" i="4"/>
  <c r="I40" i="4"/>
  <c r="I28" i="4"/>
  <c r="I38" i="4"/>
  <c r="I75" i="4"/>
  <c r="I39" i="4"/>
  <c r="I29" i="4"/>
  <c r="I32" i="4"/>
  <c r="I95" i="4"/>
  <c r="I157" i="4"/>
  <c r="I33" i="4"/>
  <c r="I30" i="4"/>
  <c r="H2" i="12"/>
  <c r="J2" i="12"/>
  <c r="M34" i="4"/>
  <c r="M177" i="4"/>
  <c r="M117" i="4"/>
  <c r="M128" i="4"/>
  <c r="M141" i="4"/>
  <c r="M189" i="4"/>
  <c r="M176" i="4"/>
  <c r="M66" i="4"/>
  <c r="M390" i="4"/>
  <c r="M389" i="4"/>
  <c r="M387" i="4"/>
  <c r="M388" i="4"/>
  <c r="M391" i="4"/>
  <c r="M392" i="4"/>
  <c r="M393" i="4"/>
  <c r="M394" i="4"/>
  <c r="M395" i="4"/>
  <c r="M396" i="4"/>
  <c r="M397" i="4"/>
  <c r="M398" i="4"/>
  <c r="M399" i="4"/>
  <c r="M400" i="4"/>
  <c r="M402" i="4"/>
  <c r="M403" i="4"/>
  <c r="M404" i="4"/>
  <c r="M405" i="4"/>
  <c r="M406" i="4"/>
  <c r="M407" i="4"/>
  <c r="M408" i="4"/>
  <c r="M409" i="4"/>
  <c r="M410" i="4"/>
  <c r="M411" i="4"/>
  <c r="M401" i="4"/>
  <c r="L2" i="12"/>
  <c r="N2" i="12"/>
  <c r="Q276" i="4"/>
  <c r="Q250" i="4"/>
  <c r="Q96" i="4"/>
  <c r="P2" i="12"/>
  <c r="R2" i="12"/>
  <c r="V2" i="12"/>
  <c r="Y347" i="4"/>
  <c r="Y369" i="4"/>
  <c r="B384" i="4"/>
  <c r="C384" i="4"/>
  <c r="B383" i="4"/>
  <c r="C383" i="4"/>
  <c r="B386" i="4"/>
  <c r="C386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6" i="4"/>
  <c r="AI307" i="4"/>
  <c r="AI308" i="4"/>
  <c r="AI309" i="4"/>
  <c r="AI312" i="4"/>
  <c r="AI313" i="4"/>
  <c r="AI314" i="4"/>
  <c r="AI310" i="4"/>
  <c r="AI311" i="4"/>
  <c r="AI330" i="4"/>
  <c r="AI345" i="4"/>
  <c r="AI343" i="4"/>
  <c r="AI344" i="4"/>
  <c r="AI334" i="4"/>
  <c r="AI346" i="4"/>
  <c r="AI333" i="4"/>
  <c r="AI341" i="4"/>
  <c r="AI347" i="4"/>
  <c r="AI328" i="4"/>
  <c r="AI331" i="4"/>
  <c r="AI336" i="4"/>
  <c r="AI335" i="4"/>
  <c r="AI320" i="4"/>
  <c r="AI322" i="4"/>
  <c r="AI323" i="4"/>
  <c r="AI324" i="4"/>
  <c r="AI325" i="4"/>
  <c r="AI326" i="4"/>
  <c r="AI327" i="4"/>
  <c r="AI329" i="4"/>
  <c r="AI337" i="4"/>
  <c r="AI338" i="4"/>
  <c r="AI339" i="4"/>
  <c r="AI340" i="4"/>
  <c r="AI342" i="4"/>
  <c r="AI332" i="4"/>
  <c r="AI321" i="4"/>
  <c r="AI318" i="4"/>
  <c r="AI319" i="4"/>
  <c r="AI317" i="4"/>
  <c r="AI315" i="4"/>
  <c r="AI316" i="4"/>
  <c r="AI354" i="4"/>
  <c r="AI348" i="4"/>
  <c r="AI352" i="4"/>
  <c r="AI353" i="4"/>
  <c r="AI355" i="4"/>
  <c r="AI356" i="4"/>
  <c r="AI357" i="4"/>
  <c r="AI358" i="4"/>
  <c r="AI359" i="4"/>
  <c r="AI360" i="4"/>
  <c r="AI361" i="4"/>
  <c r="AI362" i="4"/>
  <c r="AI363" i="4"/>
  <c r="AI364" i="4"/>
  <c r="AI365" i="4"/>
  <c r="AI349" i="4"/>
  <c r="AI350" i="4"/>
  <c r="AI351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9" i="4"/>
  <c r="AI378" i="4"/>
  <c r="AI381" i="4"/>
  <c r="AI384" i="4"/>
  <c r="AI383" i="4"/>
  <c r="AI385" i="4"/>
  <c r="AI386" i="4"/>
  <c r="AI382" i="4"/>
  <c r="AI390" i="4"/>
  <c r="AI389" i="4"/>
  <c r="AI387" i="4"/>
  <c r="AI388" i="4"/>
  <c r="AI391" i="4"/>
  <c r="AI392" i="4"/>
  <c r="AI393" i="4"/>
  <c r="AI394" i="4"/>
  <c r="AI395" i="4"/>
  <c r="AI396" i="4"/>
  <c r="AI397" i="4"/>
  <c r="AI398" i="4"/>
  <c r="AI399" i="4"/>
  <c r="AI400" i="4"/>
  <c r="AI402" i="4"/>
  <c r="AI403" i="4"/>
  <c r="AI404" i="4"/>
  <c r="AI405" i="4"/>
  <c r="AI406" i="4"/>
  <c r="AI407" i="4"/>
  <c r="AI408" i="4"/>
  <c r="AI409" i="4"/>
  <c r="AI410" i="4"/>
  <c r="AI411" i="4"/>
  <c r="AI40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184" i="4"/>
  <c r="AC24" i="4"/>
  <c r="AC117" i="4"/>
  <c r="AC128" i="4"/>
  <c r="AC133" i="4"/>
  <c r="AC141" i="4"/>
  <c r="AC185" i="4"/>
  <c r="AC187" i="4"/>
  <c r="AC188" i="4"/>
  <c r="AC101" i="4"/>
  <c r="AC114" i="4"/>
  <c r="AC122" i="4"/>
  <c r="AC140" i="4"/>
  <c r="AC20" i="4"/>
  <c r="AC21" i="4"/>
  <c r="AC22" i="4"/>
  <c r="AC23" i="4"/>
  <c r="AC25" i="4"/>
  <c r="AC27" i="4"/>
  <c r="AC52" i="4"/>
  <c r="AC53" i="4"/>
  <c r="AC55" i="4"/>
  <c r="AC56" i="4"/>
  <c r="AC58" i="4"/>
  <c r="AC59" i="4"/>
  <c r="AC60" i="4"/>
  <c r="AC67" i="4"/>
  <c r="AC68" i="4"/>
  <c r="AC69" i="4"/>
  <c r="AC70" i="4"/>
  <c r="AC71" i="4"/>
  <c r="AC72" i="4"/>
  <c r="AC73" i="4"/>
  <c r="AC293" i="4"/>
  <c r="AC115" i="4"/>
  <c r="AC287" i="4"/>
  <c r="AC291" i="4"/>
  <c r="AC51" i="4"/>
  <c r="AC54" i="4"/>
  <c r="AC57" i="4"/>
  <c r="AC65" i="4"/>
  <c r="AC66" i="4"/>
  <c r="AC74" i="4"/>
  <c r="AC78" i="4"/>
  <c r="AC85" i="4"/>
  <c r="AC296" i="4"/>
  <c r="AC292" i="4"/>
  <c r="AC110" i="4"/>
  <c r="AC120" i="4"/>
  <c r="AC130" i="4"/>
  <c r="AC160" i="4"/>
  <c r="AC165" i="4"/>
  <c r="AC166" i="4"/>
  <c r="AC167" i="4"/>
  <c r="AC168" i="4"/>
  <c r="AC169" i="4"/>
  <c r="AC170" i="4"/>
  <c r="AC172" i="4"/>
  <c r="AC173" i="4"/>
  <c r="AC181" i="4"/>
  <c r="AC200" i="4"/>
  <c r="AC201" i="4"/>
  <c r="AC216" i="4"/>
  <c r="AC217" i="4"/>
  <c r="AC218" i="4"/>
  <c r="AC219" i="4"/>
  <c r="AC220" i="4"/>
  <c r="AC221" i="4"/>
  <c r="AC238" i="4"/>
  <c r="AC248" i="4"/>
  <c r="AC265" i="4"/>
  <c r="AC266" i="4"/>
  <c r="AC267" i="4"/>
  <c r="AC268" i="4"/>
  <c r="AC269" i="4"/>
  <c r="AC270" i="4"/>
  <c r="AC271" i="4"/>
  <c r="AC272" i="4"/>
  <c r="AC273" i="4"/>
  <c r="AC274" i="4"/>
  <c r="AC275" i="4"/>
  <c r="AC286" i="4"/>
  <c r="AC8" i="4"/>
  <c r="AC9" i="4"/>
  <c r="AC10" i="4"/>
  <c r="AC11" i="4"/>
  <c r="AC12" i="4"/>
  <c r="AC16" i="4"/>
  <c r="AC18" i="4"/>
  <c r="AC26" i="4"/>
  <c r="AC28" i="4"/>
  <c r="AC29" i="4"/>
  <c r="AC30" i="4"/>
  <c r="AC31" i="4"/>
  <c r="AC32" i="4"/>
  <c r="AC33" i="4"/>
  <c r="AC35" i="4"/>
  <c r="AC36" i="4"/>
  <c r="AC37" i="4"/>
  <c r="AC38" i="4"/>
  <c r="AC39" i="4"/>
  <c r="AC40" i="4"/>
  <c r="AC2" i="4"/>
  <c r="AC3" i="4"/>
  <c r="AC4" i="4"/>
  <c r="AC5" i="4"/>
  <c r="AC41" i="4"/>
  <c r="AC42" i="4"/>
  <c r="AC43" i="4"/>
  <c r="AC44" i="4"/>
  <c r="AC45" i="4"/>
  <c r="AC46" i="4"/>
  <c r="AC47" i="4"/>
  <c r="AC48" i="4"/>
  <c r="AC49" i="4"/>
  <c r="AC50" i="4"/>
  <c r="AC62" i="4"/>
  <c r="AC63" i="4"/>
  <c r="AC64" i="4"/>
  <c r="AC75" i="4"/>
  <c r="AC80" i="4"/>
  <c r="AC81" i="4"/>
  <c r="AC82" i="4"/>
  <c r="AC83" i="4"/>
  <c r="AC84" i="4"/>
  <c r="AC86" i="4"/>
  <c r="AC87" i="4"/>
  <c r="AC88" i="4"/>
  <c r="AC90" i="4"/>
  <c r="AC91" i="4"/>
  <c r="AC92" i="4"/>
  <c r="AC93" i="4"/>
  <c r="AC94" i="4"/>
  <c r="AC95" i="4"/>
  <c r="AC96" i="4"/>
  <c r="AC97" i="4"/>
  <c r="AC104" i="4"/>
  <c r="AC105" i="4"/>
  <c r="AC107" i="4"/>
  <c r="AC108" i="4"/>
  <c r="AC112" i="4"/>
  <c r="AC113" i="4"/>
  <c r="AC116" i="4"/>
  <c r="AC118" i="4"/>
  <c r="AC119" i="4"/>
  <c r="AC121" i="4"/>
  <c r="AC123" i="4"/>
  <c r="AC124" i="4"/>
  <c r="AC125" i="4"/>
  <c r="AC126" i="4"/>
  <c r="AC129" i="4"/>
  <c r="AC131" i="4"/>
  <c r="AC132" i="4"/>
  <c r="AC134" i="4"/>
  <c r="AC136" i="4"/>
  <c r="AC137" i="4"/>
  <c r="AC138" i="4"/>
  <c r="AC139" i="4"/>
  <c r="AC144" i="4"/>
  <c r="AC146" i="4"/>
  <c r="AC148" i="4"/>
  <c r="AC149" i="4"/>
  <c r="AC151" i="4"/>
  <c r="AC153" i="4"/>
  <c r="AC154" i="4"/>
  <c r="AC155" i="4"/>
  <c r="AC156" i="4"/>
  <c r="AC157" i="4"/>
  <c r="AC158" i="4"/>
  <c r="AC159" i="4"/>
  <c r="AC161" i="4"/>
  <c r="AC175" i="4"/>
  <c r="AC179" i="4"/>
  <c r="AC180" i="4"/>
  <c r="AC182" i="4"/>
  <c r="AC183" i="4"/>
  <c r="AC186" i="4"/>
  <c r="AC190" i="4"/>
  <c r="AC191" i="4"/>
  <c r="AC192" i="4"/>
  <c r="AC193" i="4"/>
  <c r="AC194" i="4"/>
  <c r="AC195" i="4"/>
  <c r="AC196" i="4"/>
  <c r="AC197" i="4"/>
  <c r="AC202" i="4"/>
  <c r="AC203" i="4"/>
  <c r="AC204" i="4"/>
  <c r="AC205" i="4"/>
  <c r="AC206" i="4"/>
  <c r="AC207" i="4"/>
  <c r="AC208" i="4"/>
  <c r="AC297" i="4"/>
  <c r="AC212" i="4"/>
  <c r="AC213" i="4"/>
  <c r="AC214" i="4"/>
  <c r="AC215" i="4"/>
  <c r="AC222" i="4"/>
  <c r="AC223" i="4"/>
  <c r="AC224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9" i="4"/>
  <c r="AC240" i="4"/>
  <c r="AC241" i="4"/>
  <c r="AC242" i="4"/>
  <c r="AC243" i="4"/>
  <c r="AC244" i="4"/>
  <c r="AC298" i="4"/>
  <c r="AC245" i="4"/>
  <c r="AC247" i="4"/>
  <c r="AC251" i="4"/>
  <c r="AC255" i="4"/>
  <c r="AC256" i="4"/>
  <c r="AC260" i="4"/>
  <c r="AC261" i="4"/>
  <c r="AC262" i="4"/>
  <c r="AC277" i="4"/>
  <c r="AC278" i="4"/>
  <c r="AC279" i="4"/>
  <c r="AC280" i="4"/>
  <c r="AC281" i="4"/>
  <c r="AC282" i="4"/>
  <c r="AC283" i="4"/>
  <c r="AC284" i="4"/>
  <c r="AC288" i="4"/>
  <c r="AC289" i="4"/>
  <c r="AC290" i="4"/>
  <c r="AC13" i="4"/>
  <c r="AC14" i="4"/>
  <c r="AC15" i="4"/>
  <c r="AC17" i="4"/>
  <c r="AC19" i="4"/>
  <c r="AC76" i="4"/>
  <c r="AC99" i="4"/>
  <c r="AC100" i="4"/>
  <c r="AC109" i="4"/>
  <c r="AC145" i="4"/>
  <c r="AC150" i="4"/>
  <c r="AC174" i="4"/>
  <c r="AC198" i="4"/>
  <c r="AC199" i="4"/>
  <c r="AC225" i="4"/>
  <c r="AC254" i="4"/>
  <c r="AC103" i="4"/>
  <c r="AC106" i="4"/>
  <c r="AC135" i="4"/>
  <c r="AC142" i="4"/>
  <c r="AC209" i="4"/>
  <c r="AC210" i="4"/>
  <c r="AC211" i="4"/>
  <c r="AC294" i="4"/>
  <c r="AC295" i="4"/>
  <c r="AC6" i="4"/>
  <c r="AC111" i="4"/>
  <c r="AC143" i="4"/>
  <c r="AC7" i="4"/>
  <c r="AC127" i="4"/>
  <c r="AC147" i="4"/>
  <c r="AC249" i="4"/>
  <c r="AC250" i="4"/>
  <c r="AC252" i="4"/>
  <c r="AC276" i="4"/>
  <c r="AC79" i="4"/>
  <c r="AC177" i="4"/>
  <c r="AC253" i="4"/>
  <c r="AC34" i="4"/>
  <c r="AC176" i="4"/>
  <c r="AC178" i="4"/>
  <c r="AC189" i="4"/>
  <c r="AC246" i="4"/>
  <c r="AC89" i="4"/>
  <c r="AC162" i="4"/>
  <c r="AC163" i="4"/>
  <c r="AC164" i="4"/>
  <c r="AC171" i="4"/>
  <c r="AC263" i="4"/>
  <c r="AC264" i="4"/>
  <c r="AC285" i="4"/>
  <c r="AC98" i="4"/>
  <c r="AC152" i="4"/>
  <c r="AC102" i="4"/>
  <c r="AC302" i="4"/>
  <c r="AC301" i="4"/>
  <c r="AC299" i="4"/>
  <c r="AC300" i="4"/>
  <c r="AC304" i="4"/>
  <c r="AC309" i="4"/>
  <c r="AC312" i="4"/>
  <c r="AC313" i="4"/>
  <c r="AC314" i="4"/>
  <c r="AC305" i="4"/>
  <c r="AC306" i="4"/>
  <c r="AC307" i="4"/>
  <c r="AC308" i="4"/>
  <c r="AC311" i="4"/>
  <c r="AC310" i="4"/>
  <c r="AC318" i="4"/>
  <c r="AC319" i="4"/>
  <c r="AC320" i="4"/>
  <c r="AC321" i="4"/>
  <c r="AC322" i="4"/>
  <c r="AC323" i="4"/>
  <c r="AC324" i="4"/>
  <c r="AC325" i="4"/>
  <c r="AC337" i="4"/>
  <c r="AC338" i="4"/>
  <c r="AC339" i="4"/>
  <c r="AC340" i="4"/>
  <c r="AC341" i="4"/>
  <c r="AC343" i="4"/>
  <c r="AC344" i="4"/>
  <c r="AC345" i="4"/>
  <c r="AC315" i="4"/>
  <c r="AC316" i="4"/>
  <c r="AC317" i="4"/>
  <c r="AC330" i="4"/>
  <c r="AC331" i="4"/>
  <c r="AC332" i="4"/>
  <c r="AC333" i="4"/>
  <c r="AC342" i="4"/>
  <c r="AC335" i="4"/>
  <c r="AC346" i="4"/>
  <c r="AC334" i="4"/>
  <c r="AC327" i="4"/>
  <c r="AC326" i="4"/>
  <c r="AC347" i="4"/>
  <c r="AC328" i="4"/>
  <c r="AC329" i="4"/>
  <c r="AC336" i="4"/>
  <c r="AC348" i="4"/>
  <c r="AC352" i="4"/>
  <c r="AC353" i="4"/>
  <c r="AC366" i="4"/>
  <c r="AC367" i="4"/>
  <c r="AC368" i="4"/>
  <c r="AC354" i="4"/>
  <c r="AC355" i="4"/>
  <c r="AC356" i="4"/>
  <c r="AC357" i="4"/>
  <c r="AC358" i="4"/>
  <c r="AC359" i="4"/>
  <c r="AC360" i="4"/>
  <c r="AC361" i="4"/>
  <c r="AC362" i="4"/>
  <c r="AC369" i="4"/>
  <c r="AC363" i="4"/>
  <c r="AC364" i="4"/>
  <c r="AC365" i="4"/>
  <c r="AC351" i="4"/>
  <c r="AC349" i="4"/>
  <c r="AC350" i="4"/>
  <c r="AC375" i="4"/>
  <c r="AC371" i="4"/>
  <c r="AC379" i="4"/>
  <c r="AC370" i="4"/>
  <c r="AC372" i="4"/>
  <c r="AC374" i="4"/>
  <c r="AC377" i="4"/>
  <c r="AC381" i="4"/>
  <c r="AC373" i="4"/>
  <c r="AC376" i="4"/>
  <c r="AC378" i="4"/>
  <c r="AC386" i="4"/>
  <c r="AC385" i="4"/>
  <c r="AC383" i="4"/>
  <c r="AC384" i="4"/>
  <c r="AC382" i="4"/>
  <c r="AC390" i="4"/>
  <c r="AC405" i="4"/>
  <c r="AC408" i="4"/>
  <c r="AC391" i="4"/>
  <c r="AC392" i="4"/>
  <c r="AC393" i="4"/>
  <c r="AC394" i="4"/>
  <c r="AC400" i="4"/>
  <c r="AC401" i="4"/>
  <c r="AC402" i="4"/>
  <c r="AC403" i="4"/>
  <c r="AC407" i="4"/>
  <c r="AC387" i="4"/>
  <c r="AC388" i="4"/>
  <c r="AC389" i="4"/>
  <c r="AC396" i="4"/>
  <c r="AC397" i="4"/>
  <c r="AC398" i="4"/>
  <c r="AC399" i="4"/>
  <c r="AC404" i="4"/>
  <c r="AC406" i="4"/>
  <c r="AC409" i="4"/>
  <c r="AC410" i="4"/>
  <c r="AC411" i="4"/>
  <c r="AC395" i="4"/>
  <c r="AC61" i="4"/>
  <c r="AD61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184" i="4"/>
  <c r="AD24" i="4"/>
  <c r="AD117" i="4"/>
  <c r="AD128" i="4"/>
  <c r="AD133" i="4"/>
  <c r="AD141" i="4"/>
  <c r="AD185" i="4"/>
  <c r="AD187" i="4"/>
  <c r="AD188" i="4"/>
  <c r="AD101" i="4"/>
  <c r="AD114" i="4"/>
  <c r="AD122" i="4"/>
  <c r="AD140" i="4"/>
  <c r="AD20" i="4"/>
  <c r="AD21" i="4"/>
  <c r="AD22" i="4"/>
  <c r="AD23" i="4"/>
  <c r="AD25" i="4"/>
  <c r="AD27" i="4"/>
  <c r="AD52" i="4"/>
  <c r="AD53" i="4"/>
  <c r="AD55" i="4"/>
  <c r="AD56" i="4"/>
  <c r="AD58" i="4"/>
  <c r="AD59" i="4"/>
  <c r="AD60" i="4"/>
  <c r="AD67" i="4"/>
  <c r="AD68" i="4"/>
  <c r="AD69" i="4"/>
  <c r="AD70" i="4"/>
  <c r="AD71" i="4"/>
  <c r="AD72" i="4"/>
  <c r="AD73" i="4"/>
  <c r="AD293" i="4"/>
  <c r="AD115" i="4"/>
  <c r="AD287" i="4"/>
  <c r="AD291" i="4"/>
  <c r="AD51" i="4"/>
  <c r="AD54" i="4"/>
  <c r="AD57" i="4"/>
  <c r="AD65" i="4"/>
  <c r="AD66" i="4"/>
  <c r="AD74" i="4"/>
  <c r="AD78" i="4"/>
  <c r="AD85" i="4"/>
  <c r="AD296" i="4"/>
  <c r="AD292" i="4"/>
  <c r="AD110" i="4"/>
  <c r="AD120" i="4"/>
  <c r="AD130" i="4"/>
  <c r="AD160" i="4"/>
  <c r="AD165" i="4"/>
  <c r="AD166" i="4"/>
  <c r="AD167" i="4"/>
  <c r="AD168" i="4"/>
  <c r="AD169" i="4"/>
  <c r="AD170" i="4"/>
  <c r="AD172" i="4"/>
  <c r="AD173" i="4"/>
  <c r="AD181" i="4"/>
  <c r="AD200" i="4"/>
  <c r="AD201" i="4"/>
  <c r="AD216" i="4"/>
  <c r="AD217" i="4"/>
  <c r="AD218" i="4"/>
  <c r="AD219" i="4"/>
  <c r="AD220" i="4"/>
  <c r="AD221" i="4"/>
  <c r="AD238" i="4"/>
  <c r="AD248" i="4"/>
  <c r="AD265" i="4"/>
  <c r="AD266" i="4"/>
  <c r="AD267" i="4"/>
  <c r="AD268" i="4"/>
  <c r="AD269" i="4"/>
  <c r="AD270" i="4"/>
  <c r="AD271" i="4"/>
  <c r="AD272" i="4"/>
  <c r="AD273" i="4"/>
  <c r="AD274" i="4"/>
  <c r="AD275" i="4"/>
  <c r="AD286" i="4"/>
  <c r="AD8" i="4"/>
  <c r="AD9" i="4"/>
  <c r="AD10" i="4"/>
  <c r="AD11" i="4"/>
  <c r="AD12" i="4"/>
  <c r="AD16" i="4"/>
  <c r="AD18" i="4"/>
  <c r="AD26" i="4"/>
  <c r="AD28" i="4"/>
  <c r="AD29" i="4"/>
  <c r="AD30" i="4"/>
  <c r="AD31" i="4"/>
  <c r="AD32" i="4"/>
  <c r="AD33" i="4"/>
  <c r="AD35" i="4"/>
  <c r="AD36" i="4"/>
  <c r="AD37" i="4"/>
  <c r="AD38" i="4"/>
  <c r="AD39" i="4"/>
  <c r="AD40" i="4"/>
  <c r="AD2" i="4"/>
  <c r="AD3" i="4"/>
  <c r="AD4" i="4"/>
  <c r="AD5" i="4"/>
  <c r="AD41" i="4"/>
  <c r="AD42" i="4"/>
  <c r="AD43" i="4"/>
  <c r="AD44" i="4"/>
  <c r="AD45" i="4"/>
  <c r="AD46" i="4"/>
  <c r="AD47" i="4"/>
  <c r="AD48" i="4"/>
  <c r="AD49" i="4"/>
  <c r="AD50" i="4"/>
  <c r="AD62" i="4"/>
  <c r="AD63" i="4"/>
  <c r="AD64" i="4"/>
  <c r="AD75" i="4"/>
  <c r="AD80" i="4"/>
  <c r="AD81" i="4"/>
  <c r="AD82" i="4"/>
  <c r="AD83" i="4"/>
  <c r="AD84" i="4"/>
  <c r="AD86" i="4"/>
  <c r="AD87" i="4"/>
  <c r="AD88" i="4"/>
  <c r="AD90" i="4"/>
  <c r="AD91" i="4"/>
  <c r="AD92" i="4"/>
  <c r="AD93" i="4"/>
  <c r="AD94" i="4"/>
  <c r="AD95" i="4"/>
  <c r="AD96" i="4"/>
  <c r="AD97" i="4"/>
  <c r="AD104" i="4"/>
  <c r="AD105" i="4"/>
  <c r="AD107" i="4"/>
  <c r="AD108" i="4"/>
  <c r="AD112" i="4"/>
  <c r="AD113" i="4"/>
  <c r="AD116" i="4"/>
  <c r="AD118" i="4"/>
  <c r="AD119" i="4"/>
  <c r="AD121" i="4"/>
  <c r="AD123" i="4"/>
  <c r="AD124" i="4"/>
  <c r="AD125" i="4"/>
  <c r="AD126" i="4"/>
  <c r="AD129" i="4"/>
  <c r="AD131" i="4"/>
  <c r="AD132" i="4"/>
  <c r="AD134" i="4"/>
  <c r="AD136" i="4"/>
  <c r="AD137" i="4"/>
  <c r="AD138" i="4"/>
  <c r="AD139" i="4"/>
  <c r="AD144" i="4"/>
  <c r="AD146" i="4"/>
  <c r="AD148" i="4"/>
  <c r="AD149" i="4"/>
  <c r="AD151" i="4"/>
  <c r="AD153" i="4"/>
  <c r="AD154" i="4"/>
  <c r="AD155" i="4"/>
  <c r="AD156" i="4"/>
  <c r="AD157" i="4"/>
  <c r="AD158" i="4"/>
  <c r="AD159" i="4"/>
  <c r="AD161" i="4"/>
  <c r="AD175" i="4"/>
  <c r="AD179" i="4"/>
  <c r="AD180" i="4"/>
  <c r="AD182" i="4"/>
  <c r="AD183" i="4"/>
  <c r="AD186" i="4"/>
  <c r="AD190" i="4"/>
  <c r="AD191" i="4"/>
  <c r="AD192" i="4"/>
  <c r="AD193" i="4"/>
  <c r="AD194" i="4"/>
  <c r="AD195" i="4"/>
  <c r="AD196" i="4"/>
  <c r="AD197" i="4"/>
  <c r="AD202" i="4"/>
  <c r="AD203" i="4"/>
  <c r="AD204" i="4"/>
  <c r="AD205" i="4"/>
  <c r="AD206" i="4"/>
  <c r="AD207" i="4"/>
  <c r="AD208" i="4"/>
  <c r="AD297" i="4"/>
  <c r="AD212" i="4"/>
  <c r="AD213" i="4"/>
  <c r="AD214" i="4"/>
  <c r="AD215" i="4"/>
  <c r="AD222" i="4"/>
  <c r="AD223" i="4"/>
  <c r="AD224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9" i="4"/>
  <c r="AD240" i="4"/>
  <c r="AD241" i="4"/>
  <c r="AD242" i="4"/>
  <c r="AD243" i="4"/>
  <c r="AD244" i="4"/>
  <c r="AD298" i="4"/>
  <c r="AD245" i="4"/>
  <c r="AD247" i="4"/>
  <c r="AD251" i="4"/>
  <c r="AD255" i="4"/>
  <c r="AD256" i="4"/>
  <c r="AD260" i="4"/>
  <c r="AD261" i="4"/>
  <c r="AD262" i="4"/>
  <c r="AD277" i="4"/>
  <c r="AD278" i="4"/>
  <c r="AD279" i="4"/>
  <c r="AD280" i="4"/>
  <c r="AD281" i="4"/>
  <c r="AD282" i="4"/>
  <c r="AD283" i="4"/>
  <c r="AD284" i="4"/>
  <c r="AD288" i="4"/>
  <c r="AD289" i="4"/>
  <c r="AD290" i="4"/>
  <c r="AD13" i="4"/>
  <c r="AD14" i="4"/>
  <c r="AD15" i="4"/>
  <c r="AD17" i="4"/>
  <c r="AD19" i="4"/>
  <c r="AD76" i="4"/>
  <c r="AD99" i="4"/>
  <c r="AD100" i="4"/>
  <c r="AD109" i="4"/>
  <c r="AD145" i="4"/>
  <c r="AD150" i="4"/>
  <c r="AD174" i="4"/>
  <c r="AD198" i="4"/>
  <c r="AD199" i="4"/>
  <c r="AD225" i="4"/>
  <c r="AD254" i="4"/>
  <c r="AD103" i="4"/>
  <c r="AD106" i="4"/>
  <c r="AD135" i="4"/>
  <c r="AD142" i="4"/>
  <c r="AD209" i="4"/>
  <c r="AD210" i="4"/>
  <c r="AD211" i="4"/>
  <c r="AD294" i="4"/>
  <c r="AD295" i="4"/>
  <c r="AD6" i="4"/>
  <c r="AD111" i="4"/>
  <c r="AD143" i="4"/>
  <c r="AD7" i="4"/>
  <c r="AD127" i="4"/>
  <c r="AD147" i="4"/>
  <c r="AD249" i="4"/>
  <c r="AD250" i="4"/>
  <c r="AD252" i="4"/>
  <c r="AD276" i="4"/>
  <c r="AD79" i="4"/>
  <c r="AD177" i="4"/>
  <c r="AD253" i="4"/>
  <c r="AD34" i="4"/>
  <c r="AD176" i="4"/>
  <c r="AD178" i="4"/>
  <c r="AD189" i="4"/>
  <c r="AD246" i="4"/>
  <c r="AD89" i="4"/>
  <c r="AD162" i="4"/>
  <c r="AD163" i="4"/>
  <c r="AD164" i="4"/>
  <c r="AD171" i="4"/>
  <c r="AD263" i="4"/>
  <c r="AD264" i="4"/>
  <c r="AD285" i="4"/>
  <c r="AD98" i="4"/>
  <c r="AD152" i="4"/>
  <c r="AD102" i="4"/>
  <c r="AD302" i="4"/>
  <c r="AD301" i="4"/>
  <c r="AD299" i="4"/>
  <c r="AD300" i="4"/>
  <c r="AD304" i="4"/>
  <c r="AD309" i="4"/>
  <c r="AD312" i="4"/>
  <c r="AD313" i="4"/>
  <c r="AD314" i="4"/>
  <c r="AD305" i="4"/>
  <c r="AD306" i="4"/>
  <c r="AD307" i="4"/>
  <c r="AD308" i="4"/>
  <c r="AD311" i="4"/>
  <c r="AD310" i="4"/>
  <c r="AD318" i="4"/>
  <c r="AD319" i="4"/>
  <c r="AD320" i="4"/>
  <c r="AD321" i="4"/>
  <c r="AD322" i="4"/>
  <c r="AD323" i="4"/>
  <c r="AD324" i="4"/>
  <c r="AD325" i="4"/>
  <c r="AD337" i="4"/>
  <c r="AD338" i="4"/>
  <c r="AD339" i="4"/>
  <c r="AD340" i="4"/>
  <c r="AD341" i="4"/>
  <c r="AD343" i="4"/>
  <c r="AD344" i="4"/>
  <c r="AD345" i="4"/>
  <c r="AD315" i="4"/>
  <c r="AD316" i="4"/>
  <c r="AD317" i="4"/>
  <c r="AD330" i="4"/>
  <c r="AD331" i="4"/>
  <c r="AD332" i="4"/>
  <c r="AD333" i="4"/>
  <c r="AD342" i="4"/>
  <c r="AD335" i="4"/>
  <c r="AD346" i="4"/>
  <c r="AD334" i="4"/>
  <c r="AD327" i="4"/>
  <c r="AD326" i="4"/>
  <c r="AD347" i="4"/>
  <c r="AD328" i="4"/>
  <c r="AD329" i="4"/>
  <c r="AD336" i="4"/>
  <c r="AD348" i="4"/>
  <c r="AD352" i="4"/>
  <c r="AD353" i="4"/>
  <c r="AD366" i="4"/>
  <c r="AD367" i="4"/>
  <c r="AD368" i="4"/>
  <c r="AD354" i="4"/>
  <c r="AD355" i="4"/>
  <c r="AD356" i="4"/>
  <c r="AD357" i="4"/>
  <c r="AD358" i="4"/>
  <c r="AD359" i="4"/>
  <c r="AD360" i="4"/>
  <c r="AD361" i="4"/>
  <c r="AD362" i="4"/>
  <c r="AD369" i="4"/>
  <c r="AD363" i="4"/>
  <c r="AD364" i="4"/>
  <c r="AD365" i="4"/>
  <c r="AD351" i="4"/>
  <c r="AD349" i="4"/>
  <c r="AD350" i="4"/>
  <c r="AD375" i="4"/>
  <c r="AD371" i="4"/>
  <c r="AD379" i="4"/>
  <c r="AD370" i="4"/>
  <c r="AD372" i="4"/>
  <c r="AD374" i="4"/>
  <c r="AD377" i="4"/>
  <c r="AD381" i="4"/>
  <c r="AD373" i="4"/>
  <c r="AD376" i="4"/>
  <c r="AD378" i="4"/>
  <c r="AD386" i="4"/>
  <c r="AD385" i="4"/>
  <c r="AD383" i="4"/>
  <c r="AD384" i="4"/>
  <c r="AD382" i="4"/>
  <c r="AD390" i="4"/>
  <c r="AD405" i="4"/>
  <c r="AD408" i="4"/>
  <c r="AD391" i="4"/>
  <c r="AD392" i="4"/>
  <c r="AD393" i="4"/>
  <c r="AD394" i="4"/>
  <c r="AD400" i="4"/>
  <c r="AD401" i="4"/>
  <c r="AD402" i="4"/>
  <c r="AD403" i="4"/>
  <c r="AD407" i="4"/>
  <c r="AD387" i="4"/>
  <c r="AD388" i="4"/>
  <c r="AD389" i="4"/>
  <c r="AD396" i="4"/>
  <c r="AD397" i="4"/>
  <c r="AD398" i="4"/>
  <c r="AD399" i="4"/>
  <c r="AD404" i="4"/>
  <c r="AD406" i="4"/>
  <c r="AD409" i="4"/>
  <c r="AD410" i="4"/>
  <c r="AD411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143" i="4"/>
  <c r="AE117" i="4"/>
  <c r="AE128" i="4"/>
  <c r="AE141" i="4"/>
  <c r="AE175" i="4"/>
  <c r="AE83" i="4"/>
  <c r="AE84" i="4"/>
  <c r="AE137" i="4"/>
  <c r="AE149" i="4"/>
  <c r="AE249" i="4"/>
  <c r="AE18" i="4"/>
  <c r="AE23" i="4"/>
  <c r="AE38" i="4"/>
  <c r="AE82" i="4"/>
  <c r="AE102" i="4"/>
  <c r="AE6" i="4"/>
  <c r="AE7" i="4"/>
  <c r="AE123" i="4"/>
  <c r="AE139" i="4"/>
  <c r="AE152" i="4"/>
  <c r="AE174" i="4"/>
  <c r="AE182" i="4"/>
  <c r="AE183" i="4"/>
  <c r="AE184" i="4"/>
  <c r="AE270" i="4"/>
  <c r="AE273" i="4"/>
  <c r="AE11" i="4"/>
  <c r="AE16" i="4"/>
  <c r="AE17" i="4"/>
  <c r="AE28" i="4"/>
  <c r="AE29" i="4"/>
  <c r="AE30" i="4"/>
  <c r="AE31" i="4"/>
  <c r="AE32" i="4"/>
  <c r="AE33" i="4"/>
  <c r="AE2" i="4"/>
  <c r="AE3" i="4"/>
  <c r="AE4" i="4"/>
  <c r="AE75" i="4"/>
  <c r="AE106" i="4"/>
  <c r="AE126" i="4"/>
  <c r="AE146" i="4"/>
  <c r="AE148" i="4"/>
  <c r="AE157" i="4"/>
  <c r="AE165" i="4"/>
  <c r="AE253" i="4"/>
  <c r="AE263" i="4"/>
  <c r="AE264" i="4"/>
  <c r="AE277" i="4"/>
  <c r="AE278" i="4"/>
  <c r="AE279" i="4"/>
  <c r="AE280" i="4"/>
  <c r="AE281" i="4"/>
  <c r="AE282" i="4"/>
  <c r="AE283" i="4"/>
  <c r="AE76" i="4"/>
  <c r="AE12" i="4"/>
  <c r="AE20" i="4"/>
  <c r="AE35" i="4"/>
  <c r="AE36" i="4"/>
  <c r="AE37" i="4"/>
  <c r="AE5" i="4"/>
  <c r="AE65" i="4"/>
  <c r="AE66" i="4"/>
  <c r="AE89" i="4"/>
  <c r="AE96" i="4"/>
  <c r="AE107" i="4"/>
  <c r="AE109" i="4"/>
  <c r="AE111" i="4"/>
  <c r="AE120" i="4"/>
  <c r="AE121" i="4"/>
  <c r="AE124" i="4"/>
  <c r="AE127" i="4"/>
  <c r="AE131" i="4"/>
  <c r="AE142" i="4"/>
  <c r="AE150" i="4"/>
  <c r="AE158" i="4"/>
  <c r="AE159" i="4"/>
  <c r="AE162" i="4"/>
  <c r="AE163" i="4"/>
  <c r="AE164" i="4"/>
  <c r="AE166" i="4"/>
  <c r="AE167" i="4"/>
  <c r="AE171" i="4"/>
  <c r="AE213" i="4"/>
  <c r="AE214" i="4"/>
  <c r="AE215" i="4"/>
  <c r="AE222" i="4"/>
  <c r="AE223" i="4"/>
  <c r="AE224" i="4"/>
  <c r="AE225" i="4"/>
  <c r="AE226" i="4"/>
  <c r="AE227" i="4"/>
  <c r="AE232" i="4"/>
  <c r="AE248" i="4"/>
  <c r="AE284" i="4"/>
  <c r="AE285" i="4"/>
  <c r="AE290" i="4"/>
  <c r="AE8" i="4"/>
  <c r="AE9" i="4"/>
  <c r="AE10" i="4"/>
  <c r="AE21" i="4"/>
  <c r="AE39" i="4"/>
  <c r="AE40" i="4"/>
  <c r="AE95" i="4"/>
  <c r="AE145" i="4"/>
  <c r="AE160" i="4"/>
  <c r="AE179" i="4"/>
  <c r="AE180" i="4"/>
  <c r="AE181" i="4"/>
  <c r="AE252" i="4"/>
  <c r="AE265" i="4"/>
  <c r="AE266" i="4"/>
  <c r="AE267" i="4"/>
  <c r="AE269" i="4"/>
  <c r="AE14" i="4"/>
  <c r="AE22" i="4"/>
  <c r="AE64" i="4"/>
  <c r="AE90" i="4"/>
  <c r="AE91" i="4"/>
  <c r="AE92" i="4"/>
  <c r="AE296" i="4"/>
  <c r="AE98" i="4"/>
  <c r="AE104" i="4"/>
  <c r="AE114" i="4"/>
  <c r="AE122" i="4"/>
  <c r="AE185" i="4"/>
  <c r="AE186" i="4"/>
  <c r="AE187" i="4"/>
  <c r="AE188" i="4"/>
  <c r="AE200" i="4"/>
  <c r="AE201" i="4"/>
  <c r="AE204" i="4"/>
  <c r="AE218" i="4"/>
  <c r="AE219" i="4"/>
  <c r="AE220" i="4"/>
  <c r="AE221" i="4"/>
  <c r="AE237" i="4"/>
  <c r="AE268" i="4"/>
  <c r="AE271" i="4"/>
  <c r="AE272" i="4"/>
  <c r="AE274" i="4"/>
  <c r="AE13" i="4"/>
  <c r="AE15" i="4"/>
  <c r="AE19" i="4"/>
  <c r="AE34" i="4"/>
  <c r="AE50" i="4"/>
  <c r="AE73" i="4"/>
  <c r="AE81" i="4"/>
  <c r="AE85" i="4"/>
  <c r="AE93" i="4"/>
  <c r="AE99" i="4"/>
  <c r="AE100" i="4"/>
  <c r="AE103" i="4"/>
  <c r="AE134" i="4"/>
  <c r="AE138" i="4"/>
  <c r="AE144" i="4"/>
  <c r="AE176" i="4"/>
  <c r="AE177" i="4"/>
  <c r="AE178" i="4"/>
  <c r="AE189" i="4"/>
  <c r="AE190" i="4"/>
  <c r="AE191" i="4"/>
  <c r="AE192" i="4"/>
  <c r="AE193" i="4"/>
  <c r="AE194" i="4"/>
  <c r="AE195" i="4"/>
  <c r="AE196" i="4"/>
  <c r="AE205" i="4"/>
  <c r="AE206" i="4"/>
  <c r="AE207" i="4"/>
  <c r="AE208" i="4"/>
  <c r="AE216" i="4"/>
  <c r="AE217" i="4"/>
  <c r="AE251" i="4"/>
  <c r="AE254" i="4"/>
  <c r="AE286" i="4"/>
  <c r="AE288" i="4"/>
  <c r="AE289" i="4"/>
  <c r="AE244" i="4"/>
  <c r="AE298" i="4"/>
  <c r="AE245" i="4"/>
  <c r="AE47" i="4"/>
  <c r="AE48" i="4"/>
  <c r="AE49" i="4"/>
  <c r="AE63" i="4"/>
  <c r="AE292" i="4"/>
  <c r="AE105" i="4"/>
  <c r="AE116" i="4"/>
  <c r="AE153" i="4"/>
  <c r="AE154" i="4"/>
  <c r="AE197" i="4"/>
  <c r="AE212" i="4"/>
  <c r="AE246" i="4"/>
  <c r="AE247" i="4"/>
  <c r="AE294" i="4"/>
  <c r="AE295" i="4"/>
  <c r="AE243" i="4"/>
  <c r="AE46" i="4"/>
  <c r="AE74" i="4"/>
  <c r="AE133" i="4"/>
  <c r="AE198" i="4"/>
  <c r="AE199" i="4"/>
  <c r="AE202" i="4"/>
  <c r="AE203" i="4"/>
  <c r="AE260" i="4"/>
  <c r="AE86" i="4"/>
  <c r="AE94" i="4"/>
  <c r="AE129" i="4"/>
  <c r="AE130" i="4"/>
  <c r="AE147" i="4"/>
  <c r="AE161" i="4"/>
  <c r="AE228" i="4"/>
  <c r="AE229" i="4"/>
  <c r="AE230" i="4"/>
  <c r="AE43" i="4"/>
  <c r="AE87" i="4"/>
  <c r="AE88" i="4"/>
  <c r="AE118" i="4"/>
  <c r="AE132" i="4"/>
  <c r="AE135" i="4"/>
  <c r="AE209" i="4"/>
  <c r="AE210" i="4"/>
  <c r="AE211" i="4"/>
  <c r="AE231" i="4"/>
  <c r="AE234" i="4"/>
  <c r="AE235" i="4"/>
  <c r="AE256" i="4"/>
  <c r="AE25" i="4"/>
  <c r="AE41" i="4"/>
  <c r="AE42" i="4"/>
  <c r="AE44" i="4"/>
  <c r="AE45" i="4"/>
  <c r="AE62" i="4"/>
  <c r="AE67" i="4"/>
  <c r="AE108" i="4"/>
  <c r="AE110" i="4"/>
  <c r="AE112" i="4"/>
  <c r="AE119" i="4"/>
  <c r="AE136" i="4"/>
  <c r="AE140" i="4"/>
  <c r="AE151" i="4"/>
  <c r="AE168" i="4"/>
  <c r="AE170" i="4"/>
  <c r="AE236" i="4"/>
  <c r="AE238" i="4"/>
  <c r="AE240" i="4"/>
  <c r="AE241" i="4"/>
  <c r="AE242" i="4"/>
  <c r="AE291" i="4"/>
  <c r="AE51" i="4"/>
  <c r="AE53" i="4"/>
  <c r="AE54" i="4"/>
  <c r="AE55" i="4"/>
  <c r="AE56" i="4"/>
  <c r="AE57" i="4"/>
  <c r="AE59" i="4"/>
  <c r="AE26" i="4"/>
  <c r="AE27" i="4"/>
  <c r="AE68" i="4"/>
  <c r="AE69" i="4"/>
  <c r="AE70" i="4"/>
  <c r="AE71" i="4"/>
  <c r="AE72" i="4"/>
  <c r="AE78" i="4"/>
  <c r="AE79" i="4"/>
  <c r="AE80" i="4"/>
  <c r="AE101" i="4"/>
  <c r="AE125" i="4"/>
  <c r="AE155" i="4"/>
  <c r="AE156" i="4"/>
  <c r="AE169" i="4"/>
  <c r="AE261" i="4"/>
  <c r="AE262" i="4"/>
  <c r="AE275" i="4"/>
  <c r="AE276" i="4"/>
  <c r="AE287" i="4"/>
  <c r="AE52" i="4"/>
  <c r="AE58" i="4"/>
  <c r="AE60" i="4"/>
  <c r="AE24" i="4"/>
  <c r="AE113" i="4"/>
  <c r="AE172" i="4"/>
  <c r="AE173" i="4"/>
  <c r="AE233" i="4"/>
  <c r="AE250" i="4"/>
  <c r="AE255" i="4"/>
  <c r="AE115" i="4"/>
  <c r="AE97" i="4"/>
  <c r="AE239" i="4"/>
  <c r="AE297" i="4"/>
  <c r="AE312" i="4"/>
  <c r="AE304" i="4"/>
  <c r="AE309" i="4"/>
  <c r="AE313" i="4"/>
  <c r="AE314" i="4"/>
  <c r="AE299" i="4"/>
  <c r="AE300" i="4"/>
  <c r="AE301" i="4"/>
  <c r="AE302" i="4"/>
  <c r="AE311" i="4"/>
  <c r="AE305" i="4"/>
  <c r="AE306" i="4"/>
  <c r="AE307" i="4"/>
  <c r="AE308" i="4"/>
  <c r="AE310" i="4"/>
  <c r="AE321" i="4"/>
  <c r="AE332" i="4"/>
  <c r="AE320" i="4"/>
  <c r="AE322" i="4"/>
  <c r="AE323" i="4"/>
  <c r="AE324" i="4"/>
  <c r="AE331" i="4"/>
  <c r="AE333" i="4"/>
  <c r="AE334" i="4"/>
  <c r="AE337" i="4"/>
  <c r="AE338" i="4"/>
  <c r="AE339" i="4"/>
  <c r="AE340" i="4"/>
  <c r="AE342" i="4"/>
  <c r="AE343" i="4"/>
  <c r="AE344" i="4"/>
  <c r="AE345" i="4"/>
  <c r="AE335" i="4"/>
  <c r="AE346" i="4"/>
  <c r="AE318" i="4"/>
  <c r="AE319" i="4"/>
  <c r="AE326" i="4"/>
  <c r="AE347" i="4"/>
  <c r="AE327" i="4"/>
  <c r="AE328" i="4"/>
  <c r="AE329" i="4"/>
  <c r="AE341" i="4"/>
  <c r="AE330" i="4"/>
  <c r="AE315" i="4"/>
  <c r="AE316" i="4"/>
  <c r="AE317" i="4"/>
  <c r="AE336" i="4"/>
  <c r="AE325" i="4"/>
  <c r="AE355" i="4"/>
  <c r="AE359" i="4"/>
  <c r="AE348" i="4"/>
  <c r="AE354" i="4"/>
  <c r="AE363" i="4"/>
  <c r="AE364" i="4"/>
  <c r="AE365" i="4"/>
  <c r="AE351" i="4"/>
  <c r="AE369" i="4"/>
  <c r="AE349" i="4"/>
  <c r="AE350" i="4"/>
  <c r="AE356" i="4"/>
  <c r="AE357" i="4"/>
  <c r="AE352" i="4"/>
  <c r="AE353" i="4"/>
  <c r="AE367" i="4"/>
  <c r="AE366" i="4"/>
  <c r="AE368" i="4"/>
  <c r="AE358" i="4"/>
  <c r="AE360" i="4"/>
  <c r="AE361" i="4"/>
  <c r="AE362" i="4"/>
  <c r="AE374" i="4"/>
  <c r="AE375" i="4"/>
  <c r="AE378" i="4"/>
  <c r="AE372" i="4"/>
  <c r="AE373" i="4"/>
  <c r="AE376" i="4"/>
  <c r="AE377" i="4"/>
  <c r="AE371" i="4"/>
  <c r="AE379" i="4"/>
  <c r="AE370" i="4"/>
  <c r="AE381" i="4"/>
  <c r="AE382" i="4"/>
  <c r="AE386" i="4"/>
  <c r="AE384" i="4"/>
  <c r="AE385" i="4"/>
  <c r="AE383" i="4"/>
  <c r="AE401" i="4"/>
  <c r="AE388" i="4"/>
  <c r="AE389" i="4"/>
  <c r="AE390" i="4"/>
  <c r="AE396" i="4"/>
  <c r="AE397" i="4"/>
  <c r="AE398" i="4"/>
  <c r="AE404" i="4"/>
  <c r="AE405" i="4"/>
  <c r="AE387" i="4"/>
  <c r="AE391" i="4"/>
  <c r="AE392" i="4"/>
  <c r="AE393" i="4"/>
  <c r="AE394" i="4"/>
  <c r="AE395" i="4"/>
  <c r="AE399" i="4"/>
  <c r="AE400" i="4"/>
  <c r="AE402" i="4"/>
  <c r="AE403" i="4"/>
  <c r="AE406" i="4"/>
  <c r="AE407" i="4"/>
  <c r="AE408" i="4"/>
  <c r="AE409" i="4"/>
  <c r="AE410" i="4"/>
  <c r="AE411" i="4"/>
  <c r="AE293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5" i="4"/>
  <c r="AG383" i="4"/>
  <c r="AG382" i="4"/>
  <c r="AG384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J299" i="4"/>
  <c r="AJ300" i="4"/>
  <c r="AJ301" i="4"/>
  <c r="AJ302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47" i="4"/>
  <c r="AJ327" i="4"/>
  <c r="AJ328" i="4"/>
  <c r="AJ329" i="4"/>
  <c r="AJ330" i="4"/>
  <c r="AJ331" i="4"/>
  <c r="AJ332" i="4"/>
  <c r="AJ333" i="4"/>
  <c r="AJ336" i="4"/>
  <c r="AJ337" i="4"/>
  <c r="AJ338" i="4"/>
  <c r="AJ339" i="4"/>
  <c r="AJ340" i="4"/>
  <c r="AJ341" i="4"/>
  <c r="AJ343" i="4"/>
  <c r="AJ344" i="4"/>
  <c r="AJ345" i="4"/>
  <c r="AJ335" i="4"/>
  <c r="AJ346" i="4"/>
  <c r="AJ334" i="4"/>
  <c r="AJ342" i="4"/>
  <c r="AJ348" i="4"/>
  <c r="AJ349" i="4"/>
  <c r="AJ350" i="4"/>
  <c r="AJ351" i="4"/>
  <c r="AJ352" i="4"/>
  <c r="AJ353" i="4"/>
  <c r="AJ366" i="4"/>
  <c r="AJ367" i="4"/>
  <c r="AJ368" i="4"/>
  <c r="AJ354" i="4"/>
  <c r="AJ355" i="4"/>
  <c r="AJ356" i="4"/>
  <c r="AJ357" i="4"/>
  <c r="AJ358" i="4"/>
  <c r="AJ359" i="4"/>
  <c r="AJ360" i="4"/>
  <c r="AJ361" i="4"/>
  <c r="AJ362" i="4"/>
  <c r="AJ369" i="4"/>
  <c r="AJ363" i="4"/>
  <c r="AJ364" i="4"/>
  <c r="AJ365" i="4"/>
  <c r="AJ370" i="4"/>
  <c r="AJ371" i="4"/>
  <c r="AJ372" i="4"/>
  <c r="AJ373" i="4"/>
  <c r="AJ374" i="4"/>
  <c r="AJ375" i="4"/>
  <c r="AJ376" i="4"/>
  <c r="AJ377" i="4"/>
  <c r="AJ378" i="4"/>
  <c r="AJ379" i="4"/>
  <c r="AJ381" i="4"/>
  <c r="AJ385" i="4"/>
  <c r="AJ383" i="4"/>
  <c r="AJ382" i="4"/>
  <c r="AJ384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G16" i="4"/>
  <c r="AG36" i="4"/>
  <c r="AG37" i="4"/>
  <c r="AG2" i="4"/>
  <c r="AG3" i="4"/>
  <c r="AG4" i="4"/>
  <c r="AG5" i="4"/>
  <c r="AG74" i="4"/>
  <c r="AG78" i="4"/>
  <c r="AG96" i="4"/>
  <c r="AG138" i="4"/>
  <c r="AG158" i="4"/>
  <c r="AG263" i="4"/>
  <c r="AG264" i="4"/>
  <c r="AG277" i="4"/>
  <c r="AG28" i="4"/>
  <c r="AG29" i="4"/>
  <c r="AG32" i="4"/>
  <c r="AG157" i="4"/>
  <c r="AG107" i="4"/>
  <c r="AG124" i="4"/>
  <c r="AG6" i="4"/>
  <c r="AG106" i="4"/>
  <c r="AG65" i="4"/>
  <c r="AG66" i="4"/>
  <c r="AG114" i="4"/>
  <c r="AG128" i="4"/>
  <c r="AG165" i="4"/>
  <c r="AG166" i="4"/>
  <c r="AG167" i="4"/>
  <c r="AG30" i="4"/>
  <c r="AG31" i="4"/>
  <c r="AG33" i="4"/>
  <c r="AG159" i="4"/>
  <c r="AG160" i="4"/>
  <c r="AG76" i="4"/>
  <c r="AG39" i="4"/>
  <c r="AG40" i="4"/>
  <c r="AG75" i="4"/>
  <c r="AG126" i="4"/>
  <c r="AG142" i="4"/>
  <c r="AG143" i="4"/>
  <c r="AG144" i="4"/>
  <c r="AG152" i="4"/>
  <c r="AG215" i="4"/>
  <c r="AG222" i="4"/>
  <c r="AG224" i="4"/>
  <c r="AG225" i="4"/>
  <c r="AG226" i="4"/>
  <c r="AG227" i="4"/>
  <c r="AG213" i="4"/>
  <c r="AG214" i="4"/>
  <c r="AG223" i="4"/>
  <c r="AG8" i="4"/>
  <c r="AG9" i="4"/>
  <c r="AG10" i="4"/>
  <c r="AG11" i="4"/>
  <c r="AG12" i="4"/>
  <c r="AG17" i="4"/>
  <c r="AG18" i="4"/>
  <c r="AG19" i="4"/>
  <c r="AG35" i="4"/>
  <c r="AG38" i="4"/>
  <c r="AG293" i="4"/>
  <c r="AG7" i="4"/>
  <c r="AG252" i="4"/>
  <c r="AG278" i="4"/>
  <c r="AG279" i="4"/>
  <c r="AG280" i="4"/>
  <c r="AG281" i="4"/>
  <c r="AG282" i="4"/>
  <c r="AG283" i="4"/>
  <c r="AG117" i="4"/>
  <c r="AG141" i="4"/>
  <c r="AG265" i="4"/>
  <c r="AG266" i="4"/>
  <c r="AG267" i="4"/>
  <c r="AG268" i="4"/>
  <c r="AG269" i="4"/>
  <c r="AG34" i="4"/>
  <c r="AG176" i="4"/>
  <c r="AG177" i="4"/>
  <c r="AG189" i="4"/>
  <c r="AG20" i="4"/>
  <c r="AG21" i="4"/>
  <c r="AG22" i="4"/>
  <c r="AG23" i="4"/>
  <c r="AG89" i="4"/>
  <c r="AG163" i="4"/>
  <c r="AG171" i="4"/>
  <c r="AG178" i="4"/>
  <c r="AG250" i="4"/>
  <c r="AG285" i="4"/>
  <c r="AG13" i="4"/>
  <c r="AG14" i="4"/>
  <c r="AG15" i="4"/>
  <c r="AG109" i="4"/>
  <c r="AG127" i="4"/>
  <c r="AG150" i="4"/>
  <c r="AG164" i="4"/>
  <c r="AG91" i="4"/>
  <c r="AG92" i="4"/>
  <c r="AG292" i="4"/>
  <c r="AG101" i="4"/>
  <c r="AG161" i="4"/>
  <c r="AG179" i="4"/>
  <c r="AG200" i="4"/>
  <c r="AG221" i="4"/>
  <c r="AG272" i="4"/>
  <c r="AG274" i="4"/>
  <c r="AG284" i="4"/>
  <c r="AG286" i="4"/>
  <c r="AG290" i="4"/>
  <c r="AG79" i="4"/>
  <c r="AG80" i="4"/>
  <c r="AG85" i="4"/>
  <c r="AG90" i="4"/>
  <c r="AG99" i="4"/>
  <c r="AG130" i="4"/>
  <c r="AG172" i="4"/>
  <c r="AG174" i="4"/>
  <c r="AG185" i="4"/>
  <c r="AG187" i="4"/>
  <c r="AG188" i="4"/>
  <c r="AG191" i="4"/>
  <c r="AG218" i="4"/>
  <c r="AG230" i="4"/>
  <c r="AG47" i="4"/>
  <c r="AG296" i="4"/>
  <c r="AG219" i="4"/>
  <c r="AG220" i="4"/>
  <c r="AG270" i="4"/>
  <c r="AG271" i="4"/>
  <c r="AG288" i="4"/>
  <c r="AG289" i="4"/>
  <c r="AG180" i="4"/>
  <c r="AG201" i="4"/>
  <c r="AG216" i="4"/>
  <c r="AG217" i="4"/>
  <c r="AG247" i="4"/>
  <c r="AG248" i="4"/>
  <c r="AG273" i="4"/>
  <c r="AG83" i="4"/>
  <c r="AG84" i="4"/>
  <c r="AG113" i="4"/>
  <c r="AG122" i="4"/>
  <c r="AG133" i="4"/>
  <c r="AG137" i="4"/>
  <c r="AG140" i="4"/>
  <c r="AG168" i="4"/>
  <c r="AG169" i="4"/>
  <c r="AG170" i="4"/>
  <c r="AG182" i="4"/>
  <c r="AG237" i="4"/>
  <c r="AG243" i="4"/>
  <c r="AG244" i="4"/>
  <c r="AG298" i="4"/>
  <c r="AG245" i="4"/>
  <c r="AG46" i="4"/>
  <c r="AG50" i="4"/>
  <c r="AG81" i="4"/>
  <c r="AG93" i="4"/>
  <c r="AG98" i="4"/>
  <c r="AG103" i="4"/>
  <c r="AG111" i="4"/>
  <c r="AG121" i="4"/>
  <c r="AG123" i="4"/>
  <c r="AG134" i="4"/>
  <c r="AG139" i="4"/>
  <c r="AG146" i="4"/>
  <c r="AG148" i="4"/>
  <c r="AG149" i="4"/>
  <c r="AG153" i="4"/>
  <c r="AG192" i="4"/>
  <c r="AG193" i="4"/>
  <c r="AG194" i="4"/>
  <c r="AG195" i="4"/>
  <c r="AG196" i="4"/>
  <c r="AG197" i="4"/>
  <c r="AG202" i="4"/>
  <c r="AG203" i="4"/>
  <c r="AG204" i="4"/>
  <c r="AG205" i="4"/>
  <c r="AG206" i="4"/>
  <c r="AG207" i="4"/>
  <c r="AG208" i="4"/>
  <c r="AG297" i="4"/>
  <c r="AG228" i="4"/>
  <c r="AG229" i="4"/>
  <c r="AG232" i="4"/>
  <c r="AG294" i="4"/>
  <c r="AG295" i="4"/>
  <c r="AG254" i="4"/>
  <c r="AG260" i="4"/>
  <c r="AG94" i="4"/>
  <c r="AG104" i="4"/>
  <c r="AG105" i="4"/>
  <c r="AG135" i="4"/>
  <c r="AG190" i="4"/>
  <c r="AG198" i="4"/>
  <c r="AG199" i="4"/>
  <c r="AG209" i="4"/>
  <c r="AG210" i="4"/>
  <c r="AG211" i="4"/>
  <c r="AG246" i="4"/>
  <c r="AG249" i="4"/>
  <c r="AG115" i="4"/>
  <c r="AG108" i="4"/>
  <c r="AG132" i="4"/>
  <c r="AG147" i="4"/>
  <c r="AG151" i="4"/>
  <c r="AG240" i="4"/>
  <c r="AG241" i="4"/>
  <c r="AG242" i="4"/>
  <c r="AG251" i="4"/>
  <c r="AG256" i="4"/>
  <c r="AG276" i="4"/>
  <c r="AG24" i="4"/>
  <c r="AG25" i="4"/>
  <c r="AG27" i="4"/>
  <c r="AG51" i="4"/>
  <c r="AG52" i="4"/>
  <c r="AG53" i="4"/>
  <c r="AG54" i="4"/>
  <c r="AG55" i="4"/>
  <c r="AG56" i="4"/>
  <c r="AG57" i="4"/>
  <c r="AG58" i="4"/>
  <c r="AG59" i="4"/>
  <c r="AG60" i="4"/>
  <c r="AG61" i="4"/>
  <c r="AG67" i="4"/>
  <c r="AG68" i="4"/>
  <c r="AG69" i="4"/>
  <c r="AG73" i="4"/>
  <c r="AG95" i="4"/>
  <c r="AG100" i="4"/>
  <c r="AG291" i="4"/>
  <c r="AG26" i="4"/>
  <c r="AG41" i="4"/>
  <c r="AG42" i="4"/>
  <c r="AG43" i="4"/>
  <c r="AG44" i="4"/>
  <c r="AG45" i="4"/>
  <c r="AG48" i="4"/>
  <c r="AG64" i="4"/>
  <c r="AG112" i="4"/>
  <c r="AG116" i="4"/>
  <c r="AG118" i="4"/>
  <c r="AG125" i="4"/>
  <c r="AG131" i="4"/>
  <c r="AG162" i="4"/>
  <c r="AG181" i="4"/>
  <c r="AG184" i="4"/>
  <c r="AG186" i="4"/>
  <c r="AG212" i="4"/>
  <c r="AG261" i="4"/>
  <c r="AG262" i="4"/>
  <c r="AG49" i="4"/>
  <c r="AG70" i="4"/>
  <c r="AG71" i="4"/>
  <c r="AG72" i="4"/>
  <c r="AG86" i="4"/>
  <c r="AG87" i="4"/>
  <c r="AG88" i="4"/>
  <c r="AG173" i="4"/>
  <c r="AG102" i="4"/>
  <c r="AG145" i="4"/>
  <c r="AG287" i="4"/>
  <c r="AG62" i="4"/>
  <c r="AG63" i="4"/>
  <c r="AG97" i="4"/>
  <c r="AG110" i="4"/>
  <c r="AG119" i="4"/>
  <c r="AG120" i="4"/>
  <c r="AG129" i="4"/>
  <c r="AG136" i="4"/>
  <c r="AG154" i="4"/>
  <c r="AG155" i="4"/>
  <c r="AG156" i="4"/>
  <c r="AG175" i="4"/>
  <c r="AG183" i="4"/>
  <c r="AG231" i="4"/>
  <c r="AG233" i="4"/>
  <c r="AG234" i="4"/>
  <c r="AG235" i="4"/>
  <c r="AG236" i="4"/>
  <c r="AG238" i="4"/>
  <c r="AG239" i="4"/>
  <c r="AG253" i="4"/>
  <c r="AG255" i="4"/>
  <c r="AG275" i="4"/>
  <c r="AG299" i="4"/>
  <c r="AG300" i="4"/>
  <c r="AG301" i="4"/>
  <c r="AG302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47" i="4"/>
  <c r="AG327" i="4"/>
  <c r="AG328" i="4"/>
  <c r="AG329" i="4"/>
  <c r="AG330" i="4"/>
  <c r="AG331" i="4"/>
  <c r="AG332" i="4"/>
  <c r="AG333" i="4"/>
  <c r="AG336" i="4"/>
  <c r="AG337" i="4"/>
  <c r="AG338" i="4"/>
  <c r="AG339" i="4"/>
  <c r="AG340" i="4"/>
  <c r="AG341" i="4"/>
  <c r="AG343" i="4"/>
  <c r="AG344" i="4"/>
  <c r="AG345" i="4"/>
  <c r="AG335" i="4"/>
  <c r="AG346" i="4"/>
  <c r="AG334" i="4"/>
  <c r="AG342" i="4"/>
  <c r="AG348" i="4"/>
  <c r="AG349" i="4"/>
  <c r="AG350" i="4"/>
  <c r="AG351" i="4"/>
  <c r="AG352" i="4"/>
  <c r="AG353" i="4"/>
  <c r="AG366" i="4"/>
  <c r="AG367" i="4"/>
  <c r="AG368" i="4"/>
  <c r="AG354" i="4"/>
  <c r="AG355" i="4"/>
  <c r="AG356" i="4"/>
  <c r="AG357" i="4"/>
  <c r="AG358" i="4"/>
  <c r="AG359" i="4"/>
  <c r="AG360" i="4"/>
  <c r="AG361" i="4"/>
  <c r="AG362" i="4"/>
  <c r="AG369" i="4"/>
  <c r="AG363" i="4"/>
  <c r="AG364" i="4"/>
  <c r="AG365" i="4"/>
  <c r="AG370" i="4"/>
  <c r="AG371" i="4"/>
  <c r="AG372" i="4"/>
  <c r="AG373" i="4"/>
  <c r="AG374" i="4"/>
  <c r="AG375" i="4"/>
  <c r="AG376" i="4"/>
  <c r="AG377" i="4"/>
  <c r="AG378" i="4"/>
  <c r="AG379" i="4"/>
  <c r="AG381" i="4"/>
  <c r="AG82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68" i="2"/>
  <c r="AP67" i="2"/>
  <c r="AP69" i="2"/>
  <c r="AP74" i="2"/>
  <c r="AP71" i="2"/>
  <c r="AP70" i="2"/>
  <c r="AP72" i="2"/>
  <c r="AP73" i="2"/>
  <c r="AP75" i="2"/>
  <c r="AP77" i="2"/>
  <c r="AP76" i="2"/>
  <c r="AP78" i="2"/>
  <c r="AP79" i="2"/>
  <c r="AQ68" i="2"/>
  <c r="AQ67" i="2"/>
  <c r="AQ69" i="2"/>
  <c r="AQ74" i="2"/>
  <c r="AQ71" i="2"/>
  <c r="AQ70" i="2"/>
  <c r="AQ72" i="2"/>
  <c r="AQ73" i="2"/>
  <c r="AQ75" i="2"/>
  <c r="AQ77" i="2"/>
  <c r="AQ76" i="2"/>
  <c r="AQ78" i="2"/>
  <c r="AQ79" i="2"/>
  <c r="AR68" i="2"/>
  <c r="AR67" i="2"/>
  <c r="AR69" i="2"/>
  <c r="AR74" i="2"/>
  <c r="AR71" i="2"/>
  <c r="AR70" i="2"/>
  <c r="AR72" i="2"/>
  <c r="AR73" i="2"/>
  <c r="AR75" i="2"/>
  <c r="AR77" i="2"/>
  <c r="AR76" i="2"/>
  <c r="AR78" i="2"/>
  <c r="AR79" i="2"/>
  <c r="AS68" i="2"/>
  <c r="AS67" i="2"/>
  <c r="AS69" i="2"/>
  <c r="AS74" i="2"/>
  <c r="AS71" i="2"/>
  <c r="AS70" i="2"/>
  <c r="AS72" i="2"/>
  <c r="AS73" i="2"/>
  <c r="AS75" i="2"/>
  <c r="AS77" i="2"/>
  <c r="AS76" i="2"/>
  <c r="AS78" i="2"/>
  <c r="AS79" i="2"/>
  <c r="AT68" i="2"/>
  <c r="AT67" i="2"/>
  <c r="AT69" i="2"/>
  <c r="AT74" i="2"/>
  <c r="AT71" i="2"/>
  <c r="AT70" i="2"/>
  <c r="AT72" i="2"/>
  <c r="AT73" i="2"/>
  <c r="AT75" i="2"/>
  <c r="AT77" i="2"/>
  <c r="AT76" i="2"/>
  <c r="AT78" i="2"/>
  <c r="AT79" i="2"/>
  <c r="AU68" i="2"/>
  <c r="AU67" i="2"/>
  <c r="AU69" i="2"/>
  <c r="AU74" i="2"/>
  <c r="AU71" i="2"/>
  <c r="AU70" i="2"/>
  <c r="AU72" i="2"/>
  <c r="AU73" i="2"/>
  <c r="AU75" i="2"/>
  <c r="AU77" i="2"/>
  <c r="AU76" i="2"/>
  <c r="AU78" i="2"/>
  <c r="AU79" i="2"/>
  <c r="AV68" i="2"/>
  <c r="AV67" i="2"/>
  <c r="AV69" i="2"/>
  <c r="AV74" i="2"/>
  <c r="AV71" i="2"/>
  <c r="AV70" i="2"/>
  <c r="AV72" i="2"/>
  <c r="AV73" i="2"/>
  <c r="AV75" i="2"/>
  <c r="AV77" i="2"/>
  <c r="AV76" i="2"/>
  <c r="AV78" i="2"/>
  <c r="AV79" i="2"/>
  <c r="AW68" i="2"/>
  <c r="AW67" i="2"/>
  <c r="AW69" i="2"/>
  <c r="AW74" i="2"/>
  <c r="AW71" i="2"/>
  <c r="AW70" i="2"/>
  <c r="AW72" i="2"/>
  <c r="AW73" i="2"/>
  <c r="AW75" i="2"/>
  <c r="AW77" i="2"/>
  <c r="AW76" i="2"/>
  <c r="AW78" i="2"/>
  <c r="AW79" i="2"/>
  <c r="AX68" i="2"/>
  <c r="AX67" i="2"/>
  <c r="AX69" i="2"/>
  <c r="AX74" i="2"/>
  <c r="AX71" i="2"/>
  <c r="AX70" i="2"/>
  <c r="AX72" i="2"/>
  <c r="AX73" i="2"/>
  <c r="AX75" i="2"/>
  <c r="AX77" i="2"/>
  <c r="AX76" i="2"/>
  <c r="AX78" i="2"/>
  <c r="AX79" i="2"/>
  <c r="AY68" i="2"/>
  <c r="AY67" i="2"/>
  <c r="AY69" i="2"/>
  <c r="AY74" i="2"/>
  <c r="AY71" i="2"/>
  <c r="AY70" i="2"/>
  <c r="AY72" i="2"/>
  <c r="AY73" i="2"/>
  <c r="AY75" i="2"/>
  <c r="AY77" i="2"/>
  <c r="AY76" i="2"/>
  <c r="AY78" i="2"/>
  <c r="AY79" i="2"/>
  <c r="AZ68" i="2"/>
  <c r="AZ67" i="2"/>
  <c r="AZ69" i="2"/>
  <c r="AZ74" i="2"/>
  <c r="AZ71" i="2"/>
  <c r="AZ70" i="2"/>
  <c r="AZ72" i="2"/>
  <c r="AZ73" i="2"/>
  <c r="AZ75" i="2"/>
  <c r="AZ77" i="2"/>
  <c r="AZ76" i="2"/>
  <c r="AZ78" i="2"/>
  <c r="AZ79" i="2"/>
  <c r="BA68" i="2"/>
  <c r="BA67" i="2"/>
  <c r="BA69" i="2"/>
  <c r="BA74" i="2"/>
  <c r="BA71" i="2"/>
  <c r="BA70" i="2"/>
  <c r="BA72" i="2"/>
  <c r="BA73" i="2"/>
  <c r="BA75" i="2"/>
  <c r="BA77" i="2"/>
  <c r="BA76" i="2"/>
  <c r="BA78" i="2"/>
  <c r="BA79" i="2"/>
  <c r="BB68" i="2"/>
  <c r="BB67" i="2"/>
  <c r="BB69" i="2"/>
  <c r="BB74" i="2"/>
  <c r="BB71" i="2"/>
  <c r="BB70" i="2"/>
  <c r="BB72" i="2"/>
  <c r="BB73" i="2"/>
  <c r="BB75" i="2"/>
  <c r="BB77" i="2"/>
  <c r="BB76" i="2"/>
  <c r="BB78" i="2"/>
  <c r="BB79" i="2"/>
  <c r="BC68" i="2"/>
  <c r="BC67" i="2"/>
  <c r="BC69" i="2"/>
  <c r="BC74" i="2"/>
  <c r="BC71" i="2"/>
  <c r="BC70" i="2"/>
  <c r="BC72" i="2"/>
  <c r="BC73" i="2"/>
  <c r="BC75" i="2"/>
  <c r="BC77" i="2"/>
  <c r="BC76" i="2"/>
  <c r="BC78" i="2"/>
  <c r="BC79" i="2"/>
  <c r="BD68" i="2"/>
  <c r="BD67" i="2"/>
  <c r="BD69" i="2"/>
  <c r="BD74" i="2"/>
  <c r="BD71" i="2"/>
  <c r="BD70" i="2"/>
  <c r="BD72" i="2"/>
  <c r="BD73" i="2"/>
  <c r="BD75" i="2"/>
  <c r="BD77" i="2"/>
  <c r="BD76" i="2"/>
  <c r="BD78" i="2"/>
  <c r="BD79" i="2"/>
  <c r="BE74" i="2"/>
  <c r="BE71" i="2"/>
  <c r="BE70" i="2"/>
  <c r="BE72" i="2"/>
  <c r="BE73" i="2"/>
  <c r="BE75" i="2"/>
  <c r="BE77" i="2"/>
  <c r="BE76" i="2"/>
  <c r="BE78" i="2"/>
  <c r="BF74" i="2"/>
  <c r="BF71" i="2"/>
  <c r="BF70" i="2"/>
  <c r="BF72" i="2"/>
  <c r="BF73" i="2"/>
  <c r="BF75" i="2"/>
  <c r="BF77" i="2"/>
  <c r="BF76" i="2"/>
  <c r="BF78" i="2"/>
  <c r="U30" i="2"/>
  <c r="U41" i="2"/>
  <c r="BG74" i="2"/>
  <c r="U37" i="2"/>
  <c r="U5" i="2"/>
  <c r="U22" i="2"/>
  <c r="U25" i="2"/>
  <c r="U38" i="2"/>
  <c r="U43" i="2"/>
  <c r="BG71" i="2"/>
  <c r="BG70" i="2"/>
  <c r="BG72" i="2"/>
  <c r="BG73" i="2"/>
  <c r="BG75" i="2"/>
  <c r="BG77" i="2"/>
  <c r="BG76" i="2"/>
  <c r="BG78" i="2"/>
  <c r="V41" i="2"/>
  <c r="BH74" i="2"/>
  <c r="V37" i="2"/>
  <c r="V22" i="2"/>
  <c r="V25" i="2"/>
  <c r="V38" i="2"/>
  <c r="V43" i="2"/>
  <c r="BH71" i="2"/>
  <c r="BH70" i="2"/>
  <c r="BH72" i="2"/>
  <c r="BH73" i="2"/>
  <c r="BH75" i="2"/>
  <c r="BH77" i="2"/>
  <c r="BH76" i="2"/>
  <c r="BH78" i="2"/>
  <c r="W41" i="2"/>
  <c r="BI74" i="2"/>
  <c r="W37" i="2"/>
  <c r="W5" i="2"/>
  <c r="W22" i="2"/>
  <c r="W25" i="2"/>
  <c r="W38" i="2"/>
  <c r="W43" i="2"/>
  <c r="BI71" i="2"/>
  <c r="BI70" i="2"/>
  <c r="BI72" i="2"/>
  <c r="BI73" i="2"/>
  <c r="BI75" i="2"/>
  <c r="BI77" i="2"/>
  <c r="BI76" i="2"/>
  <c r="BI78" i="2"/>
  <c r="BJ74" i="2"/>
  <c r="BJ71" i="2"/>
  <c r="BJ70" i="2"/>
  <c r="BJ72" i="2"/>
  <c r="BJ73" i="2"/>
  <c r="BJ75" i="2"/>
  <c r="BJ77" i="2"/>
  <c r="BJ76" i="2"/>
  <c r="BJ78" i="2"/>
  <c r="BK74" i="2"/>
  <c r="BK71" i="2"/>
  <c r="BK70" i="2"/>
  <c r="BK72" i="2"/>
  <c r="BK73" i="2"/>
  <c r="BK75" i="2"/>
  <c r="BK77" i="2"/>
  <c r="BK76" i="2"/>
  <c r="BK78" i="2"/>
  <c r="BL74" i="2"/>
  <c r="BL71" i="2"/>
  <c r="BL70" i="2"/>
  <c r="BL72" i="2"/>
  <c r="BL73" i="2"/>
  <c r="BL75" i="2"/>
  <c r="BL77" i="2"/>
  <c r="BL76" i="2"/>
  <c r="BL78" i="2"/>
  <c r="AO68" i="2"/>
  <c r="AO67" i="2"/>
  <c r="AO69" i="2"/>
  <c r="AO74" i="2"/>
  <c r="AO71" i="2"/>
  <c r="AO70" i="2"/>
  <c r="AO72" i="2"/>
  <c r="AO73" i="2"/>
  <c r="AO75" i="2"/>
  <c r="AO77" i="2"/>
  <c r="AO76" i="2"/>
  <c r="AO78" i="2"/>
  <c r="AO79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9" i="4"/>
  <c r="AA10" i="4"/>
  <c r="AA16" i="4"/>
  <c r="AA11" i="4"/>
  <c r="AA12" i="4"/>
  <c r="AA13" i="4"/>
  <c r="AA17" i="4"/>
  <c r="AA14" i="4"/>
  <c r="AA15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2" i="4"/>
  <c r="AA3" i="4"/>
  <c r="AA4" i="4"/>
  <c r="AA5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296" i="4"/>
  <c r="AA95" i="4"/>
  <c r="AA96" i="4"/>
  <c r="AA97" i="4"/>
  <c r="AA98" i="4"/>
  <c r="AA99" i="4"/>
  <c r="AA292" i="4"/>
  <c r="AA100" i="4"/>
  <c r="AA101" i="4"/>
  <c r="AA293" i="4"/>
  <c r="AA102" i="4"/>
  <c r="AA103" i="4"/>
  <c r="AA104" i="4"/>
  <c r="AA105" i="4"/>
  <c r="AA6" i="4"/>
  <c r="AA107" i="4"/>
  <c r="AA7" i="4"/>
  <c r="AA106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97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42" i="4"/>
  <c r="AA243" i="4"/>
  <c r="AA244" i="4"/>
  <c r="AA298" i="4"/>
  <c r="AA245" i="4"/>
  <c r="AA246" i="4"/>
  <c r="AA247" i="4"/>
  <c r="AA248" i="4"/>
  <c r="AA249" i="4"/>
  <c r="AA238" i="4"/>
  <c r="AA250" i="4"/>
  <c r="AA251" i="4"/>
  <c r="AA252" i="4"/>
  <c r="AA253" i="4"/>
  <c r="AA294" i="4"/>
  <c r="AA295" i="4"/>
  <c r="AA254" i="4"/>
  <c r="AA263" i="4"/>
  <c r="AA256" i="4"/>
  <c r="AA260" i="4"/>
  <c r="AA261" i="4"/>
  <c r="AA262" i="4"/>
  <c r="AA239" i="4"/>
  <c r="AA264" i="4"/>
  <c r="AA265" i="4"/>
  <c r="AA266" i="4"/>
  <c r="AA267" i="4"/>
  <c r="AA268" i="4"/>
  <c r="AA269" i="4"/>
  <c r="AA270" i="4"/>
  <c r="AA271" i="4"/>
  <c r="AA272" i="4"/>
  <c r="AA273" i="4"/>
  <c r="AA240" i="4"/>
  <c r="AA241" i="4"/>
  <c r="AA274" i="4"/>
  <c r="AA275" i="4"/>
  <c r="AA276" i="4"/>
  <c r="AA277" i="4"/>
  <c r="AA255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9" i="4"/>
  <c r="AA300" i="4"/>
  <c r="AA301" i="4"/>
  <c r="AA302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47" i="4"/>
  <c r="AA327" i="4"/>
  <c r="AA328" i="4"/>
  <c r="AA329" i="4"/>
  <c r="AA330" i="4"/>
  <c r="AA331" i="4"/>
  <c r="AA332" i="4"/>
  <c r="AA333" i="4"/>
  <c r="AA334" i="4"/>
  <c r="AA336" i="4"/>
  <c r="AA337" i="4"/>
  <c r="AA338" i="4"/>
  <c r="AA339" i="4"/>
  <c r="AA340" i="4"/>
  <c r="AA341" i="4"/>
  <c r="AA342" i="4"/>
  <c r="AA343" i="4"/>
  <c r="AA344" i="4"/>
  <c r="AA345" i="4"/>
  <c r="AA335" i="4"/>
  <c r="AA346" i="4"/>
  <c r="AA348" i="4"/>
  <c r="AA349" i="4"/>
  <c r="AA369" i="4"/>
  <c r="AA350" i="4"/>
  <c r="AA351" i="4"/>
  <c r="AA352" i="4"/>
  <c r="AA353" i="4"/>
  <c r="AA366" i="4"/>
  <c r="AA367" i="4"/>
  <c r="AA368" i="4"/>
  <c r="AA354" i="4"/>
  <c r="AA355" i="4"/>
  <c r="AA356" i="4"/>
  <c r="AA357" i="4"/>
  <c r="AA358" i="4"/>
  <c r="AA359" i="4"/>
  <c r="AA360" i="4"/>
  <c r="AA361" i="4"/>
  <c r="AA363" i="4"/>
  <c r="AA364" i="4"/>
  <c r="AA362" i="4"/>
  <c r="AA365" i="4"/>
  <c r="AA370" i="4"/>
  <c r="AA371" i="4"/>
  <c r="AA372" i="4"/>
  <c r="AA373" i="4"/>
  <c r="AA374" i="4"/>
  <c r="AA375" i="4"/>
  <c r="AA376" i="4"/>
  <c r="AA377" i="4"/>
  <c r="AA378" i="4"/>
  <c r="AA379" i="4"/>
  <c r="AA381" i="4"/>
  <c r="AA382" i="4"/>
  <c r="AA384" i="4"/>
  <c r="AA383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8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67" i="2"/>
  <c r="BE68" i="2"/>
  <c r="BE69" i="2"/>
  <c r="BE79" i="2"/>
  <c r="BF67" i="2"/>
  <c r="BF68" i="2"/>
  <c r="BF69" i="2"/>
  <c r="BF79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67" i="2"/>
  <c r="BL68" i="2"/>
  <c r="BL69" i="2"/>
  <c r="BL79" i="2"/>
  <c r="BK67" i="2"/>
  <c r="BK68" i="2"/>
  <c r="BK69" i="2"/>
  <c r="BK79" i="2"/>
  <c r="BJ67" i="2"/>
  <c r="BJ68" i="2"/>
  <c r="BJ69" i="2"/>
  <c r="BJ79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67" i="2"/>
  <c r="BI68" i="2"/>
  <c r="BI69" i="2"/>
  <c r="BI79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67" i="2"/>
  <c r="BH68" i="2"/>
  <c r="BH69" i="2"/>
  <c r="BH79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67" i="2"/>
  <c r="BG68" i="2"/>
  <c r="BG69" i="2"/>
  <c r="BG79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82" i="4"/>
  <c r="AJ275" i="4"/>
  <c r="AJ255" i="4"/>
  <c r="AJ253" i="4"/>
  <c r="AJ239" i="4"/>
  <c r="AJ238" i="4"/>
  <c r="AJ236" i="4"/>
  <c r="AJ235" i="4"/>
  <c r="AJ234" i="4"/>
  <c r="AJ233" i="4"/>
  <c r="AJ231" i="4"/>
  <c r="AJ183" i="4"/>
  <c r="AJ175" i="4"/>
  <c r="AJ156" i="4"/>
  <c r="AJ155" i="4"/>
  <c r="AJ154" i="4"/>
  <c r="AJ136" i="4"/>
  <c r="AJ129" i="4"/>
  <c r="AJ120" i="4"/>
  <c r="AJ119" i="4"/>
  <c r="AJ110" i="4"/>
  <c r="AJ97" i="4"/>
  <c r="AJ63" i="4"/>
  <c r="AJ62" i="4"/>
  <c r="AJ287" i="4"/>
  <c r="AJ145" i="4"/>
  <c r="AJ102" i="4"/>
  <c r="AJ173" i="4"/>
  <c r="AJ88" i="4"/>
  <c r="AJ87" i="4"/>
  <c r="AJ86" i="4"/>
  <c r="AJ72" i="4"/>
  <c r="AJ71" i="4"/>
  <c r="AJ70" i="4"/>
  <c r="AJ49" i="4"/>
  <c r="AJ262" i="4"/>
  <c r="AJ261" i="4"/>
  <c r="AJ212" i="4"/>
  <c r="AJ186" i="4"/>
  <c r="AJ184" i="4"/>
  <c r="AJ181" i="4"/>
  <c r="AJ162" i="4"/>
  <c r="AJ131" i="4"/>
  <c r="AJ125" i="4"/>
  <c r="AJ118" i="4"/>
  <c r="AJ116" i="4"/>
  <c r="AJ112" i="4"/>
  <c r="AJ64" i="4"/>
  <c r="AJ48" i="4"/>
  <c r="AJ45" i="4"/>
  <c r="AJ44" i="4"/>
  <c r="AJ43" i="4"/>
  <c r="AJ42" i="4"/>
  <c r="AJ41" i="4"/>
  <c r="AJ26" i="4"/>
  <c r="AJ291" i="4"/>
  <c r="AJ100" i="4"/>
  <c r="AJ95" i="4"/>
  <c r="AJ73" i="4"/>
  <c r="AJ69" i="4"/>
  <c r="AJ68" i="4"/>
  <c r="AJ67" i="4"/>
  <c r="AJ61" i="4"/>
  <c r="AJ60" i="4"/>
  <c r="AJ59" i="4"/>
  <c r="AJ58" i="4"/>
  <c r="AJ57" i="4"/>
  <c r="AJ56" i="4"/>
  <c r="AJ55" i="4"/>
  <c r="AJ54" i="4"/>
  <c r="AJ53" i="4"/>
  <c r="AJ52" i="4"/>
  <c r="AJ51" i="4"/>
  <c r="AJ27" i="4"/>
  <c r="AJ25" i="4"/>
  <c r="AJ24" i="4"/>
  <c r="AJ276" i="4"/>
  <c r="AJ256" i="4"/>
  <c r="AJ251" i="4"/>
  <c r="AJ242" i="4"/>
  <c r="AJ241" i="4"/>
  <c r="AJ240" i="4"/>
  <c r="AJ151" i="4"/>
  <c r="AJ147" i="4"/>
  <c r="AJ132" i="4"/>
  <c r="AJ108" i="4"/>
  <c r="AJ115" i="4"/>
  <c r="AJ249" i="4"/>
  <c r="AJ246" i="4"/>
  <c r="AJ211" i="4"/>
  <c r="AJ210" i="4"/>
  <c r="AJ209" i="4"/>
  <c r="AJ199" i="4"/>
  <c r="AJ198" i="4"/>
  <c r="AJ190" i="4"/>
  <c r="AJ135" i="4"/>
  <c r="AJ105" i="4"/>
  <c r="AJ104" i="4"/>
  <c r="AJ94" i="4"/>
  <c r="AJ260" i="4"/>
  <c r="AJ254" i="4"/>
  <c r="AJ295" i="4"/>
  <c r="AJ294" i="4"/>
  <c r="AJ232" i="4"/>
  <c r="AJ229" i="4"/>
  <c r="AJ228" i="4"/>
  <c r="AJ297" i="4"/>
  <c r="AJ208" i="4"/>
  <c r="AJ207" i="4"/>
  <c r="AJ206" i="4"/>
  <c r="AJ205" i="4"/>
  <c r="AJ204" i="4"/>
  <c r="AJ203" i="4"/>
  <c r="AJ202" i="4"/>
  <c r="AJ197" i="4"/>
  <c r="AJ196" i="4"/>
  <c r="AJ195" i="4"/>
  <c r="AJ194" i="4"/>
  <c r="AJ193" i="4"/>
  <c r="AJ192" i="4"/>
  <c r="AJ153" i="4"/>
  <c r="AJ149" i="4"/>
  <c r="AJ148" i="4"/>
  <c r="AJ146" i="4"/>
  <c r="AJ139" i="4"/>
  <c r="AJ134" i="4"/>
  <c r="AJ123" i="4"/>
  <c r="AJ121" i="4"/>
  <c r="AJ111" i="4"/>
  <c r="AJ103" i="4"/>
  <c r="AJ98" i="4"/>
  <c r="AJ93" i="4"/>
  <c r="AJ81" i="4"/>
  <c r="AJ50" i="4"/>
  <c r="AJ46" i="4"/>
  <c r="AJ245" i="4"/>
  <c r="AJ298" i="4"/>
  <c r="AJ244" i="4"/>
  <c r="AJ243" i="4"/>
  <c r="AJ237" i="4"/>
  <c r="AJ182" i="4"/>
  <c r="AJ170" i="4"/>
  <c r="AJ169" i="4"/>
  <c r="AJ168" i="4"/>
  <c r="AJ140" i="4"/>
  <c r="AJ137" i="4"/>
  <c r="AJ133" i="4"/>
  <c r="AJ122" i="4"/>
  <c r="AJ113" i="4"/>
  <c r="AJ84" i="4"/>
  <c r="AJ83" i="4"/>
  <c r="AJ273" i="4"/>
  <c r="AJ248" i="4"/>
  <c r="AJ247" i="4"/>
  <c r="AJ217" i="4"/>
  <c r="AJ216" i="4"/>
  <c r="AJ201" i="4"/>
  <c r="AJ180" i="4"/>
  <c r="AJ289" i="4"/>
  <c r="AJ288" i="4"/>
  <c r="AJ271" i="4"/>
  <c r="AJ270" i="4"/>
  <c r="AJ220" i="4"/>
  <c r="AJ219" i="4"/>
  <c r="AJ296" i="4"/>
  <c r="AJ47" i="4"/>
  <c r="AJ230" i="4"/>
  <c r="AJ218" i="4"/>
  <c r="AJ191" i="4"/>
  <c r="AJ188" i="4"/>
  <c r="AJ187" i="4"/>
  <c r="AJ185" i="4"/>
  <c r="AJ174" i="4"/>
  <c r="AJ172" i="4"/>
  <c r="AJ130" i="4"/>
  <c r="AJ99" i="4"/>
  <c r="AJ90" i="4"/>
  <c r="AJ85" i="4"/>
  <c r="AJ80" i="4"/>
  <c r="AJ79" i="4"/>
  <c r="AJ290" i="4"/>
  <c r="AJ286" i="4"/>
  <c r="AJ284" i="4"/>
  <c r="AJ274" i="4"/>
  <c r="AJ272" i="4"/>
  <c r="AJ221" i="4"/>
  <c r="AJ200" i="4"/>
  <c r="AJ179" i="4"/>
  <c r="AJ161" i="4"/>
  <c r="AJ101" i="4"/>
  <c r="AJ292" i="4"/>
  <c r="AJ92" i="4"/>
  <c r="AJ91" i="4"/>
  <c r="AJ164" i="4"/>
  <c r="AJ150" i="4"/>
  <c r="AJ127" i="4"/>
  <c r="AJ109" i="4"/>
  <c r="AJ15" i="4"/>
  <c r="AJ14" i="4"/>
  <c r="AJ13" i="4"/>
  <c r="AJ285" i="4"/>
  <c r="AJ250" i="4"/>
  <c r="AJ178" i="4"/>
  <c r="AJ171" i="4"/>
  <c r="AJ163" i="4"/>
  <c r="AJ89" i="4"/>
  <c r="AJ23" i="4"/>
  <c r="AJ22" i="4"/>
  <c r="AJ21" i="4"/>
  <c r="AJ20" i="4"/>
  <c r="AJ189" i="4"/>
  <c r="AJ177" i="4"/>
  <c r="AJ176" i="4"/>
  <c r="AJ34" i="4"/>
  <c r="AJ269" i="4"/>
  <c r="AJ268" i="4"/>
  <c r="AJ267" i="4"/>
  <c r="AJ266" i="4"/>
  <c r="AJ265" i="4"/>
  <c r="AJ141" i="4"/>
  <c r="AJ117" i="4"/>
  <c r="AJ283" i="4"/>
  <c r="AJ282" i="4"/>
  <c r="AJ281" i="4"/>
  <c r="AJ280" i="4"/>
  <c r="AJ279" i="4"/>
  <c r="AJ278" i="4"/>
  <c r="AJ252" i="4"/>
  <c r="AJ7" i="4"/>
  <c r="AJ293" i="4"/>
  <c r="AJ38" i="4"/>
  <c r="AJ35" i="4"/>
  <c r="AJ19" i="4"/>
  <c r="AJ18" i="4"/>
  <c r="AJ17" i="4"/>
  <c r="AJ12" i="4"/>
  <c r="AJ11" i="4"/>
  <c r="AJ10" i="4"/>
  <c r="AJ9" i="4"/>
  <c r="AJ223" i="4"/>
  <c r="AJ214" i="4"/>
  <c r="AJ213" i="4"/>
  <c r="AJ227" i="4"/>
  <c r="AJ226" i="4"/>
  <c r="AJ225" i="4"/>
  <c r="AJ224" i="4"/>
  <c r="AJ222" i="4"/>
  <c r="AJ215" i="4"/>
  <c r="AJ152" i="4"/>
  <c r="AJ144" i="4"/>
  <c r="AJ143" i="4"/>
  <c r="AJ142" i="4"/>
  <c r="AJ126" i="4"/>
  <c r="AJ75" i="4"/>
  <c r="AJ40" i="4"/>
  <c r="AJ39" i="4"/>
  <c r="AJ76" i="4"/>
  <c r="AJ160" i="4"/>
  <c r="AJ159" i="4"/>
  <c r="AJ33" i="4"/>
  <c r="AJ31" i="4"/>
  <c r="AJ30" i="4"/>
  <c r="AJ167" i="4"/>
  <c r="AJ166" i="4"/>
  <c r="AJ165" i="4"/>
  <c r="AJ128" i="4"/>
  <c r="AJ114" i="4"/>
  <c r="AJ66" i="4"/>
  <c r="AJ65" i="4"/>
  <c r="AJ106" i="4"/>
  <c r="AJ6" i="4"/>
  <c r="AJ124" i="4"/>
  <c r="AJ107" i="4"/>
  <c r="AJ157" i="4"/>
  <c r="AJ32" i="4"/>
  <c r="AJ29" i="4"/>
  <c r="AJ28" i="4"/>
  <c r="AJ277" i="4"/>
  <c r="AJ264" i="4"/>
  <c r="AJ263" i="4"/>
  <c r="AJ158" i="4"/>
  <c r="AJ138" i="4"/>
  <c r="AJ96" i="4"/>
  <c r="AJ78" i="4"/>
  <c r="AJ74" i="4"/>
  <c r="AJ5" i="4"/>
  <c r="AJ4" i="4"/>
  <c r="AJ3" i="4"/>
  <c r="AJ2" i="4"/>
  <c r="AJ37" i="4"/>
  <c r="AJ36" i="4"/>
  <c r="AJ16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8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298" i="4"/>
  <c r="Y292" i="4"/>
  <c r="Y294" i="4"/>
  <c r="Y295" i="4"/>
  <c r="X2" i="12"/>
  <c r="S2" i="12"/>
  <c r="T2" i="12"/>
  <c r="X263" i="4"/>
  <c r="X264" i="4"/>
  <c r="X96" i="4"/>
  <c r="X277" i="4"/>
  <c r="X293" i="4"/>
  <c r="X138" i="4"/>
  <c r="X4" i="4"/>
  <c r="X74" i="4"/>
  <c r="X5" i="4"/>
  <c r="X36" i="4"/>
  <c r="X2" i="4"/>
  <c r="W2" i="12"/>
  <c r="Z298" i="4"/>
  <c r="Z292" i="4"/>
  <c r="Z294" i="4"/>
  <c r="Z295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codePage="10000" sourceFile="/Users/ntv489/protwis_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<sst xmlns="http://schemas.openxmlformats.org/spreadsheetml/2006/main" count="14062" uniqueCount="1568">
  <si>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</si>
  <si>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</si>
  <si>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</si>
  <si>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</si>
  <si>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</si>
  <si>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</si>
  <si>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</si>
  <si>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</si>
  <si>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</si>
  <si>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</si>
  <si>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</si>
  <si>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</si>
  <si>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</si>
  <si>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</si>
  <si>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</si>
  <si>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</si>
  <si>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</si>
  <si>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</si>
  <si>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</si>
  <si>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</si>
  <si>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</si>
  <si>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</si>
  <si>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</si>
  <si>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</si>
  <si>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</si>
  <si>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</si>
  <si>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</si>
  <si>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</si>
  <si>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</si>
  <si>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</si>
  <si>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</si>
  <si>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</si>
  <si>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</si>
  <si>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</si>
  <si>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</si>
  <si>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</si>
  <si>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</si>
  <si>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</si>
  <si>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</si>
  <si>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</si>
  <si>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</si>
  <si>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</si>
  <si>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</si>
  <si>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</si>
  <si>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</si>
  <si>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</si>
  <si>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</si>
  <si>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</si>
  <si>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</si>
  <si>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</si>
  <si>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</si>
  <si>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</si>
  <si>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</si>
  <si>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</si>
  <si>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</si>
  <si>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</si>
  <si>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</si>
  <si>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</si>
  <si>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</si>
  <si>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</si>
  <si>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</si>
  <si>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</si>
  <si>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</si>
  <si>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</si>
  <si>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</si>
  <si>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</si>
  <si>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</si>
  <si>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</si>
  <si>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</si>
  <si>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</si>
  <si>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</si>
  <si>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</si>
  <si>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</si>
  <si>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</si>
  <si>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</si>
  <si>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</si>
  <si>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</si>
  <si>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</si>
  <si>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</si>
  <si>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</si>
  <si>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</si>
  <si>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</si>
  <si>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</si>
  <si>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</si>
  <si>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</si>
  <si>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</si>
  <si>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</si>
  <si>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</si>
  <si>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</si>
  <si>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</si>
  <si>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</si>
  <si>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</si>
  <si>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</si>
  <si>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</si>
  <si>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</si>
  <si>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</si>
  <si>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</si>
  <si>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</si>
  <si>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</si>
  <si>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</si>
  <si>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</si>
  <si>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</si>
  <si>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</si>
  <si>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</si>
  <si>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</si>
  <si>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</si>
  <si>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</si>
  <si>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</si>
  <si>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</si>
  <si>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</si>
  <si>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</si>
  <si>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</si>
  <si>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</si>
  <si>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</si>
  <si>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</si>
  <si>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</si>
  <si>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</si>
  <si>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</si>
  <si>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</si>
  <si>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</si>
  <si>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</si>
  <si>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</si>
  <si>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</si>
  <si>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</si>
  <si>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</si>
  <si>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</si>
  <si>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</si>
  <si>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</si>
  <si>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</si>
  <si>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</si>
  <si>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</si>
  <si>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</si>
  <si>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</si>
  <si>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</si>
  <si>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</si>
  <si>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</si>
  <si>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</si>
  <si>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</si>
  <si>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</si>
  <si>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</si>
  <si>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</si>
  <si>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</si>
  <si>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</si>
  <si>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</si>
  <si>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</si>
  <si>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</si>
  <si>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</si>
  <si>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</si>
  <si>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</si>
  <si>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</si>
  <si>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</si>
  <si>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</si>
  <si>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</si>
  <si>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</si>
  <si>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</si>
  <si>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</si>
  <si>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</si>
  <si>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</si>
  <si>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</si>
  <si>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</si>
  <si>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</si>
  <si>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</si>
  <si>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</si>
  <si>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</si>
  <si>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</si>
  <si>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</si>
  <si>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</si>
  <si>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</si>
  <si>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</si>
  <si>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</si>
  <si>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</si>
  <si>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</si>
  <si>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</si>
  <si>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</si>
  <si>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</si>
  <si>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</si>
  <si>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</si>
  <si>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</si>
  <si>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</si>
  <si>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</si>
  <si>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</si>
  <si>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</si>
  <si>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</si>
  <si>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</si>
  <si>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</si>
  <si>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</si>
  <si>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</si>
  <si>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</si>
  <si>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</si>
  <si>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</si>
  <si>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</si>
  <si>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</si>
  <si>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</si>
  <si>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</si>
  <si>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</si>
  <si>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</si>
  <si>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</si>
  <si>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</si>
  <si>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</si>
  <si>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</si>
  <si>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</si>
  <si>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</si>
  <si>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</si>
  <si>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</si>
  <si>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</si>
  <si>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</si>
  <si>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</si>
  <si>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</si>
  <si>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</si>
  <si>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</si>
  <si>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</si>
  <si>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</si>
  <si>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</si>
  <si>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</si>
  <si>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</si>
  <si>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</si>
  <si>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</si>
  <si>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</si>
  <si>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</si>
  <si>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</si>
  <si>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</si>
  <si>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</si>
  <si>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</si>
  <si>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</si>
  <si>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</si>
  <si>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</si>
  <si>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</si>
  <si>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</si>
  <si>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</si>
  <si>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</si>
  <si>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</si>
  <si>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</si>
  <si>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</si>
  <si>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</si>
  <si>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</si>
  <si>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</si>
  <si>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</si>
  <si>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</si>
  <si>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</si>
  <si>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</si>
  <si>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</si>
  <si>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</si>
  <si>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</si>
  <si>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</si>
  <si>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</si>
  <si>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</si>
  <si>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</si>
  <si>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</si>
  <si>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</si>
  <si>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</si>
  <si>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</si>
  <si>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</si>
  <si>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</si>
  <si>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</si>
  <si>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</si>
  <si>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</si>
  <si>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</si>
  <si>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</si>
  <si>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</si>
  <si>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</si>
  <si>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</si>
  <si>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</si>
  <si>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</si>
  <si>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</si>
  <si>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</si>
  <si>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</si>
  <si>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</si>
  <si>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</si>
  <si>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</si>
  <si>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</si>
  <si>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</si>
  <si>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</si>
  <si>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</si>
  <si>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</si>
  <si>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</si>
  <si>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</si>
  <si>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</si>
  <si>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</si>
  <si>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</si>
  <si>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</si>
  <si>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</si>
  <si>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</si>
  <si>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</si>
  <si>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</si>
  <si>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</si>
  <si>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</si>
  <si>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</si>
  <si>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</si>
  <si>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</si>
  <si>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</si>
  <si>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</si>
  <si>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</si>
  <si>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</si>
  <si>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</si>
  <si>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</si>
  <si>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</si>
  <si>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</si>
  <si>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</si>
  <si>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</si>
  <si>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</si>
  <si>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</si>
  <si>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</si>
  <si>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</si>
  <si>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</si>
  <si>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</si>
  <si>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</si>
  <si>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</si>
  <si>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</si>
  <si>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</si>
  <si>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</si>
  <si>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</si>
  <si>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</si>
  <si>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</si>
  <si>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</si>
  <si>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</si>
  <si>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</si>
  <si>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</si>
  <si>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</si>
  <si>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</si>
  <si>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</si>
  <si>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</si>
  <si>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</si>
  <si>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</si>
  <si>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</si>
  <si>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</si>
  <si>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</si>
  <si>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</si>
  <si>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</si>
  <si>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</si>
  <si>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</si>
  <si>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</si>
  <si>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</si>
  <si>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</si>
  <si>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</si>
  <si>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</si>
  <si>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</si>
  <si>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</si>
  <si>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</si>
  <si>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</si>
  <si>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</si>
  <si>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</si>
  <si>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</si>
  <si>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</si>
  <si>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</si>
  <si>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</si>
  <si>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</si>
  <si>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</si>
  <si>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</si>
  <si>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</si>
  <si>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</si>
  <si>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</si>
  <si>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</si>
  <si>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</si>
  <si>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</si>
  <si>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</si>
  <si>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</si>
  <si>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</si>
  <si>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</si>
  <si>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</si>
  <si>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</si>
  <si>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</si>
  <si>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</si>
  <si>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</si>
  <si>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</si>
  <si>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</si>
  <si>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</si>
  <si>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</si>
  <si>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</si>
  <si>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</si>
  <si>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</si>
  <si>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</si>
  <si>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</si>
  <si>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</si>
  <si>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</si>
  <si>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</si>
  <si>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</si>
  <si>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</si>
  <si>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</si>
  <si>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</si>
  <si>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</si>
  <si>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</si>
  <si>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</si>
  <si>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</si>
  <si>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</si>
  <si>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</si>
  <si>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</si>
  <si>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</si>
  <si>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</si>
  <si>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</si>
  <si>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</si>
  <si>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</si>
  <si>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</si>
  <si>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</si>
  <si>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</si>
  <si>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</si>
  <si>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</si>
  <si>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</si>
  <si>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</si>
  <si>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</si>
  <si>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</si>
  <si>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</si>
  <si>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</si>
  <si>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</si>
  <si>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</si>
  <si>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</si>
  <si>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</si>
  <si>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</si>
  <si>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</si>
  <si>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</si>
  <si>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</si>
  <si>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</si>
  <si>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</si>
  <si>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</si>
  <si>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</si>
  <si>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</si>
  <si>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</si>
  <si>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</si>
  <si>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</si>
  <si>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</si>
  <si>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</si>
  <si>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</si>
  <si>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</si>
  <si>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</si>
  <si>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</si>
  <si>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</si>
  <si>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</si>
  <si>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</si>
  <si>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</si>
  <si>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</si>
  <si>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</si>
  <si>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</si>
  <si>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</si>
  <si>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</si>
  <si>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</si>
  <si>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</si>
  <si>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</si>
  <si>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</si>
  <si>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</si>
  <si>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</si>
  <si>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</si>
  <si>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</si>
  <si>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</si>
  <si>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</si>
  <si>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</si>
  <si>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</si>
  <si>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</si>
  <si>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</si>
  <si>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</si>
  <si>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</si>
  <si>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</si>
  <si>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</si>
  <si>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</si>
  <si>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</si>
  <si>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</si>
  <si>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</si>
  <si>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</si>
  <si>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</si>
  <si>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</si>
  <si>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</si>
  <si>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</si>
  <si>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</si>
  <si>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</si>
  <si>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</si>
  <si>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</si>
  <si>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</si>
  <si>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</si>
  <si>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</si>
  <si>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</si>
  <si>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</si>
  <si>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</si>
  <si>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</si>
  <si>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</si>
  <si>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</si>
  <si>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</si>
  <si>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</si>
  <si>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</si>
  <si>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</si>
  <si>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</si>
  <si>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</si>
  <si>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</si>
  <si>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</si>
  <si>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</si>
  <si>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</si>
  <si>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</si>
  <si>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</si>
  <si>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</si>
  <si>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</si>
  <si>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</si>
  <si>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</si>
  <si>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</si>
  <si>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</si>
  <si>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</si>
  <si>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</si>
  <si>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</si>
  <si>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</si>
  <si>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</si>
  <si>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</si>
  <si>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</si>
  <si>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</si>
  <si>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</si>
  <si>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</si>
  <si>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</si>
  <si>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</si>
  <si>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</si>
  <si>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</si>
  <si>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</si>
  <si>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</si>
  <si>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</si>
  <si>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</si>
  <si>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</si>
  <si>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</si>
  <si>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</si>
  <si>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</si>
  <si>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</si>
  <si>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</si>
  <si>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</si>
  <si>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</si>
  <si>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</si>
  <si>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</si>
  <si>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</si>
  <si>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</si>
  <si>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</si>
  <si>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</si>
  <si>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</si>
  <si>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</si>
  <si>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</si>
  <si>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</si>
  <si>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</si>
  <si>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</si>
  <si>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</si>
  <si>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</si>
  <si>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</si>
  <si>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</si>
  <si>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</si>
  <si>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</si>
  <si>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</si>
  <si>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</si>
  <si>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</si>
  <si>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</si>
  <si>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</si>
  <si>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</si>
  <si>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</si>
  <si>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</si>
  <si>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</si>
  <si>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</si>
  <si>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</si>
  <si>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</si>
  <si>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</si>
  <si>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</si>
  <si>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</si>
  <si>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</si>
  <si>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</si>
  <si>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</si>
  <si>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</si>
  <si>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</si>
  <si>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</si>
  <si>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</si>
  <si>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</si>
  <si>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</si>
  <si>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</si>
  <si>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</si>
  <si>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</si>
  <si>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</si>
  <si>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</si>
  <si>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</si>
  <si>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</si>
  <si>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</si>
  <si>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</si>
  <si>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</si>
  <si>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</si>
  <si>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</si>
  <si>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</si>
  <si>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</si>
  <si>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</si>
  <si>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</si>
  <si>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</si>
  <si>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</si>
  <si>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</si>
  <si>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</si>
  <si>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</si>
  <si>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</si>
  <si>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</si>
  <si>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</si>
  <si>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</si>
  <si>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</si>
  <si>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</si>
  <si>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</si>
  <si>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</si>
  <si>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</si>
  <si>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</si>
  <si>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</si>
  <si>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</si>
  <si>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</si>
  <si>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</si>
  <si>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</si>
  <si>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</si>
  <si>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</si>
  <si>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</si>
  <si>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</si>
  <si>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</si>
  <si>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</si>
  <si>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</si>
  <si>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</si>
  <si>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</si>
  <si>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</si>
  <si>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</si>
  <si>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</si>
  <si>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</si>
  <si>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</si>
  <si>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</si>
  <si>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</si>
  <si>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</si>
  <si>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</si>
  <si>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</si>
  <si>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</si>
  <si>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</si>
  <si>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</si>
  <si>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</si>
  <si>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</si>
  <si>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</si>
  <si>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</si>
  <si>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</si>
  <si>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</si>
  <si>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</si>
  <si>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</si>
  <si>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</si>
  <si>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</si>
  <si>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</si>
  <si>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</si>
  <si>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</si>
  <si>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</si>
  <si>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</si>
  <si>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</si>
  <si>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</si>
  <si>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</si>
  <si>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</si>
  <si>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</si>
  <si>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</si>
  <si>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</si>
  <si>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</si>
  <si>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</si>
  <si>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</si>
  <si>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</si>
  <si>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</si>
  <si>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</si>
  <si>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</si>
  <si>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</si>
  <si>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</si>
  <si>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</si>
  <si>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</si>
  <si>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</si>
  <si>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</si>
  <si>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</si>
  <si>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</si>
  <si>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</si>
  <si>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</si>
  <si>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</si>
  <si>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</si>
  <si>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</si>
  <si>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</si>
  <si>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</si>
  <si>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</si>
  <si>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</si>
  <si>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</si>
  <si>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</si>
  <si>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</si>
  <si>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</si>
  <si>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</si>
  <si>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</si>
  <si>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</si>
  <si>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</si>
  <si>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</si>
  <si>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</si>
  <si>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</si>
  <si>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</si>
  <si>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</si>
  <si>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</si>
  <si>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</si>
  <si>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</si>
  <si>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</si>
  <si>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</si>
  <si>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</si>
  <si>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</si>
  <si>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</si>
  <si>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</si>
  <si>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</si>
  <si>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</si>
  <si>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</si>
  <si>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</si>
  <si>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</si>
  <si>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</si>
  <si>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</si>
  <si>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</si>
  <si>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</si>
  <si>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</si>
  <si>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</si>
  <si>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</si>
  <si>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</si>
  <si>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</si>
  <si>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</si>
  <si>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</si>
  <si>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</si>
  <si>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</si>
  <si>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</si>
  <si>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</si>
  <si>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</si>
  <si>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</si>
  <si>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</si>
  <si>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</si>
  <si>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</si>
  <si>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</si>
  <si>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</si>
  <si>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</si>
  <si>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</si>
  <si>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</si>
  <si>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</si>
  <si>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</si>
  <si>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</si>
  <si>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</si>
  <si>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</si>
  <si>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</si>
  <si>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</si>
  <si>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</si>
  <si>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</si>
  <si>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</si>
  <si>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</si>
  <si>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</si>
  <si>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</si>
  <si>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</si>
  <si>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</si>
  <si>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</si>
  <si>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</si>
  <si>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</si>
  <si>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</si>
  <si>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</si>
  <si>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</si>
  <si>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</si>
  <si>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</si>
  <si>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</si>
  <si>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</si>
  <si>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</si>
  <si>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</si>
  <si>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</si>
  <si>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</si>
  <si>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</si>
  <si>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</si>
  <si>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</si>
  <si>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</si>
  <si>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</si>
  <si>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</si>
  <si>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</si>
  <si>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</si>
  <si>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</si>
  <si>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</si>
  <si>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</si>
  <si>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</si>
  <si>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</si>
  <si>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</si>
  <si>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</si>
  <si>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</si>
  <si>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</si>
  <si>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</si>
  <si>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</si>
  <si>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</si>
  <si>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</si>
  <si>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</si>
  <si>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</si>
  <si>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</si>
  <si>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</si>
  <si>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</si>
  <si>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</si>
  <si>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</si>
  <si>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</si>
  <si>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</si>
  <si>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</si>
  <si>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</si>
  <si>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</si>
  <si>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</si>
  <si>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</si>
  <si>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</si>
  <si>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</si>
  <si>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</si>
  <si>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</si>
  <si>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</si>
  <si>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</si>
  <si>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</si>
  <si>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</si>
  <si>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</si>
  <si>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</si>
  <si>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</si>
  <si>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</si>
  <si>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</si>
  <si>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</si>
  <si>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</si>
  <si>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</si>
  <si>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</si>
  <si>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</si>
  <si>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</si>
  <si>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</si>
  <si>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</si>
  <si>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</si>
  <si>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</si>
  <si>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</si>
  <si>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</si>
  <si>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</si>
  <si>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</si>
  <si>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</si>
  <si>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</si>
  <si>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</si>
  <si>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</si>
  <si>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</si>
  <si>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</si>
  <si>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</si>
  <si>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</si>
  <si>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</si>
  <si>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</si>
  <si>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</si>
  <si>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</si>
  <si>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</si>
  <si>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</si>
  <si>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</si>
  <si>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</si>
  <si>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</si>
  <si>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</si>
  <si>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</si>
  <si>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</si>
  <si>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</si>
  <si>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</si>
  <si>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</si>
  <si>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</si>
  <si>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</si>
  <si>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</si>
  <si>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</si>
  <si>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</si>
  <si>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</si>
  <si>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</si>
  <si>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</si>
  <si>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</si>
  <si>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</si>
  <si>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</si>
  <si>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</si>
  <si>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</si>
  <si>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</si>
  <si>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</si>
  <si>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</si>
  <si>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</si>
  <si>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</si>
  <si>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</si>
  <si>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</si>
  <si>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</si>
  <si>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</si>
  <si>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</si>
  <si>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</si>
  <si>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</si>
  <si>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</si>
  <si>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</si>
  <si>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</si>
  <si>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</si>
  <si>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</si>
  <si>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</si>
  <si>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</si>
  <si>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</si>
  <si>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</si>
  <si>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</si>
  <si>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</si>
  <si>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</si>
  <si>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</si>
  <si>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</si>
  <si>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</si>
  <si>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</si>
  <si>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</si>
  <si>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</si>
  <si>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</si>
  <si>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</si>
  <si>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</si>
  <si>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</si>
  <si>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</si>
  <si>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</si>
  <si>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</si>
  <si>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</si>
  <si>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</si>
  <si>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</si>
  <si>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</si>
  <si>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</si>
  <si>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</si>
  <si>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</si>
  <si>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</si>
  <si>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</si>
  <si>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</si>
  <si>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</si>
  <si>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</si>
  <si>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</si>
  <si>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</si>
  <si>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</si>
  <si>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</si>
  <si>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</si>
  <si>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</si>
  <si>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</si>
  <si>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</si>
  <si>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</si>
  <si>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</si>
  <si>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</si>
  <si>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</si>
  <si>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</si>
  <si>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</si>
  <si>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</si>
  <si>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</si>
  <si>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</si>
  <si>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</si>
  <si>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</si>
  <si>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</si>
  <si>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</si>
  <si>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</si>
  <si>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</si>
  <si>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</si>
  <si>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</si>
  <si>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</si>
  <si>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</si>
  <si>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</si>
  <si>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</si>
  <si>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</si>
  <si>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</si>
  <si>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</si>
  <si>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</si>
  <si>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</si>
  <si>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</si>
  <si>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</si>
  <si>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</si>
  <si>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</si>
  <si>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</si>
  <si>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</si>
  <si>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</si>
  <si>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</si>
  <si>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</si>
  <si>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</si>
  <si>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</si>
  <si>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</si>
  <si>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</si>
  <si>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</si>
  <si>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</si>
  <si>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</si>
  <si>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</si>
  <si>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</si>
  <si>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</si>
  <si>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</si>
  <si>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</si>
  <si>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</si>
  <si>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</si>
  <si>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</si>
  <si>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</si>
  <si>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</si>
  <si>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</si>
  <si>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</si>
  <si>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</si>
  <si>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</si>
  <si>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</si>
  <si>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</si>
  <si>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</si>
  <si>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</si>
  <si>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</si>
  <si>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</si>
  <si>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</si>
  <si>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</si>
  <si>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</si>
  <si>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</si>
  <si>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</si>
  <si>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</si>
  <si>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</si>
  <si>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</si>
  <si>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</si>
  <si>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</si>
  <si>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</si>
  <si>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</si>
  <si>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</si>
  <si>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</si>
  <si>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</si>
  <si>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</si>
  <si>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</si>
  <si>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</si>
  <si>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</si>
  <si>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</si>
  <si>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</si>
  <si>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</si>
  <si>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</si>
  <si>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</si>
  <si>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</si>
  <si>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</si>
  <si>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</si>
  <si>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</si>
  <si>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</si>
  <si>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</si>
  <si>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</si>
  <si>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</si>
  <si>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</si>
  <si>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</si>
  <si>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</si>
  <si>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</si>
  <si>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</si>
  <si>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</si>
  <si>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</si>
  <si>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</si>
  <si>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</si>
  <si>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</si>
  <si>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</si>
  <si>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</si>
  <si>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</si>
  <si>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</si>
  <si>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</si>
  <si>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</si>
  <si>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</si>
  <si>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</si>
  <si>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</si>
  <si>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</si>
  <si>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</si>
  <si>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</si>
  <si>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</si>
  <si>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</si>
  <si>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</si>
  <si>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</si>
  <si>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</si>
  <si>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</si>
  <si>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</si>
  <si>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</si>
  <si>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</si>
  <si>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</si>
  <si>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</si>
  <si>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</si>
  <si>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</si>
  <si>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</si>
  <si>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</si>
  <si>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</si>
  <si>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</si>
  <si>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</si>
  <si>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</si>
  <si>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</si>
  <si>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</si>
  <si>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</si>
  <si>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</si>
  <si>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</si>
  <si>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</si>
  <si>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</si>
  <si>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</si>
  <si>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</si>
  <si>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</si>
  <si>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</si>
  <si>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</si>
  <si>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</si>
  <si>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</si>
  <si>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</si>
  <si>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</si>
  <si>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</si>
  <si>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</si>
  <si>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</si>
  <si>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</si>
  <si>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</si>
  <si>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</si>
  <si>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</si>
  <si>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</si>
  <si>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</si>
  <si>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</si>
  <si>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</si>
  <si>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</si>
  <si>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</si>
  <si>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</si>
  <si>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</si>
  <si>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</si>
  <si>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</si>
  <si>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</si>
  <si>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</si>
  <si>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</si>
  <si>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</si>
  <si>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</si>
  <si>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</si>
  <si>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</si>
  <si>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</si>
  <si>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</si>
  <si>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</si>
  <si>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</si>
  <si>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</si>
  <si>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</si>
  <si>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</si>
  <si>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</si>
  <si>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</si>
  <si>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</si>
  <si>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</si>
  <si>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</si>
  <si>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</si>
  <si>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</si>
  <si>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</si>
  <si>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</si>
  <si>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</si>
  <si>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</si>
  <si>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</si>
  <si>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</si>
  <si>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</si>
  <si>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</si>
  <si>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</si>
  <si>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</si>
  <si>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</si>
  <si>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</si>
  <si>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</si>
  <si>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</si>
  <si>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</si>
  <si>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</si>
  <si>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</si>
  <si>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</si>
  <si>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</si>
  <si>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</si>
  <si>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</si>
  <si>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</si>
  <si>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</si>
  <si>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</si>
  <si>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</si>
  <si>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</si>
  <si>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</si>
  <si>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</si>
  <si>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</si>
  <si>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</si>
  <si>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</si>
  <si>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</si>
  <si>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</si>
  <si>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</si>
  <si>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</si>
  <si>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</si>
  <si>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</si>
  <si>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</si>
  <si>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</si>
  <si>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</si>
  <si>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</si>
  <si>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</si>
  <si>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</si>
  <si>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</si>
  <si>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</si>
  <si>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</si>
  <si>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</si>
  <si>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</si>
  <si>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</si>
  <si>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</si>
  <si>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</si>
  <si>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</si>
  <si>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</si>
  <si>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</si>
  <si>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</si>
  <si>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</si>
  <si>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</si>
  <si>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</si>
  <si>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</si>
  <si>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</si>
  <si>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</si>
  <si>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</si>
  <si>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</si>
  <si>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</si>
  <si>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</si>
  <si>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</si>
  <si>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</si>
  <si>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</si>
  <si>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</si>
  <si>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</si>
  <si>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</si>
  <si>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</si>
  <si>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</si>
  <si>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</si>
  <si>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</si>
  <si>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</si>
  <si>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</si>
  <si>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</si>
  <si>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</si>
  <si>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</si>
  <si>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</si>
  <si>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</si>
  <si>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</si>
  <si>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</si>
  <si>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</si>
  <si>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</si>
  <si>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</si>
  <si>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</si>
  <si>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</si>
  <si>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</si>
  <si>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</si>
  <si>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</si>
  <si>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</si>
  <si>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</si>
  <si>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</si>
  <si>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</si>
  <si>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</si>
  <si>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</si>
  <si>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</si>
  <si>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</si>
  <si>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</si>
  <si>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</si>
  <si>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</si>
  <si>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</si>
  <si>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</si>
  <si>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</si>
  <si>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</si>
  <si>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</si>
  <si>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</si>
  <si>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</si>
  <si>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</si>
  <si>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</si>
  <si>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</si>
  <si>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</si>
  <si>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</si>
  <si>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</si>
  <si>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</si>
  <si>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</si>
  <si>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</si>
  <si>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</si>
  <si>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</si>
  <si>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</si>
  <si>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</si>
  <si>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</si>
  <si>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</si>
  <si>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</si>
  <si>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</si>
  <si>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</si>
  <si>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</si>
  <si>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</si>
  <si>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</si>
  <si>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</si>
  <si>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</si>
  <si>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</si>
  <si>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</si>
  <si>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</si>
  <si>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</si>
  <si>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</si>
  <si>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</si>
  <si>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</si>
  <si>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</si>
  <si>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</si>
  <si>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</si>
  <si>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</si>
  <si>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</si>
  <si>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</si>
  <si>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</si>
  <si>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</si>
  <si>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</si>
  <si>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</si>
  <si>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</si>
  <si>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</si>
  <si>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</si>
  <si>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</si>
  <si>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</si>
  <si>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</si>
  <si>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</si>
  <si>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</si>
  <si>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</si>
  <si>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</si>
  <si>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</si>
  <si>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</si>
  <si>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</si>
  <si>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</si>
  <si>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</si>
  <si>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</si>
  <si>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</si>
  <si>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</si>
  <si>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</si>
  <si>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</si>
  <si>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</si>
  <si>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</si>
  <si>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</si>
  <si>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</si>
  <si>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</si>
  <si>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</si>
  <si>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</si>
  <si>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</si>
  <si>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</si>
  <si>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</si>
  <si>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</si>
  <si>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</si>
  <si>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</si>
  <si>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</si>
  <si>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</si>
  <si>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</si>
  <si>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</si>
  <si>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</si>
  <si>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</si>
  <si>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</si>
  <si>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</si>
  <si>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</si>
  <si>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</si>
  <si>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</si>
  <si>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</si>
  <si>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</si>
  <si>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</si>
  <si>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</si>
  <si>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</si>
  <si>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</si>
  <si>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</si>
  <si>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</si>
  <si>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</si>
  <si>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</si>
  <si>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</si>
  <si>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</si>
  <si>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</si>
  <si>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</si>
  <si>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</si>
  <si>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</si>
  <si>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</si>
  <si>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</si>
  <si>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</si>
  <si>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</si>
  <si>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</si>
  <si>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</si>
  <si>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</si>
  <si>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</si>
  <si>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</si>
  <si>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</si>
  <si>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</si>
  <si>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</si>
  <si>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</si>
  <si>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</si>
  <si>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</si>
  <si>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</si>
  <si>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</si>
  <si>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</si>
  <si>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</si>
  <si>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</si>
  <si>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</si>
  <si>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</si>
  <si>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</si>
  <si>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</si>
  <si>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</si>
  <si>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</si>
  <si>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</si>
  <si>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</si>
  <si>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</si>
  <si>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</si>
  <si>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</si>
  <si>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</si>
  <si>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</si>
  <si>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</si>
  <si>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</si>
  <si>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</si>
  <si>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</si>
  <si>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</si>
  <si>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</si>
  <si>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</si>
  <si>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</si>
  <si>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</si>
  <si>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</si>
  <si>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</si>
  <si>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</si>
  <si>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</si>
  <si>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</si>
  <si>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</si>
  <si>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</si>
  <si>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</si>
  <si>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</si>
  <si>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</si>
  <si>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</si>
  <si>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</si>
  <si>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</si>
  <si>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</si>
  <si>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</si>
  <si>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</si>
  <si>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</si>
  <si>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</si>
  <si>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</si>
  <si>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</si>
  <si>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</si>
  <si>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</si>
  <si>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</si>
  <si>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</si>
  <si>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</si>
  <si>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</si>
  <si>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</si>
  <si>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</si>
  <si>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</si>
  <si>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</si>
  <si>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</si>
  <si>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</si>
  <si>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</si>
  <si>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</si>
  <si>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</si>
  <si>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</si>
  <si>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</si>
  <si>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</si>
  <si>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</si>
  <si>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</si>
  <si>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</si>
  <si>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</si>
  <si>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</si>
  <si>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</si>
  <si>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</si>
  <si>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</si>
  <si>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</si>
  <si>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</si>
  <si>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</si>
  <si>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</si>
  <si>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</si>
  <si>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</si>
  <si>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</si>
  <si>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</si>
  <si>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</si>
  <si>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</si>
  <si>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</si>
  <si>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</si>
  <si>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</si>
  <si>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</si>
  <si>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</si>
  <si>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</si>
  <si>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</si>
  <si>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</si>
  <si>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</si>
  <si>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</si>
  <si>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</si>
  <si>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</si>
  <si>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</si>
  <si>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</si>
  <si>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</si>
  <si>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</si>
  <si>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</si>
  <si>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</si>
  <si>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</si>
  <si>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</si>
  <si>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</si>
  <si>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</si>
  <si>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</si>
  <si>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</si>
  <si>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</si>
  <si>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</si>
  <si>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</si>
  <si>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</si>
  <si>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</si>
  <si>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</si>
  <si>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</si>
  <si>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</si>
  <si>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</si>
  <si>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</si>
  <si>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</si>
  <si>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</si>
  <si>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</si>
  <si>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</si>
  <si>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</si>
  <si>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</si>
  <si>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</si>
  <si>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</si>
  <si>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</si>
  <si>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</si>
  <si>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</si>
  <si>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</si>
  <si>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</si>
  <si>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</si>
  <si>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</si>
  <si>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</si>
  <si>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</si>
  <si>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</si>
  <si>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</si>
  <si>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</si>
  <si>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</si>
  <si>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</si>
  <si>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</si>
  <si>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</si>
  <si>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</si>
  <si>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</si>
  <si>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</si>
  <si>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</si>
  <si>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</si>
  <si>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</si>
  <si>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</si>
  <si>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</si>
  <si>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</si>
  <si>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</si>
  <si>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</si>
  <si>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</si>
  <si>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</si>
  <si>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</si>
  <si>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</si>
  <si>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</si>
  <si>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</si>
  <si>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</si>
  <si>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</si>
  <si>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</si>
  <si>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</si>
  <si>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</si>
  <si>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</si>
  <si>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</si>
  <si>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</si>
  <si>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</si>
  <si>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</si>
  <si>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</si>
  <si>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</si>
  <si>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</si>
  <si>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</si>
  <si>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</si>
  <si>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</si>
  <si>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</si>
  <si>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</si>
  <si>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</si>
  <si>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</si>
  <si>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</si>
  <si>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</si>
  <si>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</si>
  <si>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</si>
  <si>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</si>
  <si>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</si>
  <si>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</si>
  <si>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</si>
  <si>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</si>
  <si>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</si>
  <si>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</si>
  <si>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</si>
  <si>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</si>
  <si>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</si>
  <si>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</si>
  <si>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</si>
  <si>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</si>
  <si>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</si>
  <si>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</si>
  <si>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</si>
  <si>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</si>
  <si>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</si>
  <si>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</si>
  <si>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</si>
  <si>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</si>
  <si>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</si>
  <si>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</si>
  <si>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</si>
  <si>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</si>
  <si>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</si>
  <si>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</si>
  <si>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</si>
  <si>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</si>
  <si>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</si>
  <si>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</si>
  <si>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</si>
  <si>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</si>
  <si>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</si>
  <si>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</si>
  <si>
    <t>6DRX</t>
  </si>
  <si>
    <t>6DRY</t>
  </si>
  <si>
    <t>6DRZ</t>
  </si>
  <si>
    <t>6DS0</t>
  </si>
  <si>
    <t>6E3Y</t>
  </si>
  <si>
    <t>calrl_human__wt</t>
  </si>
  <si>
    <t>6D26</t>
  </si>
  <si>
    <t>pd2r2_human__wt</t>
  </si>
  <si>
    <t>6FUF</t>
  </si>
  <si>
    <t>6H7J</t>
  </si>
  <si>
    <t>6H7K</t>
  </si>
  <si>
    <t>6H7L</t>
  </si>
  <si>
    <t>6H7M</t>
  </si>
  <si>
    <t>6H7N</t>
  </si>
  <si>
    <t>6H7O</t>
  </si>
  <si>
    <t>6AKX</t>
  </si>
  <si>
    <t>6AKY</t>
  </si>
  <si>
    <t>6MXT</t>
  </si>
  <si>
    <t>6FJ3</t>
  </si>
  <si>
    <t>pth1r_human__wt</t>
  </si>
  <si>
    <t>6IGL</t>
  </si>
  <si>
    <t>6IGK</t>
  </si>
  <si>
    <t>5ZKC</t>
  </si>
  <si>
    <t>5ZKB</t>
  </si>
  <si>
    <t>5ZK8</t>
  </si>
  <si>
    <t>5ZK3</t>
  </si>
  <si>
    <t>5YC8</t>
  </si>
  <si>
    <t>6E59</t>
  </si>
  <si>
    <t>nk1r_human__wt</t>
  </si>
  <si>
    <t>6D29</t>
  </si>
  <si>
    <t>5YWY</t>
  </si>
  <si>
    <t>pe2r4_human__wt</t>
  </si>
  <si>
    <t>5YHL</t>
  </si>
  <si>
    <t>6M9T</t>
  </si>
  <si>
    <t>6AK3</t>
  </si>
  <si>
    <t>6MET</t>
  </si>
  <si>
    <t>6MEO</t>
  </si>
  <si>
    <t>pe2r3_human__wt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</si>
</sst>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11" fontId="0" fillId="2" borderId="0" xfId="0" applyNumberFormat="1" applyFont="1" applyFill="1"/>
    <xf numFmtId="49" fontId="0" fillId="2" borderId="0" xfId="0" applyNumberFormat="1" applyFont="1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5052688"/>
        <c:axId val="-1685050816"/>
      </c:lineChart>
      <c:catAx>
        <c:axId val="-168505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5050816"/>
        <c:crosses val="autoZero"/>
        <c:auto val="1"/>
        <c:lblAlgn val="ctr"/>
        <c:lblOffset val="100"/>
        <c:noMultiLvlLbl val="0"/>
      </c:catAx>
      <c:valAx>
        <c:axId val="-16850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505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90346336"/>
        <c:axId val="-1790343776"/>
      </c:lineChart>
      <c:catAx>
        <c:axId val="-179034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0343776"/>
        <c:crosses val="autoZero"/>
        <c:auto val="1"/>
        <c:lblAlgn val="ctr"/>
        <c:lblOffset val="100"/>
        <c:noMultiLvlLbl val="0"/>
      </c:catAx>
      <c:valAx>
        <c:axId val="-179034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034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90566224"/>
        <c:axId val="-1790564080"/>
      </c:lineChart>
      <c:catAx>
        <c:axId val="-179056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0564080"/>
        <c:crosses val="autoZero"/>
        <c:auto val="1"/>
        <c:lblAlgn val="ctr"/>
        <c:lblOffset val="100"/>
        <c:noMultiLvlLbl val="0"/>
      </c:catAx>
      <c:valAx>
        <c:axId val="-179056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05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99"/>
  <sheetViews>
    <sheetView zoomScale="110" zoomScaleNormal="110" zoomScalePageLayoutView="110" workbookViewId="0">
      <pane xSplit="3" ySplit="1" topLeftCell="D244" activePane="bottomRight" state="frozenSplit"/>
      <selection pane="topRight" activeCell="D1" sqref="D1"/>
      <selection pane="bottomLeft" activeCell="A2" sqref="A2"/>
      <selection pane="bottomRight" activeCell="A268" sqref="A268:XFD268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1387</v>
      </c>
      <c r="BB1" s="64" t="s">
        <v>1203</v>
      </c>
      <c r="BC1" s="61" t="s">
        <v>1168</v>
      </c>
      <c r="BD1" s="64" t="s">
        <v>1100</v>
      </c>
      <c r="BE1" s="61" t="s">
        <v>1380</v>
      </c>
      <c r="BF1" s="118" t="s">
        <v>1437</v>
      </c>
      <c r="BG1" s="76" t="s">
        <v>1388</v>
      </c>
      <c r="BH1" s="76" t="s">
        <v>1389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6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6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0" si="2">_xlfn.AGGREGATE(9,6,CH2:CS2)-_xlfn.AGGREGATE(9,6,BV2:CG2)+12</f>
        <v>261</v>
      </c>
      <c r="BD2" s="34" t="s">
        <v>1379</v>
      </c>
      <c r="BE2" s="3" t="s">
        <v>23</v>
      </c>
      <c r="BF2" s="119" t="s">
        <v>23</v>
      </c>
      <c r="BG2" s="49" t="s">
        <v>1379</v>
      </c>
      <c r="BH2" s="49" t="s">
        <v>1384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4" si="3">E2</f>
        <v>45</v>
      </c>
      <c r="BW2" s="71">
        <f t="shared" ref="BW2:BW34" si="4">I2</f>
        <v>78</v>
      </c>
      <c r="BX2" s="72">
        <f t="shared" ref="BX2:BX34" si="5">M2</f>
        <v>82</v>
      </c>
      <c r="BY2" s="71">
        <f t="shared" ref="BY2:BY34" si="6">Q2</f>
        <v>114</v>
      </c>
      <c r="BZ2" s="72">
        <f t="shared" ref="BZ2:BZ34" si="7">U2</f>
        <v>118</v>
      </c>
      <c r="CA2" s="71">
        <f t="shared" ref="CA2:CA34" si="8">Y2</f>
        <v>154</v>
      </c>
      <c r="CB2" s="72">
        <f t="shared" ref="CB2:CB34" si="9">AC2</f>
        <v>162</v>
      </c>
      <c r="CC2" s="71">
        <f t="shared" ref="CC2:CC34" si="10">AG2</f>
        <v>199</v>
      </c>
      <c r="CD2" s="72">
        <f t="shared" ref="CD2:CD34" si="11">AK2</f>
        <v>205</v>
      </c>
      <c r="CE2" s="71">
        <f t="shared" ref="CE2:CE34" si="12">AO2</f>
        <v>303</v>
      </c>
      <c r="CF2" s="72">
        <f t="shared" ref="CF2:CF34" si="13">AS2</f>
        <v>347</v>
      </c>
      <c r="CG2" s="71">
        <f t="shared" ref="CG2:CG34" si="14">AW2</f>
        <v>373</v>
      </c>
      <c r="CH2" s="70">
        <f t="shared" ref="CH2:CH34" si="15">G2</f>
        <v>77</v>
      </c>
      <c r="CI2" s="71">
        <f t="shared" ref="CI2:CI34" si="16">K2</f>
        <v>81</v>
      </c>
      <c r="CJ2" s="72">
        <f t="shared" ref="CJ2:CJ34" si="17">O2</f>
        <v>113</v>
      </c>
      <c r="CK2" s="72">
        <f t="shared" ref="CK2:CK34" si="18">S2</f>
        <v>117</v>
      </c>
      <c r="CL2" s="72">
        <f t="shared" ref="CL2:CL34" si="19">W2</f>
        <v>153</v>
      </c>
      <c r="CM2" s="72">
        <f t="shared" ref="CM2:CM34" si="20">AA2</f>
        <v>161</v>
      </c>
      <c r="CN2" s="72">
        <f t="shared" ref="CN2:CN34" si="21">AE2</f>
        <v>187</v>
      </c>
      <c r="CO2" s="72">
        <f t="shared" ref="CO2:CO34" si="22">AI2</f>
        <v>201</v>
      </c>
      <c r="CP2" s="72">
        <f t="shared" ref="CP2:CP34" si="23">AM2</f>
        <v>244</v>
      </c>
      <c r="CQ2" s="72">
        <f t="shared" ref="CQ2:CQ34" si="24">AQ2</f>
        <v>339</v>
      </c>
      <c r="CR2" s="72">
        <f t="shared" ref="CR2:CR34" si="25">AU2</f>
        <v>372</v>
      </c>
      <c r="CS2" s="72">
        <f t="shared" ref="CS2:CS34" si="26">AY2</f>
        <v>384</v>
      </c>
      <c r="CT2" s="23">
        <f t="shared" ref="CT2:CT3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19">
        <v>2.8</v>
      </c>
      <c r="BG3" s="49" t="s">
        <v>1384</v>
      </c>
      <c r="BH3" s="49" t="s">
        <v>1384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19">
        <v>2.7</v>
      </c>
      <c r="BG4" s="49" t="s">
        <v>1384</v>
      </c>
      <c r="BH4" s="49" t="s">
        <v>1384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09">
        <v>78</v>
      </c>
      <c r="J5" s="9" t="str">
        <f>IFERROR(MID(VLOOKUP($B5,Seqs!$A:$B,2,0),K5,1),"")</f>
        <v>H</v>
      </c>
      <c r="K5" s="109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0" t="str">
        <f>VLOOKUP(B5,Classification!A:D,2,0)</f>
        <v>A</v>
      </c>
      <c r="BA5" s="98" t="str">
        <f>VLOOKUP(B5,Classification!A:D,4,0)</f>
        <v>5-Hydroxytryptamine</v>
      </c>
      <c r="BB5" s="36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09">
        <f>_xlfn.AGGREGATE(9,6,CH5:CS5)-_xlfn.AGGREGATE(9,6,BV5:CG5)+12</f>
        <v>246</v>
      </c>
      <c r="BD5" s="11" t="s">
        <v>23</v>
      </c>
      <c r="BE5" s="9" t="s">
        <v>1439</v>
      </c>
      <c r="BF5" s="120">
        <v>3.7</v>
      </c>
      <c r="BG5" s="51" t="s">
        <v>1384</v>
      </c>
      <c r="BH5" s="51" t="s">
        <v>1384</v>
      </c>
      <c r="BJ5" s="111" t="s">
        <v>1293</v>
      </c>
      <c r="BK5" s="112" t="s">
        <v>1293</v>
      </c>
      <c r="BL5" s="112" t="s">
        <v>1293</v>
      </c>
      <c r="BM5" s="112" t="s">
        <v>1293</v>
      </c>
      <c r="BN5" s="112" t="s">
        <v>1293</v>
      </c>
      <c r="BO5" s="112" t="s">
        <v>1293</v>
      </c>
      <c r="BP5" s="112" t="s">
        <v>1293</v>
      </c>
      <c r="BQ5" s="112" t="s">
        <v>1293</v>
      </c>
      <c r="BR5" s="112" t="s">
        <v>1293</v>
      </c>
      <c r="BS5" s="112" t="s">
        <v>1293</v>
      </c>
      <c r="BT5" s="112" t="s">
        <v>1293</v>
      </c>
      <c r="BU5" s="112" t="s">
        <v>1293</v>
      </c>
      <c r="BV5" s="111">
        <f>E5</f>
        <v>45</v>
      </c>
      <c r="BW5" s="113">
        <f>I5</f>
        <v>78</v>
      </c>
      <c r="BX5" s="114">
        <f>M5</f>
        <v>82</v>
      </c>
      <c r="BY5" s="113">
        <f>Q5</f>
        <v>114</v>
      </c>
      <c r="BZ5" s="114">
        <f>U5</f>
        <v>118</v>
      </c>
      <c r="CA5" s="113">
        <f>Y5</f>
        <v>154</v>
      </c>
      <c r="CB5" s="114">
        <f>AC5</f>
        <v>162</v>
      </c>
      <c r="CC5" s="113">
        <f>AG5</f>
        <v>199</v>
      </c>
      <c r="CD5" s="114">
        <f>AK5</f>
        <v>205</v>
      </c>
      <c r="CE5" s="113">
        <f>AO5</f>
        <v>308</v>
      </c>
      <c r="CF5" s="114">
        <f>AS5</f>
        <v>346</v>
      </c>
      <c r="CG5" s="113">
        <f>AW5</f>
        <v>373</v>
      </c>
      <c r="CH5" s="111">
        <f>G5</f>
        <v>77</v>
      </c>
      <c r="CI5" s="113">
        <f>K5</f>
        <v>81</v>
      </c>
      <c r="CJ5" s="114">
        <f>O5</f>
        <v>113</v>
      </c>
      <c r="CK5" s="114">
        <f>S5</f>
        <v>117</v>
      </c>
      <c r="CL5" s="114">
        <f>W5</f>
        <v>152</v>
      </c>
      <c r="CM5" s="114">
        <f>AA5</f>
        <v>161</v>
      </c>
      <c r="CN5" s="114">
        <f>AE5</f>
        <v>184</v>
      </c>
      <c r="CO5" s="114">
        <f>AI5</f>
        <v>201</v>
      </c>
      <c r="CP5" s="114">
        <f>AM5</f>
        <v>239</v>
      </c>
      <c r="CQ5" s="114">
        <f>AQ5</f>
        <v>337</v>
      </c>
      <c r="CR5" s="114">
        <f>AU5</f>
        <v>372</v>
      </c>
      <c r="CS5" s="114">
        <f>AY5</f>
        <v>384</v>
      </c>
      <c r="CT5" s="109">
        <f>M5-K5</f>
        <v>1</v>
      </c>
    </row>
    <row r="6" spans="1:1029" s="12" customFormat="1" x14ac:dyDescent="0.2">
      <c r="A6" s="9" t="str">
        <f>CONCATENATE(B6,"_",C6)</f>
        <v>5ht1b_human_6G79</v>
      </c>
      <c r="B6" s="9" t="s">
        <v>34</v>
      </c>
      <c r="C6" s="9" t="s">
        <v>1520</v>
      </c>
      <c r="D6" s="9" t="str">
        <f>IFERROR(MID(VLOOKUP($B6,Seqs!$A:$B,2,0),E6,1),"")</f>
        <v>S</v>
      </c>
      <c r="E6" s="9">
        <v>45</v>
      </c>
      <c r="F6" s="9" t="str">
        <f>IFERROR(MID(VLOOKUP($B6,Seqs!$A:$B,2,0),G6,1),"")</f>
        <v>T</v>
      </c>
      <c r="G6" s="9">
        <v>77</v>
      </c>
      <c r="H6" s="9" t="str">
        <f>IFERROR(MID(VLOOKUP($B6,Seqs!$A:$B,2,0),I6,1),"")</f>
        <v>R</v>
      </c>
      <c r="I6" s="109">
        <v>78</v>
      </c>
      <c r="J6" s="9" t="str">
        <f>IFERROR(MID(VLOOKUP($B6,Seqs!$A:$B,2,0),K6,1),"")</f>
        <v>H</v>
      </c>
      <c r="K6" s="109">
        <v>81</v>
      </c>
      <c r="L6" s="9" t="str">
        <f>IFERROR(MID(VLOOKUP($B6,Seqs!$A:$B,2,0),M6,1),"")</f>
        <v>T</v>
      </c>
      <c r="M6" s="9">
        <v>82</v>
      </c>
      <c r="N6" s="9" t="str">
        <f>IFERROR(MID(VLOOKUP($B6,Seqs!$A:$B,2,0),O6,1),"")</f>
        <v>G</v>
      </c>
      <c r="O6" s="9">
        <v>113</v>
      </c>
      <c r="P6" s="9" t="str">
        <f>IFERROR(MID(VLOOKUP($B6,Seqs!$A:$B,2,0),Q6,1),"")</f>
        <v>R</v>
      </c>
      <c r="Q6" s="9">
        <v>114</v>
      </c>
      <c r="R6" s="9" t="str">
        <f>IFERROR(MID(VLOOKUP($B6,Seqs!$A:$B,2,0),S6,1),"")</f>
        <v>L</v>
      </c>
      <c r="S6" s="9">
        <v>117</v>
      </c>
      <c r="T6" s="9" t="str">
        <f>IFERROR(MID(VLOOKUP($B6,Seqs!$A:$B,2,0),U6,1),"")</f>
        <v>G</v>
      </c>
      <c r="U6" s="9">
        <v>118</v>
      </c>
      <c r="V6" s="9" t="str">
        <f>IFERROR(MID(VLOOKUP($B6,Seqs!$A:$B,2,0),W6,1),"")</f>
        <v>D</v>
      </c>
      <c r="W6" s="9">
        <v>153</v>
      </c>
      <c r="X6" s="9" t="str">
        <f>IFERROR(MID(VLOOKUP($B6,Seqs!$A:$B,2,0),Y6,1),"")</f>
        <v>A</v>
      </c>
      <c r="Y6" s="9">
        <v>154</v>
      </c>
      <c r="Z6" s="9" t="str">
        <f>IFERROR(MID(VLOOKUP($B6,Seqs!$A:$B,2,0),AA6,1),"")</f>
        <v>R</v>
      </c>
      <c r="AA6" s="9">
        <v>161</v>
      </c>
      <c r="AB6" s="9" t="str">
        <f>IFERROR(MID(VLOOKUP($B6,Seqs!$A:$B,2,0),AC6,1),"")</f>
        <v>T</v>
      </c>
      <c r="AC6" s="9">
        <v>162</v>
      </c>
      <c r="AD6" s="9" t="str">
        <f>IFERROR(MID(VLOOKUP($B6,Seqs!$A:$B,2,0),AE6,1),"")</f>
        <v>P</v>
      </c>
      <c r="AE6" s="9">
        <v>183</v>
      </c>
      <c r="AF6" s="9" t="str">
        <f>IFERROR(MID(VLOOKUP($B6,Seqs!$A:$B,2,0),AG6,1),"")</f>
        <v>C</v>
      </c>
      <c r="AG6" s="9">
        <v>199</v>
      </c>
      <c r="AH6" s="9" t="str">
        <f>IFERROR(MID(VLOOKUP($B6,Seqs!$A:$B,2,0),AI6,1),"")</f>
        <v>V</v>
      </c>
      <c r="AI6" s="9">
        <v>201</v>
      </c>
      <c r="AJ6" s="9" t="str">
        <f>IFERROR(MID(VLOOKUP($B6,Seqs!$A:$B,2,0),AK6,1),"")</f>
        <v>H</v>
      </c>
      <c r="AK6" s="9">
        <v>205</v>
      </c>
      <c r="AL6" s="9" t="str">
        <f>IFERROR(MID(VLOOKUP($B6,Seqs!$A:$B,2,0),AM6,1),"")</f>
        <v>L</v>
      </c>
      <c r="AM6" s="9">
        <v>240</v>
      </c>
      <c r="AN6" s="9" t="str">
        <f>IFERROR(MID(VLOOKUP($B6,Seqs!$A:$B,2,0),AO6,1),"")</f>
        <v>M</v>
      </c>
      <c r="AO6" s="9">
        <v>305</v>
      </c>
      <c r="AP6" s="9" t="str">
        <f>IFERROR(MID(VLOOKUP($B6,Seqs!$A:$B,2,0),AQ6,1),"")</f>
        <v>M</v>
      </c>
      <c r="AQ6" s="9">
        <v>337</v>
      </c>
      <c r="AR6" s="9" t="str">
        <f>IFERROR(MID(VLOOKUP($B6,Seqs!$A:$B,2,0),AS6,1),"")</f>
        <v>L</v>
      </c>
      <c r="AS6" s="9">
        <v>348</v>
      </c>
      <c r="AT6" s="9" t="str">
        <f>IFERROR(MID(VLOOKUP($B6,Seqs!$A:$B,2,0),AU6,1),"")</f>
        <v>S</v>
      </c>
      <c r="AU6" s="9">
        <v>372</v>
      </c>
      <c r="AV6" s="9" t="str">
        <f>IFERROR(MID(VLOOKUP($B6,Seqs!$A:$B,2,0),AW6,1),"")</f>
        <v>N</v>
      </c>
      <c r="AW6" s="9">
        <v>373</v>
      </c>
      <c r="AX6" s="9" t="str">
        <f>IFERROR(MID(VLOOKUP($B6,Seqs!$A:$B,2,0),AY6,1),"")</f>
        <v>I</v>
      </c>
      <c r="AY6" s="9">
        <v>384</v>
      </c>
      <c r="AZ6" s="110" t="str">
        <f>VLOOKUP(B6,Classification!A:D,2,0)</f>
        <v>A</v>
      </c>
      <c r="BA6" s="98" t="str">
        <f>VLOOKUP(B6,Classification!A:D,4,0)</f>
        <v>5-Hydroxytryptamine</v>
      </c>
      <c r="BB6" s="36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109">
        <f>_xlfn.AGGREGATE(9,6,CH6:CS6)-_xlfn.AGGREGATE(9,6,BV6:CG6)+12</f>
        <v>248</v>
      </c>
      <c r="BD6" s="11" t="s">
        <v>1382</v>
      </c>
      <c r="BE6" s="9" t="s">
        <v>1297</v>
      </c>
      <c r="BF6" s="120">
        <v>3.78</v>
      </c>
      <c r="BG6" s="51" t="s">
        <v>1019</v>
      </c>
      <c r="BH6" s="51" t="s">
        <v>1019</v>
      </c>
      <c r="BJ6" s="111" t="s">
        <v>1293</v>
      </c>
      <c r="BK6" s="112" t="s">
        <v>1293</v>
      </c>
      <c r="BL6" s="112" t="s">
        <v>1293</v>
      </c>
      <c r="BM6" s="112" t="s">
        <v>1293</v>
      </c>
      <c r="BN6" s="112" t="s">
        <v>1293</v>
      </c>
      <c r="BO6" s="112" t="s">
        <v>1293</v>
      </c>
      <c r="BP6" s="112" t="s">
        <v>1293</v>
      </c>
      <c r="BQ6" s="112" t="s">
        <v>1293</v>
      </c>
      <c r="BR6" s="112" t="s">
        <v>1293</v>
      </c>
      <c r="BS6" s="112" t="s">
        <v>1293</v>
      </c>
      <c r="BT6" s="112" t="s">
        <v>1293</v>
      </c>
      <c r="BU6" s="112" t="s">
        <v>1293</v>
      </c>
      <c r="BV6" s="111">
        <f>E6</f>
        <v>45</v>
      </c>
      <c r="BW6" s="113">
        <f>I6</f>
        <v>78</v>
      </c>
      <c r="BX6" s="114">
        <f>M6</f>
        <v>82</v>
      </c>
      <c r="BY6" s="113">
        <f>Q6</f>
        <v>114</v>
      </c>
      <c r="BZ6" s="114">
        <f>U6</f>
        <v>118</v>
      </c>
      <c r="CA6" s="113">
        <f>Y6</f>
        <v>154</v>
      </c>
      <c r="CB6" s="114">
        <f>AC6</f>
        <v>162</v>
      </c>
      <c r="CC6" s="113">
        <f>AG6</f>
        <v>199</v>
      </c>
      <c r="CD6" s="114">
        <f>AK6</f>
        <v>205</v>
      </c>
      <c r="CE6" s="113">
        <f>AO6</f>
        <v>305</v>
      </c>
      <c r="CF6" s="114">
        <f>AS6</f>
        <v>348</v>
      </c>
      <c r="CG6" s="113">
        <f>AW6</f>
        <v>373</v>
      </c>
      <c r="CH6" s="111">
        <f>G6</f>
        <v>77</v>
      </c>
      <c r="CI6" s="113">
        <f>K6</f>
        <v>81</v>
      </c>
      <c r="CJ6" s="114">
        <f>O6</f>
        <v>113</v>
      </c>
      <c r="CK6" s="114">
        <f>S6</f>
        <v>117</v>
      </c>
      <c r="CL6" s="114">
        <f>W6</f>
        <v>153</v>
      </c>
      <c r="CM6" s="114">
        <f>AA6</f>
        <v>161</v>
      </c>
      <c r="CN6" s="114">
        <f>AE6</f>
        <v>183</v>
      </c>
      <c r="CO6" s="114">
        <f>AI6</f>
        <v>201</v>
      </c>
      <c r="CP6" s="114">
        <f>AM6</f>
        <v>240</v>
      </c>
      <c r="CQ6" s="114">
        <f>AQ6</f>
        <v>337</v>
      </c>
      <c r="CR6" s="114">
        <f>AU6</f>
        <v>372</v>
      </c>
      <c r="CS6" s="114">
        <f>AY6</f>
        <v>384</v>
      </c>
      <c r="CT6" s="109">
        <f>M6-K6</f>
        <v>1</v>
      </c>
    </row>
    <row r="7" spans="1:1029" x14ac:dyDescent="0.2">
      <c r="A7" s="3" t="str">
        <f t="shared" si="0"/>
        <v>5ht2b_human__wt</v>
      </c>
      <c r="B7" s="3" t="s">
        <v>35</v>
      </c>
      <c r="C7" s="3" t="s">
        <v>100</v>
      </c>
      <c r="D7" s="3" t="str">
        <f>IFERROR(MID(VLOOKUP($B7,Seqs!$A:$B,2,0),E7,1),"")</f>
        <v>K</v>
      </c>
      <c r="E7" s="105">
        <v>53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>P</v>
      </c>
      <c r="Y7" s="3">
        <v>160</v>
      </c>
      <c r="Z7" s="3" t="str">
        <f>IFERROR(MID(VLOOKUP($B7,Seqs!$A:$B,2,0),AA7,1),"")</f>
        <v>N</v>
      </c>
      <c r="AA7" s="3">
        <v>167</v>
      </c>
      <c r="AB7" s="3" t="str">
        <f>IFERROR(MID(VLOOKUP($B7,Seqs!$A:$B,2,0),AC7,1),"")</f>
        <v>S</v>
      </c>
      <c r="AC7" s="9">
        <v>168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P</v>
      </c>
      <c r="AM7" s="3">
        <v>255</v>
      </c>
      <c r="AN7" s="3" t="str">
        <f>IFERROR(MID(VLOOKUP($B7,Seqs!$A:$B,2,0),AO7,1),"")</f>
        <v>V</v>
      </c>
      <c r="AO7" s="3">
        <v>313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105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si="1"/>
        <v>1</v>
      </c>
      <c r="BC7" s="23">
        <f t="shared" si="2"/>
        <v>265</v>
      </c>
      <c r="BD7" s="91" t="s">
        <v>1379</v>
      </c>
      <c r="BE7" s="3" t="s">
        <v>23</v>
      </c>
      <c r="BF7" s="119" t="s">
        <v>23</v>
      </c>
      <c r="BG7" s="49" t="s">
        <v>1379</v>
      </c>
      <c r="BH7" s="49" t="s">
        <v>1384</v>
      </c>
      <c r="BI7" s="1"/>
      <c r="BJ7" s="70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0">
        <f t="shared" si="3"/>
        <v>53</v>
      </c>
      <c r="BW7" s="71">
        <f t="shared" si="4"/>
        <v>83</v>
      </c>
      <c r="BX7" s="72">
        <f t="shared" si="5"/>
        <v>87</v>
      </c>
      <c r="BY7" s="71">
        <f t="shared" si="6"/>
        <v>120</v>
      </c>
      <c r="BZ7" s="72">
        <f t="shared" si="7"/>
        <v>124</v>
      </c>
      <c r="CA7" s="71">
        <f t="shared" si="8"/>
        <v>160</v>
      </c>
      <c r="CB7" s="72">
        <f t="shared" si="9"/>
        <v>168</v>
      </c>
      <c r="CC7" s="71">
        <f t="shared" si="10"/>
        <v>207</v>
      </c>
      <c r="CD7" s="72">
        <f t="shared" si="11"/>
        <v>214</v>
      </c>
      <c r="CE7" s="71">
        <f t="shared" si="12"/>
        <v>313</v>
      </c>
      <c r="CF7" s="72">
        <f t="shared" si="13"/>
        <v>354</v>
      </c>
      <c r="CG7" s="71">
        <f t="shared" si="14"/>
        <v>384</v>
      </c>
      <c r="CH7" s="70">
        <f t="shared" si="15"/>
        <v>82</v>
      </c>
      <c r="CI7" s="71">
        <f t="shared" si="16"/>
        <v>86</v>
      </c>
      <c r="CJ7" s="72">
        <f t="shared" si="17"/>
        <v>117</v>
      </c>
      <c r="CK7" s="72">
        <f t="shared" si="18"/>
        <v>123</v>
      </c>
      <c r="CL7" s="72">
        <f t="shared" si="19"/>
        <v>159</v>
      </c>
      <c r="CM7" s="72">
        <f t="shared" si="20"/>
        <v>167</v>
      </c>
      <c r="CN7" s="72">
        <f t="shared" si="21"/>
        <v>194</v>
      </c>
      <c r="CO7" s="72">
        <f t="shared" si="22"/>
        <v>209</v>
      </c>
      <c r="CP7" s="72">
        <f t="shared" si="23"/>
        <v>255</v>
      </c>
      <c r="CQ7" s="72">
        <f t="shared" si="24"/>
        <v>350</v>
      </c>
      <c r="CR7" s="72">
        <f t="shared" si="25"/>
        <v>383</v>
      </c>
      <c r="CS7" s="72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</v>
      </c>
      <c r="B8" s="3" t="s">
        <v>35</v>
      </c>
      <c r="C8" s="3" t="s">
        <v>70</v>
      </c>
      <c r="D8" s="3" t="str">
        <f>IFERROR(MID(VLOOKUP($B8,Seqs!$A:$B,2,0),E8,1),"")</f>
        <v>K</v>
      </c>
      <c r="E8" s="3">
        <v>53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si="1"/>
        <v>1</v>
      </c>
      <c r="BC8" s="23">
        <f t="shared" si="2"/>
        <v>254</v>
      </c>
      <c r="BD8" s="16" t="s">
        <v>1440</v>
      </c>
      <c r="BE8" s="3" t="s">
        <v>1439</v>
      </c>
      <c r="BF8" s="119">
        <v>2.7</v>
      </c>
      <c r="BG8" s="49" t="s">
        <v>1384</v>
      </c>
      <c r="BH8" s="49" t="s">
        <v>1384</v>
      </c>
      <c r="BI8" s="1"/>
      <c r="BJ8" s="70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0">
        <f t="shared" si="3"/>
        <v>53</v>
      </c>
      <c r="BW8" s="71">
        <f t="shared" si="4"/>
        <v>83</v>
      </c>
      <c r="BX8" s="72">
        <f t="shared" si="5"/>
        <v>87</v>
      </c>
      <c r="BY8" s="71">
        <f t="shared" si="6"/>
        <v>120</v>
      </c>
      <c r="BZ8" s="72">
        <f t="shared" si="7"/>
        <v>124</v>
      </c>
      <c r="CA8" s="71" t="str">
        <f t="shared" si="8"/>
        <v>-</v>
      </c>
      <c r="CB8" s="72">
        <f t="shared" si="9"/>
        <v>164</v>
      </c>
      <c r="CC8" s="71">
        <f t="shared" si="10"/>
        <v>207</v>
      </c>
      <c r="CD8" s="72">
        <f t="shared" si="11"/>
        <v>214</v>
      </c>
      <c r="CE8" s="71">
        <f t="shared" si="12"/>
        <v>314</v>
      </c>
      <c r="CF8" s="72">
        <f t="shared" si="13"/>
        <v>354</v>
      </c>
      <c r="CG8" s="71">
        <f t="shared" si="14"/>
        <v>384</v>
      </c>
      <c r="CH8" s="70">
        <f t="shared" si="15"/>
        <v>82</v>
      </c>
      <c r="CI8" s="71">
        <f t="shared" si="16"/>
        <v>86</v>
      </c>
      <c r="CJ8" s="72">
        <f t="shared" si="17"/>
        <v>117</v>
      </c>
      <c r="CK8" s="72">
        <f t="shared" si="18"/>
        <v>123</v>
      </c>
      <c r="CL8" s="72">
        <f t="shared" si="19"/>
        <v>159</v>
      </c>
      <c r="CM8" s="72" t="str">
        <f t="shared" si="20"/>
        <v>-</v>
      </c>
      <c r="CN8" s="72">
        <f t="shared" si="21"/>
        <v>194</v>
      </c>
      <c r="CO8" s="72">
        <f t="shared" si="22"/>
        <v>209</v>
      </c>
      <c r="CP8" s="72">
        <f t="shared" si="23"/>
        <v>248</v>
      </c>
      <c r="CQ8" s="72">
        <f t="shared" si="24"/>
        <v>350</v>
      </c>
      <c r="CR8" s="72">
        <f t="shared" si="25"/>
        <v>383</v>
      </c>
      <c r="CS8" s="72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5ht2b_human_4IB4_dist</v>
      </c>
      <c r="B9" s="3" t="s">
        <v>35</v>
      </c>
      <c r="C9" s="3" t="s">
        <v>1165</v>
      </c>
      <c r="D9" s="3" t="str">
        <f>IFERROR(MID(VLOOKUP($B9,Seqs!$A:$B,2,0),E9,1),"")</f>
        <v>K</v>
      </c>
      <c r="E9" s="3">
        <v>53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Q</v>
      </c>
      <c r="AC9" s="3">
        <v>165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56" t="s">
        <v>1379</v>
      </c>
      <c r="BE9" s="3" t="s">
        <v>1439</v>
      </c>
      <c r="BF9" s="119">
        <v>2.7</v>
      </c>
      <c r="BG9" s="49" t="s">
        <v>1384</v>
      </c>
      <c r="BH9" s="49" t="s">
        <v>1384</v>
      </c>
      <c r="BI9" s="1"/>
      <c r="BJ9" s="70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0">
        <f t="shared" si="3"/>
        <v>53</v>
      </c>
      <c r="BW9" s="71">
        <f t="shared" si="4"/>
        <v>83</v>
      </c>
      <c r="BX9" s="72">
        <f t="shared" si="5"/>
        <v>87</v>
      </c>
      <c r="BY9" s="71">
        <f t="shared" si="6"/>
        <v>120</v>
      </c>
      <c r="BZ9" s="72">
        <f t="shared" si="7"/>
        <v>124</v>
      </c>
      <c r="CA9" s="71" t="str">
        <f t="shared" si="8"/>
        <v>-</v>
      </c>
      <c r="CB9" s="72">
        <f t="shared" si="9"/>
        <v>165</v>
      </c>
      <c r="CC9" s="71">
        <f t="shared" si="10"/>
        <v>207</v>
      </c>
      <c r="CD9" s="72">
        <f t="shared" si="11"/>
        <v>214</v>
      </c>
      <c r="CE9" s="71">
        <f t="shared" si="12"/>
        <v>314</v>
      </c>
      <c r="CF9" s="72">
        <f t="shared" si="13"/>
        <v>354</v>
      </c>
      <c r="CG9" s="71">
        <f t="shared" si="14"/>
        <v>384</v>
      </c>
      <c r="CH9" s="70">
        <f t="shared" si="15"/>
        <v>82</v>
      </c>
      <c r="CI9" s="71">
        <f t="shared" si="16"/>
        <v>86</v>
      </c>
      <c r="CJ9" s="72">
        <f t="shared" si="17"/>
        <v>117</v>
      </c>
      <c r="CK9" s="72">
        <f t="shared" si="18"/>
        <v>123</v>
      </c>
      <c r="CL9" s="72">
        <f t="shared" si="19"/>
        <v>159</v>
      </c>
      <c r="CM9" s="72" t="str">
        <f t="shared" si="20"/>
        <v>-</v>
      </c>
      <c r="CN9" s="72">
        <f t="shared" si="21"/>
        <v>194</v>
      </c>
      <c r="CO9" s="72">
        <f t="shared" si="22"/>
        <v>209</v>
      </c>
      <c r="CP9" s="72">
        <f t="shared" si="23"/>
        <v>248</v>
      </c>
      <c r="CQ9" s="72">
        <f t="shared" si="24"/>
        <v>350</v>
      </c>
      <c r="CR9" s="72">
        <f t="shared" si="25"/>
        <v>383</v>
      </c>
      <c r="CS9" s="72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5ht2b_human_4NC3</v>
      </c>
      <c r="B10" s="3" t="s">
        <v>35</v>
      </c>
      <c r="C10" s="3" t="s">
        <v>1314</v>
      </c>
      <c r="D10" s="3" t="str">
        <f>IFERROR(MID(VLOOKUP($B10,Seqs!$A:$B,2,0),E10,1),"")</f>
        <v>K</v>
      </c>
      <c r="E10" s="3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254</v>
      </c>
      <c r="BD10" s="4" t="s">
        <v>23</v>
      </c>
      <c r="BE10" s="3" t="s">
        <v>1439</v>
      </c>
      <c r="BF10" s="119">
        <v>2.8</v>
      </c>
      <c r="BG10" s="49" t="s">
        <v>1384</v>
      </c>
      <c r="BH10" s="49" t="s">
        <v>1384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 t="str">
        <f t="shared" si="8"/>
        <v>-</v>
      </c>
      <c r="CB10" s="72">
        <f t="shared" si="9"/>
        <v>164</v>
      </c>
      <c r="CC10" s="71">
        <f t="shared" si="10"/>
        <v>207</v>
      </c>
      <c r="CD10" s="72">
        <f t="shared" si="11"/>
        <v>214</v>
      </c>
      <c r="CE10" s="71">
        <f t="shared" si="12"/>
        <v>314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 t="str">
        <f t="shared" si="20"/>
        <v>-</v>
      </c>
      <c r="CN10" s="72">
        <f t="shared" si="21"/>
        <v>194</v>
      </c>
      <c r="CO10" s="72">
        <f t="shared" si="22"/>
        <v>209</v>
      </c>
      <c r="CP10" s="72">
        <f t="shared" si="23"/>
        <v>248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22" si="28">CONCATENATE(B11,"_",C11)</f>
        <v>5ht2b_human_5TUD</v>
      </c>
      <c r="B11" s="3" t="s">
        <v>35</v>
      </c>
      <c r="C11" s="3" t="s">
        <v>1438</v>
      </c>
      <c r="D11" s="3" t="str">
        <f>IFERROR(MID(VLOOKUP($B11,Seqs!$A:$B,2,0),E11,1),"")</f>
        <v>A</v>
      </c>
      <c r="E11" s="3">
        <v>57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K</v>
      </c>
      <c r="AE11" s="3">
        <v>193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L</v>
      </c>
      <c r="AU11" s="3">
        <v>382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T</v>
      </c>
      <c r="AY11" s="3">
        <v>396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ref="BB11:BB22" si="29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22" si="30">_xlfn.AGGREGATE(9,6,CH11:CS11)-_xlfn.AGGREGATE(9,6,BV11:CG11)+12</f>
        <v>249</v>
      </c>
      <c r="BD11" s="4" t="s">
        <v>1382</v>
      </c>
      <c r="BE11" s="3" t="s">
        <v>1297</v>
      </c>
      <c r="BF11" s="119">
        <v>3</v>
      </c>
      <c r="BG11" s="49" t="s">
        <v>1384</v>
      </c>
      <c r="BH11" s="49" t="s">
        <v>1384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ref="BV11:BV22" si="31">E11</f>
        <v>57</v>
      </c>
      <c r="BW11" s="71">
        <f t="shared" ref="BW11:BW22" si="32">I11</f>
        <v>83</v>
      </c>
      <c r="BX11" s="72">
        <f t="shared" ref="BX11:BX22" si="33">M11</f>
        <v>87</v>
      </c>
      <c r="BY11" s="71">
        <f t="shared" ref="BY11:BY22" si="34">Q11</f>
        <v>120</v>
      </c>
      <c r="BZ11" s="72">
        <f t="shared" ref="BZ11:BZ22" si="35">U11</f>
        <v>124</v>
      </c>
      <c r="CA11" s="71" t="str">
        <f t="shared" ref="CA11:CA22" si="36">Y11</f>
        <v>-</v>
      </c>
      <c r="CB11" s="72">
        <f t="shared" ref="CB11:CB22" si="37">AC11</f>
        <v>164</v>
      </c>
      <c r="CC11" s="71">
        <f t="shared" ref="CC11:CC22" si="38">AG11</f>
        <v>207</v>
      </c>
      <c r="CD11" s="72">
        <f t="shared" ref="CD11:CD22" si="39">AK11</f>
        <v>214</v>
      </c>
      <c r="CE11" s="71">
        <f t="shared" ref="CE11:CE22" si="40">AO11</f>
        <v>314</v>
      </c>
      <c r="CF11" s="72">
        <f t="shared" ref="CF11:CF22" si="41">AS11</f>
        <v>354</v>
      </c>
      <c r="CG11" s="71">
        <f t="shared" ref="CG11:CG22" si="42">AW11</f>
        <v>384</v>
      </c>
      <c r="CH11" s="70">
        <f t="shared" ref="CH11:CH22" si="43">G11</f>
        <v>82</v>
      </c>
      <c r="CI11" s="71">
        <f t="shared" ref="CI11:CI22" si="44">K11</f>
        <v>86</v>
      </c>
      <c r="CJ11" s="72">
        <f t="shared" ref="CJ11:CJ22" si="45">O11</f>
        <v>117</v>
      </c>
      <c r="CK11" s="72">
        <f t="shared" ref="CK11:CK22" si="46">S11</f>
        <v>123</v>
      </c>
      <c r="CL11" s="72">
        <f t="shared" ref="CL11:CL22" si="47">W11</f>
        <v>159</v>
      </c>
      <c r="CM11" s="72" t="str">
        <f t="shared" ref="CM11:CM22" si="48">AA11</f>
        <v>-</v>
      </c>
      <c r="CN11" s="72">
        <f t="shared" ref="CN11:CN22" si="49">AE11</f>
        <v>193</v>
      </c>
      <c r="CO11" s="72">
        <f t="shared" ref="CO11:CO22" si="50">AI11</f>
        <v>209</v>
      </c>
      <c r="CP11" s="72">
        <f t="shared" ref="CP11:CP22" si="51">AM11</f>
        <v>248</v>
      </c>
      <c r="CQ11" s="72">
        <f t="shared" ref="CQ11:CQ22" si="52">AQ11</f>
        <v>350</v>
      </c>
      <c r="CR11" s="72">
        <f t="shared" ref="CR11:CR22" si="53">AU11</f>
        <v>382</v>
      </c>
      <c r="CS11" s="72">
        <f t="shared" ref="CS11:CS22" si="54">AY11</f>
        <v>396</v>
      </c>
      <c r="CT11" s="23">
        <f t="shared" ref="CT11:CT22" si="55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28"/>
        <v>5ht2b_human_5TVN</v>
      </c>
      <c r="B12" s="3" t="s">
        <v>35</v>
      </c>
      <c r="C12" s="3" t="s">
        <v>1393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S</v>
      </c>
      <c r="AC12" s="3">
        <v>168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V</v>
      </c>
      <c r="AO12" s="3">
        <v>313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29"/>
        <v>1</v>
      </c>
      <c r="BC12" s="23">
        <f t="shared" si="30"/>
        <v>251</v>
      </c>
      <c r="BD12" s="4" t="s">
        <v>23</v>
      </c>
      <c r="BE12" s="3" t="s">
        <v>1439</v>
      </c>
      <c r="BF12" s="119">
        <v>2.9</v>
      </c>
      <c r="BG12" s="49" t="s">
        <v>1384</v>
      </c>
      <c r="BH12" s="49" t="s">
        <v>1384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1"/>
        <v>53</v>
      </c>
      <c r="BW12" s="71">
        <f t="shared" si="32"/>
        <v>83</v>
      </c>
      <c r="BX12" s="72">
        <f t="shared" si="33"/>
        <v>87</v>
      </c>
      <c r="BY12" s="71">
        <f t="shared" si="34"/>
        <v>120</v>
      </c>
      <c r="BZ12" s="72">
        <f t="shared" si="35"/>
        <v>124</v>
      </c>
      <c r="CA12" s="71" t="str">
        <f t="shared" si="36"/>
        <v>-</v>
      </c>
      <c r="CB12" s="72">
        <f t="shared" si="37"/>
        <v>168</v>
      </c>
      <c r="CC12" s="71">
        <f t="shared" si="38"/>
        <v>207</v>
      </c>
      <c r="CD12" s="72">
        <f t="shared" si="39"/>
        <v>214</v>
      </c>
      <c r="CE12" s="71">
        <f t="shared" si="40"/>
        <v>313</v>
      </c>
      <c r="CF12" s="72">
        <f t="shared" si="41"/>
        <v>354</v>
      </c>
      <c r="CG12" s="71">
        <f t="shared" si="42"/>
        <v>384</v>
      </c>
      <c r="CH12" s="70">
        <f t="shared" si="43"/>
        <v>82</v>
      </c>
      <c r="CI12" s="71">
        <f t="shared" si="44"/>
        <v>86</v>
      </c>
      <c r="CJ12" s="72">
        <f t="shared" si="45"/>
        <v>117</v>
      </c>
      <c r="CK12" s="72">
        <f t="shared" si="46"/>
        <v>123</v>
      </c>
      <c r="CL12" s="72">
        <f t="shared" si="47"/>
        <v>159</v>
      </c>
      <c r="CM12" s="72" t="str">
        <f t="shared" si="48"/>
        <v>-</v>
      </c>
      <c r="CN12" s="72">
        <f t="shared" si="49"/>
        <v>194</v>
      </c>
      <c r="CO12" s="72">
        <f t="shared" si="50"/>
        <v>209</v>
      </c>
      <c r="CP12" s="72">
        <f t="shared" si="51"/>
        <v>248</v>
      </c>
      <c r="CQ12" s="72">
        <f t="shared" si="52"/>
        <v>350</v>
      </c>
      <c r="CR12" s="72">
        <f t="shared" si="53"/>
        <v>383</v>
      </c>
      <c r="CS12" s="72">
        <f t="shared" si="54"/>
        <v>395</v>
      </c>
      <c r="CT12" s="23">
        <f t="shared" si="55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s="12" customFormat="1" x14ac:dyDescent="0.2">
      <c r="A13" s="9" t="str">
        <f t="shared" ref="A13" si="56">CONCATENATE(B13,"_",C13)</f>
        <v>5ht2b_human_6DRX</v>
      </c>
      <c r="B13" s="9" t="s">
        <v>35</v>
      </c>
      <c r="C13" s="9" t="s">
        <v>1530</v>
      </c>
      <c r="D13" s="9" t="str">
        <f>IFERROR(MID(VLOOKUP($B13,Seqs!$A:$B,2,0),E13,1),"")</f>
        <v>K</v>
      </c>
      <c r="E13" s="9">
        <v>53</v>
      </c>
      <c r="F13" s="9" t="str">
        <f>IFERROR(MID(VLOOKUP($B13,Seqs!$A:$B,2,0),G13,1),"")</f>
        <v>E</v>
      </c>
      <c r="G13" s="9">
        <v>82</v>
      </c>
      <c r="H13" s="9" t="str">
        <f>IFERROR(MID(VLOOKUP($B13,Seqs!$A:$B,2,0),I13,1),"")</f>
        <v>K</v>
      </c>
      <c r="I13" s="109">
        <v>83</v>
      </c>
      <c r="J13" s="9" t="str">
        <f>IFERROR(MID(VLOOKUP($B13,Seqs!$A:$B,2,0),K13,1),"")</f>
        <v>Q</v>
      </c>
      <c r="K13" s="109">
        <v>86</v>
      </c>
      <c r="L13" s="9" t="str">
        <f>IFERROR(MID(VLOOKUP($B13,Seqs!$A:$B,2,0),M13,1),"")</f>
        <v>Y</v>
      </c>
      <c r="M13" s="9">
        <v>87</v>
      </c>
      <c r="N13" s="9" t="str">
        <f>IFERROR(MID(VLOOKUP($B13,Seqs!$A:$B,2,0),O13,1),"")</f>
        <v>F</v>
      </c>
      <c r="O13" s="9">
        <v>117</v>
      </c>
      <c r="P13" s="9" t="str">
        <f>IFERROR(MID(VLOOKUP($B13,Seqs!$A:$B,2,0),Q13,1),"")</f>
        <v>M</v>
      </c>
      <c r="Q13" s="9">
        <v>120</v>
      </c>
      <c r="R13" s="9" t="str">
        <f>IFERROR(MID(VLOOKUP($B13,Seqs!$A:$B,2,0),S13,1),"")</f>
        <v>L</v>
      </c>
      <c r="S13" s="9">
        <v>123</v>
      </c>
      <c r="T13" s="9" t="str">
        <f>IFERROR(MID(VLOOKUP($B13,Seqs!$A:$B,2,0),U13,1),"")</f>
        <v>P</v>
      </c>
      <c r="U13" s="9">
        <v>124</v>
      </c>
      <c r="V13" s="9" t="str">
        <f>IFERROR(MID(VLOOKUP($B13,Seqs!$A:$B,2,0),W13,1),"")</f>
        <v>K</v>
      </c>
      <c r="W13" s="9">
        <v>159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N</v>
      </c>
      <c r="AC13" s="9">
        <v>164</v>
      </c>
      <c r="AD13" s="9" t="str">
        <f>IFERROR(MID(VLOOKUP($B13,Seqs!$A:$B,2,0),AE13,1),"")</f>
        <v>G</v>
      </c>
      <c r="AE13" s="9">
        <v>194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F</v>
      </c>
      <c r="AK13" s="9">
        <v>214</v>
      </c>
      <c r="AL13" s="9" t="str">
        <f>IFERROR(MID(VLOOKUP($B13,Seqs!$A:$B,2,0),AM13,1),"")</f>
        <v>A</v>
      </c>
      <c r="AM13" s="9">
        <v>248</v>
      </c>
      <c r="AN13" s="9" t="str">
        <f>IFERROR(MID(VLOOKUP($B13,Seqs!$A:$B,2,0),AO13,1),"")</f>
        <v>Q</v>
      </c>
      <c r="AO13" s="9">
        <v>314</v>
      </c>
      <c r="AP13" s="9" t="str">
        <f>IFERROR(MID(VLOOKUP($B13,Seqs!$A:$B,2,0),AQ13,1),"")</f>
        <v>C</v>
      </c>
      <c r="AQ13" s="9">
        <v>350</v>
      </c>
      <c r="AR13" s="9" t="str">
        <f>IFERROR(MID(VLOOKUP($B13,Seqs!$A:$B,2,0),AS13,1),"")</f>
        <v>N</v>
      </c>
      <c r="AS13" s="9">
        <v>354</v>
      </c>
      <c r="AT13" s="9" t="str">
        <f>IFERROR(MID(VLOOKUP($B13,Seqs!$A:$B,2,0),AU13,1),"")</f>
        <v>F</v>
      </c>
      <c r="AU13" s="9">
        <v>383</v>
      </c>
      <c r="AV13" s="9" t="str">
        <f>IFERROR(MID(VLOOKUP($B13,Seqs!$A:$B,2,0),AW13,1),"")</f>
        <v>N</v>
      </c>
      <c r="AW13" s="9">
        <v>384</v>
      </c>
      <c r="AX13" s="9" t="str">
        <f>IFERROR(MID(VLOOKUP($B13,Seqs!$A:$B,2,0),AY13,1),"")</f>
        <v>I</v>
      </c>
      <c r="AY13" s="9">
        <v>395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ref="BB13" si="57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09">
        <f t="shared" ref="BC13" si="58">_xlfn.AGGREGATE(9,6,CH13:CS13)-_xlfn.AGGREGATE(9,6,BV13:CG13)+12</f>
        <v>254</v>
      </c>
      <c r="BD13" s="11" t="s">
        <v>23</v>
      </c>
      <c r="BE13" s="9" t="s">
        <v>1439</v>
      </c>
      <c r="BF13" s="120">
        <v>3.1</v>
      </c>
      <c r="BG13" s="51" t="s">
        <v>1</v>
      </c>
      <c r="BH13" s="51" t="s">
        <v>1</v>
      </c>
      <c r="BJ13" s="111" t="s">
        <v>1293</v>
      </c>
      <c r="BK13" s="112" t="s">
        <v>1293</v>
      </c>
      <c r="BL13" s="112" t="s">
        <v>1293</v>
      </c>
      <c r="BM13" s="112" t="s">
        <v>1293</v>
      </c>
      <c r="BN13" s="112" t="s">
        <v>1293</v>
      </c>
      <c r="BO13" s="112" t="s">
        <v>1293</v>
      </c>
      <c r="BP13" s="112" t="s">
        <v>1293</v>
      </c>
      <c r="BQ13" s="112" t="s">
        <v>1293</v>
      </c>
      <c r="BR13" s="112" t="s">
        <v>1293</v>
      </c>
      <c r="BS13" s="112" t="s">
        <v>1293</v>
      </c>
      <c r="BT13" s="112" t="s">
        <v>1293</v>
      </c>
      <c r="BU13" s="112" t="s">
        <v>1293</v>
      </c>
      <c r="BV13" s="111">
        <f t="shared" ref="BV13" si="59">E13</f>
        <v>53</v>
      </c>
      <c r="BW13" s="113">
        <f t="shared" ref="BW13" si="60">I13</f>
        <v>83</v>
      </c>
      <c r="BX13" s="114">
        <f t="shared" ref="BX13" si="61">M13</f>
        <v>87</v>
      </c>
      <c r="BY13" s="113">
        <f t="shared" ref="BY13" si="62">Q13</f>
        <v>120</v>
      </c>
      <c r="BZ13" s="114">
        <f t="shared" ref="BZ13" si="63">U13</f>
        <v>124</v>
      </c>
      <c r="CA13" s="113" t="str">
        <f t="shared" ref="CA13" si="64">Y13</f>
        <v>-</v>
      </c>
      <c r="CB13" s="114">
        <f t="shared" ref="CB13" si="65">AC13</f>
        <v>164</v>
      </c>
      <c r="CC13" s="113">
        <f t="shared" ref="CC13" si="66">AG13</f>
        <v>207</v>
      </c>
      <c r="CD13" s="114">
        <f t="shared" ref="CD13" si="67">AK13</f>
        <v>214</v>
      </c>
      <c r="CE13" s="113">
        <f t="shared" ref="CE13" si="68">AO13</f>
        <v>314</v>
      </c>
      <c r="CF13" s="114">
        <f t="shared" ref="CF13" si="69">AS13</f>
        <v>354</v>
      </c>
      <c r="CG13" s="113">
        <f t="shared" ref="CG13" si="70">AW13</f>
        <v>384</v>
      </c>
      <c r="CH13" s="111">
        <f t="shared" ref="CH13" si="71">G13</f>
        <v>82</v>
      </c>
      <c r="CI13" s="113">
        <f t="shared" ref="CI13" si="72">K13</f>
        <v>86</v>
      </c>
      <c r="CJ13" s="114">
        <f t="shared" ref="CJ13" si="73">O13</f>
        <v>117</v>
      </c>
      <c r="CK13" s="114">
        <f t="shared" ref="CK13" si="74">S13</f>
        <v>123</v>
      </c>
      <c r="CL13" s="114">
        <f t="shared" ref="CL13" si="75">W13</f>
        <v>159</v>
      </c>
      <c r="CM13" s="114" t="str">
        <f t="shared" ref="CM13" si="76">AA13</f>
        <v>-</v>
      </c>
      <c r="CN13" s="114">
        <f t="shared" ref="CN13" si="77">AE13</f>
        <v>194</v>
      </c>
      <c r="CO13" s="114">
        <f t="shared" ref="CO13" si="78">AI13</f>
        <v>209</v>
      </c>
      <c r="CP13" s="114">
        <f t="shared" ref="CP13" si="79">AM13</f>
        <v>248</v>
      </c>
      <c r="CQ13" s="114">
        <f t="shared" ref="CQ13" si="80">AQ13</f>
        <v>350</v>
      </c>
      <c r="CR13" s="114">
        <f t="shared" ref="CR13" si="81">AU13</f>
        <v>383</v>
      </c>
      <c r="CS13" s="114">
        <f t="shared" ref="CS13" si="82">AY13</f>
        <v>395</v>
      </c>
      <c r="CT13" s="109">
        <f t="shared" ref="CT13" si="83">M13-K13</f>
        <v>1</v>
      </c>
    </row>
    <row r="14" spans="1:1029" s="12" customFormat="1" x14ac:dyDescent="0.2">
      <c r="A14" s="9" t="str">
        <f t="shared" ref="A14" si="84">CONCATENATE(B14,"_",C14)</f>
        <v>5ht2b_human_6DRY</v>
      </c>
      <c r="B14" s="9" t="s">
        <v>35</v>
      </c>
      <c r="C14" s="9" t="s">
        <v>1531</v>
      </c>
      <c r="D14" s="9" t="str">
        <f>IFERROR(MID(VLOOKUP($B14,Seqs!$A:$B,2,0),E14,1),"")</f>
        <v>K</v>
      </c>
      <c r="E14" s="9">
        <v>53</v>
      </c>
      <c r="F14" s="9" t="str">
        <f>IFERROR(MID(VLOOKUP($B14,Seqs!$A:$B,2,0),G14,1),"")</f>
        <v>E</v>
      </c>
      <c r="G14" s="9">
        <v>82</v>
      </c>
      <c r="H14" s="9" t="str">
        <f>IFERROR(MID(VLOOKUP($B14,Seqs!$A:$B,2,0),I14,1),"")</f>
        <v>K</v>
      </c>
      <c r="I14" s="109">
        <v>83</v>
      </c>
      <c r="J14" s="9" t="str">
        <f>IFERROR(MID(VLOOKUP($B14,Seqs!$A:$B,2,0),K14,1),"")</f>
        <v>Q</v>
      </c>
      <c r="K14" s="109">
        <v>86</v>
      </c>
      <c r="L14" s="9" t="str">
        <f>IFERROR(MID(VLOOKUP($B14,Seqs!$A:$B,2,0),M14,1),"")</f>
        <v>Y</v>
      </c>
      <c r="M14" s="9">
        <v>87</v>
      </c>
      <c r="N14" s="9" t="str">
        <f>IFERROR(MID(VLOOKUP($B14,Seqs!$A:$B,2,0),O14,1),"")</f>
        <v>F</v>
      </c>
      <c r="O14" s="9">
        <v>117</v>
      </c>
      <c r="P14" s="9" t="str">
        <f>IFERROR(MID(VLOOKUP($B14,Seqs!$A:$B,2,0),Q14,1),"")</f>
        <v>M</v>
      </c>
      <c r="Q14" s="9">
        <v>120</v>
      </c>
      <c r="R14" s="9" t="str">
        <f>IFERROR(MID(VLOOKUP($B14,Seqs!$A:$B,2,0),S14,1),"")</f>
        <v>L</v>
      </c>
      <c r="S14" s="9">
        <v>123</v>
      </c>
      <c r="T14" s="9" t="str">
        <f>IFERROR(MID(VLOOKUP($B14,Seqs!$A:$B,2,0),U14,1),"")</f>
        <v>P</v>
      </c>
      <c r="U14" s="9">
        <v>124</v>
      </c>
      <c r="V14" s="9" t="str">
        <f>IFERROR(MID(VLOOKUP($B14,Seqs!$A:$B,2,0),W14,1),"")</f>
        <v>K</v>
      </c>
      <c r="W14" s="9">
        <v>159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S</v>
      </c>
      <c r="AC14" s="9">
        <v>168</v>
      </c>
      <c r="AD14" s="9" t="str">
        <f>IFERROR(MID(VLOOKUP($B14,Seqs!$A:$B,2,0),AE14,1),"")</f>
        <v>G</v>
      </c>
      <c r="AE14" s="9">
        <v>194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F</v>
      </c>
      <c r="AK14" s="9">
        <v>214</v>
      </c>
      <c r="AL14" s="9" t="str">
        <f>IFERROR(MID(VLOOKUP($B14,Seqs!$A:$B,2,0),AM14,1),"")</f>
        <v>A</v>
      </c>
      <c r="AM14" s="9">
        <v>248</v>
      </c>
      <c r="AN14" s="9" t="str">
        <f>IFERROR(MID(VLOOKUP($B14,Seqs!$A:$B,2,0),AO14,1),"")</f>
        <v>V</v>
      </c>
      <c r="AO14" s="9">
        <v>313</v>
      </c>
      <c r="AP14" s="9" t="str">
        <f>IFERROR(MID(VLOOKUP($B14,Seqs!$A:$B,2,0),AQ14,1),"")</f>
        <v>C</v>
      </c>
      <c r="AQ14" s="9">
        <v>350</v>
      </c>
      <c r="AR14" s="9" t="str">
        <f>IFERROR(MID(VLOOKUP($B14,Seqs!$A:$B,2,0),AS14,1),"")</f>
        <v>N</v>
      </c>
      <c r="AS14" s="9">
        <v>354</v>
      </c>
      <c r="AT14" s="9" t="str">
        <f>IFERROR(MID(VLOOKUP($B14,Seqs!$A:$B,2,0),AU14,1),"")</f>
        <v>F</v>
      </c>
      <c r="AU14" s="9">
        <v>383</v>
      </c>
      <c r="AV14" s="9" t="str">
        <f>IFERROR(MID(VLOOKUP($B14,Seqs!$A:$B,2,0),AW14,1),"")</f>
        <v>N</v>
      </c>
      <c r="AW14" s="9">
        <v>384</v>
      </c>
      <c r="AX14" s="9" t="str">
        <f>IFERROR(MID(VLOOKUP($B14,Seqs!$A:$B,2,0),AY14,1),"")</f>
        <v>I</v>
      </c>
      <c r="AY14" s="9">
        <v>395</v>
      </c>
      <c r="AZ14" s="110" t="str">
        <f>VLOOKUP(B14,Classification!A:D,2,0)</f>
        <v>A</v>
      </c>
      <c r="BA14" s="98" t="str">
        <f>VLOOKUP(B14,Classification!A:D,4,0)</f>
        <v>5-Hydroxytryptamine</v>
      </c>
      <c r="BB14" s="36" t="b">
        <f t="shared" ref="BB14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09">
        <f t="shared" ref="BC14" si="86">_xlfn.AGGREGATE(9,6,CH14:CS14)-_xlfn.AGGREGATE(9,6,BV14:CG14)+12</f>
        <v>251</v>
      </c>
      <c r="BD14" s="11" t="s">
        <v>23</v>
      </c>
      <c r="BE14" s="9" t="s">
        <v>1439</v>
      </c>
      <c r="BF14" s="120">
        <v>2.92</v>
      </c>
      <c r="BG14" s="51" t="s">
        <v>1</v>
      </c>
      <c r="BH14" s="51" t="s">
        <v>1</v>
      </c>
      <c r="BJ14" s="111" t="s">
        <v>1293</v>
      </c>
      <c r="BK14" s="112" t="s">
        <v>1293</v>
      </c>
      <c r="BL14" s="112" t="s">
        <v>1293</v>
      </c>
      <c r="BM14" s="112" t="s">
        <v>1293</v>
      </c>
      <c r="BN14" s="112" t="s">
        <v>1293</v>
      </c>
      <c r="BO14" s="112" t="s">
        <v>1293</v>
      </c>
      <c r="BP14" s="112" t="s">
        <v>1293</v>
      </c>
      <c r="BQ14" s="112" t="s">
        <v>1293</v>
      </c>
      <c r="BR14" s="112" t="s">
        <v>1293</v>
      </c>
      <c r="BS14" s="112" t="s">
        <v>1293</v>
      </c>
      <c r="BT14" s="112" t="s">
        <v>1293</v>
      </c>
      <c r="BU14" s="112" t="s">
        <v>1293</v>
      </c>
      <c r="BV14" s="111">
        <f t="shared" ref="BV14" si="87">E14</f>
        <v>53</v>
      </c>
      <c r="BW14" s="113">
        <f t="shared" ref="BW14" si="88">I14</f>
        <v>83</v>
      </c>
      <c r="BX14" s="114">
        <f t="shared" ref="BX14" si="89">M14</f>
        <v>87</v>
      </c>
      <c r="BY14" s="113">
        <f t="shared" ref="BY14" si="90">Q14</f>
        <v>120</v>
      </c>
      <c r="BZ14" s="114">
        <f t="shared" ref="BZ14" si="91">U14</f>
        <v>124</v>
      </c>
      <c r="CA14" s="113" t="str">
        <f t="shared" ref="CA14" si="92">Y14</f>
        <v>-</v>
      </c>
      <c r="CB14" s="114">
        <f t="shared" ref="CB14" si="93">AC14</f>
        <v>168</v>
      </c>
      <c r="CC14" s="113">
        <f t="shared" ref="CC14" si="94">AG14</f>
        <v>207</v>
      </c>
      <c r="CD14" s="114">
        <f t="shared" ref="CD14" si="95">AK14</f>
        <v>214</v>
      </c>
      <c r="CE14" s="113">
        <f t="shared" ref="CE14" si="96">AO14</f>
        <v>313</v>
      </c>
      <c r="CF14" s="114">
        <f t="shared" ref="CF14" si="97">AS14</f>
        <v>354</v>
      </c>
      <c r="CG14" s="113">
        <f t="shared" ref="CG14" si="98">AW14</f>
        <v>384</v>
      </c>
      <c r="CH14" s="111">
        <f t="shared" ref="CH14" si="99">G14</f>
        <v>82</v>
      </c>
      <c r="CI14" s="113">
        <f t="shared" ref="CI14" si="100">K14</f>
        <v>86</v>
      </c>
      <c r="CJ14" s="114">
        <f t="shared" ref="CJ14" si="101">O14</f>
        <v>117</v>
      </c>
      <c r="CK14" s="114">
        <f t="shared" ref="CK14" si="102">S14</f>
        <v>123</v>
      </c>
      <c r="CL14" s="114">
        <f t="shared" ref="CL14" si="103">W14</f>
        <v>159</v>
      </c>
      <c r="CM14" s="114" t="str">
        <f t="shared" ref="CM14" si="104">AA14</f>
        <v>-</v>
      </c>
      <c r="CN14" s="114">
        <f t="shared" ref="CN14" si="105">AE14</f>
        <v>194</v>
      </c>
      <c r="CO14" s="114">
        <f t="shared" ref="CO14" si="106">AI14</f>
        <v>209</v>
      </c>
      <c r="CP14" s="114">
        <f t="shared" ref="CP14" si="107">AM14</f>
        <v>248</v>
      </c>
      <c r="CQ14" s="114">
        <f t="shared" ref="CQ14" si="108">AQ14</f>
        <v>350</v>
      </c>
      <c r="CR14" s="114">
        <f t="shared" ref="CR14" si="109">AU14</f>
        <v>383</v>
      </c>
      <c r="CS14" s="114">
        <f t="shared" ref="CS14" si="110">AY14</f>
        <v>395</v>
      </c>
      <c r="CT14" s="109">
        <f t="shared" ref="CT14" si="111">M14-K14</f>
        <v>1</v>
      </c>
    </row>
    <row r="15" spans="1:1029" s="12" customFormat="1" x14ac:dyDescent="0.2">
      <c r="A15" s="9" t="str">
        <f t="shared" ref="A15" si="112">CONCATENATE(B15,"_",C15)</f>
        <v>5ht2b_human_6DRZ</v>
      </c>
      <c r="B15" s="9" t="s">
        <v>35</v>
      </c>
      <c r="C15" s="9" t="s">
        <v>1532</v>
      </c>
      <c r="D15" s="9" t="str">
        <f>IFERROR(MID(VLOOKUP($B15,Seqs!$A:$B,2,0),E15,1),"")</f>
        <v>K</v>
      </c>
      <c r="E15" s="9">
        <v>53</v>
      </c>
      <c r="F15" s="9" t="str">
        <f>IFERROR(MID(VLOOKUP($B15,Seqs!$A:$B,2,0),G15,1),"")</f>
        <v>E</v>
      </c>
      <c r="G15" s="9">
        <v>82</v>
      </c>
      <c r="H15" s="9" t="str">
        <f>IFERROR(MID(VLOOKUP($B15,Seqs!$A:$B,2,0),I15,1),"")</f>
        <v>K</v>
      </c>
      <c r="I15" s="109">
        <v>83</v>
      </c>
      <c r="J15" s="9" t="str">
        <f>IFERROR(MID(VLOOKUP($B15,Seqs!$A:$B,2,0),K15,1),"")</f>
        <v>Q</v>
      </c>
      <c r="K15" s="109">
        <v>86</v>
      </c>
      <c r="L15" s="9" t="str">
        <f>IFERROR(MID(VLOOKUP($B15,Seqs!$A:$B,2,0),M15,1),"")</f>
        <v>Y</v>
      </c>
      <c r="M15" s="9">
        <v>87</v>
      </c>
      <c r="N15" s="9" t="str">
        <f>IFERROR(MID(VLOOKUP($B15,Seqs!$A:$B,2,0),O15,1),"")</f>
        <v>F</v>
      </c>
      <c r="O15" s="9">
        <v>117</v>
      </c>
      <c r="P15" s="9" t="str">
        <f>IFERROR(MID(VLOOKUP($B15,Seqs!$A:$B,2,0),Q15,1),"")</f>
        <v>M</v>
      </c>
      <c r="Q15" s="9">
        <v>120</v>
      </c>
      <c r="R15" s="9" t="str">
        <f>IFERROR(MID(VLOOKUP($B15,Seqs!$A:$B,2,0),S15,1),"")</f>
        <v>L</v>
      </c>
      <c r="S15" s="9">
        <v>123</v>
      </c>
      <c r="T15" s="9" t="str">
        <f>IFERROR(MID(VLOOKUP($B15,Seqs!$A:$B,2,0),U15,1),"")</f>
        <v>P</v>
      </c>
      <c r="U15" s="9">
        <v>124</v>
      </c>
      <c r="V15" s="9" t="str">
        <f>IFERROR(MID(VLOOKUP($B15,Seqs!$A:$B,2,0),W15,1),"")</f>
        <v>K</v>
      </c>
      <c r="W15" s="9">
        <v>159</v>
      </c>
      <c r="X15" s="9" t="str">
        <f>IFERROR(MID(VLOOKUP($B15,Seqs!$A:$B,2,0),Y15,1),"")</f>
        <v/>
      </c>
      <c r="Y15" s="9" t="s">
        <v>23</v>
      </c>
      <c r="Z15" s="9" t="str">
        <f>IFERROR(MID(VLOOKUP($B15,Seqs!$A:$B,2,0),AA15,1),"")</f>
        <v/>
      </c>
      <c r="AA15" s="9" t="s">
        <v>23</v>
      </c>
      <c r="AB15" s="9" t="str">
        <f>IFERROR(MID(VLOOKUP($B15,Seqs!$A:$B,2,0),AC15,1),"")</f>
        <v>R</v>
      </c>
      <c r="AC15" s="9">
        <v>169</v>
      </c>
      <c r="AD15" s="9" t="str">
        <f>IFERROR(MID(VLOOKUP($B15,Seqs!$A:$B,2,0),AE15,1),"")</f>
        <v>G</v>
      </c>
      <c r="AE15" s="9">
        <v>194</v>
      </c>
      <c r="AF15" s="9" t="str">
        <f>IFERROR(MID(VLOOKUP($B15,Seqs!$A:$B,2,0),AG15,1),"")</f>
        <v>C</v>
      </c>
      <c r="AG15" s="9">
        <v>207</v>
      </c>
      <c r="AH15" s="9" t="str">
        <f>IFERROR(MID(VLOOKUP($B15,Seqs!$A:$B,2,0),AI15,1),"")</f>
        <v>L</v>
      </c>
      <c r="AI15" s="9">
        <v>209</v>
      </c>
      <c r="AJ15" s="9" t="str">
        <f>IFERROR(MID(VLOOKUP($B15,Seqs!$A:$B,2,0),AK15,1),"")</f>
        <v>F</v>
      </c>
      <c r="AK15" s="9">
        <v>214</v>
      </c>
      <c r="AL15" s="9" t="str">
        <f>IFERROR(MID(VLOOKUP($B15,Seqs!$A:$B,2,0),AM15,1),"")</f>
        <v>A</v>
      </c>
      <c r="AM15" s="9">
        <v>248</v>
      </c>
      <c r="AN15" s="9" t="str">
        <f>IFERROR(MID(VLOOKUP($B15,Seqs!$A:$B,2,0),AO15,1),"")</f>
        <v>V</v>
      </c>
      <c r="AO15" s="9">
        <v>313</v>
      </c>
      <c r="AP15" s="9" t="str">
        <f>IFERROR(MID(VLOOKUP($B15,Seqs!$A:$B,2,0),AQ15,1),"")</f>
        <v>C</v>
      </c>
      <c r="AQ15" s="9">
        <v>350</v>
      </c>
      <c r="AR15" s="9" t="str">
        <f>IFERROR(MID(VLOOKUP($B15,Seqs!$A:$B,2,0),AS15,1),"")</f>
        <v>N</v>
      </c>
      <c r="AS15" s="9">
        <v>354</v>
      </c>
      <c r="AT15" s="9" t="str">
        <f>IFERROR(MID(VLOOKUP($B15,Seqs!$A:$B,2,0),AU15,1),"")</f>
        <v>F</v>
      </c>
      <c r="AU15" s="9">
        <v>383</v>
      </c>
      <c r="AV15" s="9" t="str">
        <f>IFERROR(MID(VLOOKUP($B15,Seqs!$A:$B,2,0),AW15,1),"")</f>
        <v>N</v>
      </c>
      <c r="AW15" s="9">
        <v>384</v>
      </c>
      <c r="AX15" s="9" t="str">
        <f>IFERROR(MID(VLOOKUP($B15,Seqs!$A:$B,2,0),AY15,1),"")</f>
        <v>I</v>
      </c>
      <c r="AY15" s="9">
        <v>395</v>
      </c>
      <c r="AZ15" s="110" t="str">
        <f>VLOOKUP(B15,Classification!A:D,2,0)</f>
        <v>A</v>
      </c>
      <c r="BA15" s="98" t="str">
        <f>VLOOKUP(B15,Classification!A:D,4,0)</f>
        <v>5-Hydroxytryptamine</v>
      </c>
      <c r="BB15" s="36" t="b">
        <f t="shared" ref="BB15" si="113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109">
        <f t="shared" ref="BC15" si="114">_xlfn.AGGREGATE(9,6,CH15:CS15)-_xlfn.AGGREGATE(9,6,BV15:CG15)+12</f>
        <v>250</v>
      </c>
      <c r="BD15" s="11" t="s">
        <v>23</v>
      </c>
      <c r="BE15" s="9" t="s">
        <v>1439</v>
      </c>
      <c r="BF15" s="120">
        <v>3.1</v>
      </c>
      <c r="BG15" s="51" t="s">
        <v>1</v>
      </c>
      <c r="BH15" s="51" t="s">
        <v>1</v>
      </c>
      <c r="BJ15" s="111" t="s">
        <v>1293</v>
      </c>
      <c r="BK15" s="112" t="s">
        <v>1293</v>
      </c>
      <c r="BL15" s="112" t="s">
        <v>1293</v>
      </c>
      <c r="BM15" s="112" t="s">
        <v>1293</v>
      </c>
      <c r="BN15" s="112" t="s">
        <v>1293</v>
      </c>
      <c r="BO15" s="112" t="s">
        <v>1293</v>
      </c>
      <c r="BP15" s="112" t="s">
        <v>1293</v>
      </c>
      <c r="BQ15" s="112" t="s">
        <v>1293</v>
      </c>
      <c r="BR15" s="112" t="s">
        <v>1293</v>
      </c>
      <c r="BS15" s="112" t="s">
        <v>1293</v>
      </c>
      <c r="BT15" s="112" t="s">
        <v>1293</v>
      </c>
      <c r="BU15" s="112" t="s">
        <v>1293</v>
      </c>
      <c r="BV15" s="111">
        <f t="shared" ref="BV15" si="115">E15</f>
        <v>53</v>
      </c>
      <c r="BW15" s="113">
        <f t="shared" ref="BW15" si="116">I15</f>
        <v>83</v>
      </c>
      <c r="BX15" s="114">
        <f t="shared" ref="BX15" si="117">M15</f>
        <v>87</v>
      </c>
      <c r="BY15" s="113">
        <f t="shared" ref="BY15" si="118">Q15</f>
        <v>120</v>
      </c>
      <c r="BZ15" s="114">
        <f t="shared" ref="BZ15" si="119">U15</f>
        <v>124</v>
      </c>
      <c r="CA15" s="113" t="str">
        <f t="shared" ref="CA15" si="120">Y15</f>
        <v>-</v>
      </c>
      <c r="CB15" s="114">
        <f t="shared" ref="CB15" si="121">AC15</f>
        <v>169</v>
      </c>
      <c r="CC15" s="113">
        <f t="shared" ref="CC15" si="122">AG15</f>
        <v>207</v>
      </c>
      <c r="CD15" s="114">
        <f t="shared" ref="CD15" si="123">AK15</f>
        <v>214</v>
      </c>
      <c r="CE15" s="113">
        <f t="shared" ref="CE15" si="124">AO15</f>
        <v>313</v>
      </c>
      <c r="CF15" s="114">
        <f t="shared" ref="CF15" si="125">AS15</f>
        <v>354</v>
      </c>
      <c r="CG15" s="113">
        <f t="shared" ref="CG15" si="126">AW15</f>
        <v>384</v>
      </c>
      <c r="CH15" s="111">
        <f t="shared" ref="CH15" si="127">G15</f>
        <v>82</v>
      </c>
      <c r="CI15" s="113">
        <f t="shared" ref="CI15" si="128">K15</f>
        <v>86</v>
      </c>
      <c r="CJ15" s="114">
        <f t="shared" ref="CJ15" si="129">O15</f>
        <v>117</v>
      </c>
      <c r="CK15" s="114">
        <f t="shared" ref="CK15" si="130">S15</f>
        <v>123</v>
      </c>
      <c r="CL15" s="114">
        <f t="shared" ref="CL15" si="131">W15</f>
        <v>159</v>
      </c>
      <c r="CM15" s="114" t="str">
        <f t="shared" ref="CM15" si="132">AA15</f>
        <v>-</v>
      </c>
      <c r="CN15" s="114">
        <f t="shared" ref="CN15" si="133">AE15</f>
        <v>194</v>
      </c>
      <c r="CO15" s="114">
        <f t="shared" ref="CO15" si="134">AI15</f>
        <v>209</v>
      </c>
      <c r="CP15" s="114">
        <f t="shared" ref="CP15" si="135">AM15</f>
        <v>248</v>
      </c>
      <c r="CQ15" s="114">
        <f t="shared" ref="CQ15" si="136">AQ15</f>
        <v>350</v>
      </c>
      <c r="CR15" s="114">
        <f t="shared" ref="CR15" si="137">AU15</f>
        <v>383</v>
      </c>
      <c r="CS15" s="114">
        <f t="shared" ref="CS15" si="138">AY15</f>
        <v>395</v>
      </c>
      <c r="CT15" s="109">
        <f t="shared" ref="CT15" si="139">M15-K15</f>
        <v>1</v>
      </c>
    </row>
    <row r="16" spans="1:1029" s="12" customFormat="1" x14ac:dyDescent="0.2">
      <c r="A16" s="9" t="str">
        <f t="shared" ref="A16" si="140">CONCATENATE(B16,"_",C16)</f>
        <v>5ht2b_human_6DS0</v>
      </c>
      <c r="B16" s="9" t="s">
        <v>35</v>
      </c>
      <c r="C16" s="9" t="s">
        <v>1533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167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41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42">_xlfn.AGGREGATE(9,6,CH16:CS16)-_xlfn.AGGREGATE(9,6,BV16:CG16)+12</f>
        <v>251</v>
      </c>
      <c r="BD16" s="11" t="s">
        <v>23</v>
      </c>
      <c r="BE16" s="9" t="s">
        <v>1439</v>
      </c>
      <c r="BF16" s="120">
        <v>3.19</v>
      </c>
      <c r="BG16" s="51" t="s">
        <v>1</v>
      </c>
      <c r="BH16" s="51" t="s">
        <v>1</v>
      </c>
      <c r="BJ16" s="111" t="s">
        <v>1293</v>
      </c>
      <c r="BK16" s="112" t="s">
        <v>1293</v>
      </c>
      <c r="BL16" s="112" t="s">
        <v>1293</v>
      </c>
      <c r="BM16" s="112" t="s">
        <v>1293</v>
      </c>
      <c r="BN16" s="112" t="s">
        <v>1293</v>
      </c>
      <c r="BO16" s="112" t="s">
        <v>1293</v>
      </c>
      <c r="BP16" s="112" t="s">
        <v>1293</v>
      </c>
      <c r="BQ16" s="112" t="s">
        <v>1293</v>
      </c>
      <c r="BR16" s="112" t="s">
        <v>1293</v>
      </c>
      <c r="BS16" s="112" t="s">
        <v>1293</v>
      </c>
      <c r="BT16" s="112" t="s">
        <v>1293</v>
      </c>
      <c r="BU16" s="112" t="s">
        <v>1293</v>
      </c>
      <c r="BV16" s="111">
        <f t="shared" ref="BV16" si="143">E16</f>
        <v>53</v>
      </c>
      <c r="BW16" s="113">
        <f t="shared" ref="BW16" si="144">I16</f>
        <v>83</v>
      </c>
      <c r="BX16" s="114">
        <f t="shared" ref="BX16" si="145">M16</f>
        <v>87</v>
      </c>
      <c r="BY16" s="113">
        <f t="shared" ref="BY16" si="146">Q16</f>
        <v>120</v>
      </c>
      <c r="BZ16" s="114">
        <f t="shared" ref="BZ16" si="147">U16</f>
        <v>124</v>
      </c>
      <c r="CA16" s="113" t="str">
        <f t="shared" ref="CA16" si="148">Y16</f>
        <v>-</v>
      </c>
      <c r="CB16" s="114">
        <f t="shared" ref="CB16" si="149">AC16</f>
        <v>167</v>
      </c>
      <c r="CC16" s="113">
        <f t="shared" ref="CC16" si="150">AG16</f>
        <v>207</v>
      </c>
      <c r="CD16" s="114">
        <f t="shared" ref="CD16" si="151">AK16</f>
        <v>214</v>
      </c>
      <c r="CE16" s="113">
        <f t="shared" ref="CE16" si="152">AO16</f>
        <v>314</v>
      </c>
      <c r="CF16" s="114">
        <f t="shared" ref="CF16" si="153">AS16</f>
        <v>354</v>
      </c>
      <c r="CG16" s="113">
        <f t="shared" ref="CG16" si="154">AW16</f>
        <v>384</v>
      </c>
      <c r="CH16" s="111">
        <f t="shared" ref="CH16" si="155">G16</f>
        <v>82</v>
      </c>
      <c r="CI16" s="113">
        <f t="shared" ref="CI16" si="156">K16</f>
        <v>86</v>
      </c>
      <c r="CJ16" s="114">
        <f t="shared" ref="CJ16" si="157">O16</f>
        <v>117</v>
      </c>
      <c r="CK16" s="114">
        <f t="shared" ref="CK16" si="158">S16</f>
        <v>123</v>
      </c>
      <c r="CL16" s="114">
        <f t="shared" ref="CL16" si="159">W16</f>
        <v>159</v>
      </c>
      <c r="CM16" s="114" t="str">
        <f t="shared" ref="CM16" si="160">AA16</f>
        <v>-</v>
      </c>
      <c r="CN16" s="114">
        <f t="shared" ref="CN16" si="161">AE16</f>
        <v>194</v>
      </c>
      <c r="CO16" s="114">
        <f t="shared" ref="CO16" si="162">AI16</f>
        <v>209</v>
      </c>
      <c r="CP16" s="114">
        <f t="shared" ref="CP16" si="163">AM16</f>
        <v>248</v>
      </c>
      <c r="CQ16" s="114">
        <f t="shared" ref="CQ16" si="164">AQ16</f>
        <v>350</v>
      </c>
      <c r="CR16" s="114">
        <f t="shared" ref="CR16" si="165">AU16</f>
        <v>383</v>
      </c>
      <c r="CS16" s="114">
        <f t="shared" ref="CS16" si="166">AY16</f>
        <v>395</v>
      </c>
      <c r="CT16" s="109">
        <f t="shared" ref="CT16" si="167">M16-K16</f>
        <v>1</v>
      </c>
    </row>
    <row r="17" spans="1:1030" x14ac:dyDescent="0.2">
      <c r="A17" s="3" t="str">
        <f t="shared" si="28"/>
        <v>5ht2c_human__wt</v>
      </c>
      <c r="B17" s="3" t="s">
        <v>133</v>
      </c>
      <c r="C17" s="3" t="s">
        <v>100</v>
      </c>
      <c r="D17" s="3" t="str">
        <f>IFERROR(MID(VLOOKUP($B17,Seqs!$A:$B,2,0),E17,1),"")</f>
        <v>N</v>
      </c>
      <c r="E17" s="3">
        <v>54</v>
      </c>
      <c r="F17" s="3" t="str">
        <f>IFERROR(MID(VLOOKUP($B17,Seqs!$A:$B,2,0),G17,1),"")</f>
        <v>E</v>
      </c>
      <c r="G17" s="3">
        <v>81</v>
      </c>
      <c r="H17" s="3" t="str">
        <f>IFERROR(MID(VLOOKUP($B17,Seqs!$A:$B,2,0),I17,1),"")</f>
        <v>K</v>
      </c>
      <c r="I17" s="23">
        <v>82</v>
      </c>
      <c r="J17" s="3" t="str">
        <f>IFERROR(MID(VLOOKUP($B17,Seqs!$A:$B,2,0),K17,1),"")</f>
        <v>H</v>
      </c>
      <c r="K17" s="23">
        <v>85</v>
      </c>
      <c r="L17" s="3" t="str">
        <f>IFERROR(MID(VLOOKUP($B17,Seqs!$A:$B,2,0),M17,1),"")</f>
        <v>N</v>
      </c>
      <c r="M17" s="3">
        <v>86</v>
      </c>
      <c r="N17" s="3" t="str">
        <f>IFERROR(MID(VLOOKUP($B17,Seqs!$A:$B,2,0),O17,1),"")</f>
        <v>D</v>
      </c>
      <c r="O17" s="3">
        <v>117</v>
      </c>
      <c r="P17" s="3" t="str">
        <f>IFERROR(MID(VLOOKUP($B17,Seqs!$A:$B,2,0),Q17,1),"")</f>
        <v>V</v>
      </c>
      <c r="Q17" s="3">
        <v>119</v>
      </c>
      <c r="R17" s="3" t="str">
        <f>IFERROR(MID(VLOOKUP($B17,Seqs!$A:$B,2,0),S17,1),"")</f>
        <v>L</v>
      </c>
      <c r="S17" s="3">
        <v>122</v>
      </c>
      <c r="T17" s="3" t="str">
        <f>IFERROR(MID(VLOOKUP($B17,Seqs!$A:$B,2,0),U17,1),"")</f>
        <v>P</v>
      </c>
      <c r="U17" s="3">
        <v>123</v>
      </c>
      <c r="V17" s="3" t="str">
        <f>IFERROR(MID(VLOOKUP($B17,Seqs!$A:$B,2,0),W17,1),"")</f>
        <v>N</v>
      </c>
      <c r="W17" s="3">
        <v>158</v>
      </c>
      <c r="X17" s="3" t="str">
        <f>IFERROR(MID(VLOOKUP($B17,Seqs!$A:$B,2,0),Y17,1),"")</f>
        <v>P</v>
      </c>
      <c r="Y17" s="3">
        <v>159</v>
      </c>
      <c r="Z17" s="3" t="str">
        <f>IFERROR(MID(VLOOKUP($B17,Seqs!$A:$B,2,0),AA17,1),"")</f>
        <v>N</v>
      </c>
      <c r="AA17" s="3">
        <v>166</v>
      </c>
      <c r="AB17" s="3" t="str">
        <f>IFERROR(MID(VLOOKUP($B17,Seqs!$A:$B,2,0),AC17,1),"")</f>
        <v>S</v>
      </c>
      <c r="AC17" s="3">
        <v>167</v>
      </c>
      <c r="AD17" s="3" t="str">
        <f>IFERROR(MID(VLOOKUP($B17,Seqs!$A:$B,2,0),AE17,1),"")</f>
        <v>D</v>
      </c>
      <c r="AE17" s="3">
        <v>196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D</v>
      </c>
      <c r="AK17" s="3">
        <v>211</v>
      </c>
      <c r="AL17" s="3" t="str">
        <f>IFERROR(MID(VLOOKUP($B17,Seqs!$A:$B,2,0),AM17,1),"")</f>
        <v>H</v>
      </c>
      <c r="AM17" s="3">
        <v>250</v>
      </c>
      <c r="AN17" s="3" t="str">
        <f>IFERROR(MID(VLOOKUP($B17,Seqs!$A:$B,2,0),AO17,1),"")</f>
        <v>M</v>
      </c>
      <c r="AO17" s="3">
        <v>300</v>
      </c>
      <c r="AP17" s="3" t="str">
        <f>IFERROR(MID(VLOOKUP($B17,Seqs!$A:$B,2,0),AQ17,1),"")</f>
        <v>C</v>
      </c>
      <c r="AQ17" s="3">
        <v>337</v>
      </c>
      <c r="AR17" s="3" t="str">
        <f>IFERROR(MID(VLOOKUP($B17,Seqs!$A:$B,2,0),AS17,1),"")</f>
        <v>N</v>
      </c>
      <c r="AS17" s="3">
        <v>342</v>
      </c>
      <c r="AT17" s="3" t="str">
        <f>IFERROR(MID(VLOOKUP($B17,Seqs!$A:$B,2,0),AU17,1),"")</f>
        <v>F</v>
      </c>
      <c r="AU17" s="3">
        <v>371</v>
      </c>
      <c r="AV17" s="3" t="str">
        <f>IFERROR(MID(VLOOKUP($B17,Seqs!$A:$B,2,0),AW17,1),"")</f>
        <v>N</v>
      </c>
      <c r="AW17" s="3">
        <v>372</v>
      </c>
      <c r="AX17" s="3" t="str">
        <f>IFERROR(MID(VLOOKUP($B17,Seqs!$A:$B,2,0),AY17,1),"")</f>
        <v>C</v>
      </c>
      <c r="AY17" s="3">
        <v>385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si="29"/>
        <v>1</v>
      </c>
      <c r="BC17" s="23">
        <f t="shared" si="30"/>
        <v>267</v>
      </c>
      <c r="BD17" s="4" t="s">
        <v>23</v>
      </c>
      <c r="BE17" s="3" t="s">
        <v>23</v>
      </c>
      <c r="BF17" s="119" t="s">
        <v>23</v>
      </c>
      <c r="BG17" s="49" t="s">
        <v>1384</v>
      </c>
      <c r="BH17" s="49" t="s">
        <v>1384</v>
      </c>
      <c r="BI17" s="1"/>
      <c r="BJ17" s="70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0">
        <f t="shared" si="31"/>
        <v>54</v>
      </c>
      <c r="BW17" s="71">
        <f t="shared" si="32"/>
        <v>82</v>
      </c>
      <c r="BX17" s="72">
        <f t="shared" si="33"/>
        <v>86</v>
      </c>
      <c r="BY17" s="71">
        <f t="shared" si="34"/>
        <v>119</v>
      </c>
      <c r="BZ17" s="72">
        <f t="shared" si="35"/>
        <v>123</v>
      </c>
      <c r="CA17" s="71">
        <f t="shared" si="36"/>
        <v>159</v>
      </c>
      <c r="CB17" s="72">
        <f t="shared" si="37"/>
        <v>167</v>
      </c>
      <c r="CC17" s="71">
        <f t="shared" si="38"/>
        <v>207</v>
      </c>
      <c r="CD17" s="72">
        <f t="shared" si="39"/>
        <v>211</v>
      </c>
      <c r="CE17" s="71">
        <f t="shared" si="40"/>
        <v>300</v>
      </c>
      <c r="CF17" s="72">
        <f t="shared" si="41"/>
        <v>342</v>
      </c>
      <c r="CG17" s="71">
        <f t="shared" si="42"/>
        <v>372</v>
      </c>
      <c r="CH17" s="70">
        <f t="shared" si="43"/>
        <v>81</v>
      </c>
      <c r="CI17" s="71">
        <f t="shared" si="44"/>
        <v>85</v>
      </c>
      <c r="CJ17" s="72">
        <f t="shared" si="45"/>
        <v>117</v>
      </c>
      <c r="CK17" s="72">
        <f t="shared" si="46"/>
        <v>122</v>
      </c>
      <c r="CL17" s="72">
        <f t="shared" si="47"/>
        <v>158</v>
      </c>
      <c r="CM17" s="72">
        <f t="shared" si="48"/>
        <v>166</v>
      </c>
      <c r="CN17" s="72">
        <f t="shared" si="49"/>
        <v>196</v>
      </c>
      <c r="CO17" s="72">
        <f t="shared" si="50"/>
        <v>209</v>
      </c>
      <c r="CP17" s="72">
        <f t="shared" si="51"/>
        <v>250</v>
      </c>
      <c r="CQ17" s="72">
        <f t="shared" si="52"/>
        <v>337</v>
      </c>
      <c r="CR17" s="72">
        <f t="shared" si="53"/>
        <v>371</v>
      </c>
      <c r="CS17" s="72">
        <f t="shared" si="54"/>
        <v>385</v>
      </c>
      <c r="CT17" s="23">
        <f t="shared" si="55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28"/>
        <v>5ht2c_human_6BQG</v>
      </c>
      <c r="B18" s="3" t="s">
        <v>133</v>
      </c>
      <c r="C18" s="3" t="s">
        <v>1478</v>
      </c>
      <c r="D18" s="3" t="str">
        <f>IFERROR(MID(VLOOKUP($B18,Seqs!$A:$B,2,0),E18,1),"")</f>
        <v>V</v>
      </c>
      <c r="E18" s="3">
        <v>61</v>
      </c>
      <c r="F18" s="3" t="str">
        <f>IFERROR(MID(VLOOKUP($B18,Seqs!$A:$B,2,0),G18,1),"")</f>
        <v>E</v>
      </c>
      <c r="G18" s="3">
        <v>81</v>
      </c>
      <c r="H18" s="3" t="str">
        <f>IFERROR(MID(VLOOKUP($B18,Seqs!$A:$B,2,0),I18,1),"")</f>
        <v>K</v>
      </c>
      <c r="I18" s="23">
        <v>82</v>
      </c>
      <c r="J18" s="3" t="str">
        <f>IFERROR(MID(VLOOKUP($B18,Seqs!$A:$B,2,0),K18,1),"")</f>
        <v>H</v>
      </c>
      <c r="K18" s="23">
        <v>85</v>
      </c>
      <c r="L18" s="3" t="str">
        <f>IFERROR(MID(VLOOKUP($B18,Seqs!$A:$B,2,0),M18,1),"")</f>
        <v>N</v>
      </c>
      <c r="M18" s="3">
        <v>86</v>
      </c>
      <c r="N18" s="3" t="str">
        <f>IFERROR(MID(VLOOKUP($B18,Seqs!$A:$B,2,0),O18,1),"")</f>
        <v>D</v>
      </c>
      <c r="O18" s="3">
        <v>117</v>
      </c>
      <c r="P18" s="3" t="str">
        <f>IFERROR(MID(VLOOKUP($B18,Seqs!$A:$B,2,0),Q18,1),"")</f>
        <v>V</v>
      </c>
      <c r="Q18" s="3">
        <v>119</v>
      </c>
      <c r="R18" s="3" t="str">
        <f>IFERROR(MID(VLOOKUP($B18,Seqs!$A:$B,2,0),S18,1),"")</f>
        <v>L</v>
      </c>
      <c r="S18" s="3">
        <v>122</v>
      </c>
      <c r="T18" s="3" t="str">
        <f>IFERROR(MID(VLOOKUP($B18,Seqs!$A:$B,2,0),U18,1),"")</f>
        <v>P</v>
      </c>
      <c r="U18" s="3">
        <v>123</v>
      </c>
      <c r="V18" s="3" t="str">
        <f>IFERROR(MID(VLOOKUP($B18,Seqs!$A:$B,2,0),W18,1),"")</f>
        <v>N</v>
      </c>
      <c r="W18" s="3">
        <v>158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S</v>
      </c>
      <c r="AC18" s="3">
        <v>167</v>
      </c>
      <c r="AD18" s="3" t="str">
        <f>IFERROR(MID(VLOOKUP($B18,Seqs!$A:$B,2,0),AE18,1),"")</f>
        <v>D</v>
      </c>
      <c r="AE18" s="3">
        <v>196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D</v>
      </c>
      <c r="AK18" s="3">
        <v>211</v>
      </c>
      <c r="AL18" s="3" t="str">
        <f>IFERROR(MID(VLOOKUP($B18,Seqs!$A:$B,2,0),AM18,1),"")</f>
        <v>A</v>
      </c>
      <c r="AM18" s="3">
        <v>245</v>
      </c>
      <c r="AN18" s="3" t="str">
        <f>IFERROR(MID(VLOOKUP($B18,Seqs!$A:$B,2,0),AO18,1),"")</f>
        <v>Q</v>
      </c>
      <c r="AO18" s="3">
        <v>301</v>
      </c>
      <c r="AP18" s="3" t="str">
        <f>IFERROR(MID(VLOOKUP($B18,Seqs!$A:$B,2,0),AQ18,1),"")</f>
        <v>C</v>
      </c>
      <c r="AQ18" s="3">
        <v>337</v>
      </c>
      <c r="AR18" s="3" t="str">
        <f>IFERROR(MID(VLOOKUP($B18,Seqs!$A:$B,2,0),AS18,1),"")</f>
        <v>N</v>
      </c>
      <c r="AS18" s="3">
        <v>342</v>
      </c>
      <c r="AT18" s="3" t="str">
        <f>IFERROR(MID(VLOOKUP($B18,Seqs!$A:$B,2,0),AU18,1),"")</f>
        <v>F</v>
      </c>
      <c r="AU18" s="3">
        <v>371</v>
      </c>
      <c r="AV18" s="3" t="str">
        <f>IFERROR(MID(VLOOKUP($B18,Seqs!$A:$B,2,0),AW18,1),"")</f>
        <v>N</v>
      </c>
      <c r="AW18" s="3">
        <v>372</v>
      </c>
      <c r="AX18" s="3" t="str">
        <f>IFERROR(MID(VLOOKUP($B18,Seqs!$A:$B,2,0),AY18,1),"")</f>
        <v>C</v>
      </c>
      <c r="AY18" s="3">
        <v>385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si="29"/>
        <v>1</v>
      </c>
      <c r="BC18" s="23">
        <f t="shared" si="30"/>
        <v>247</v>
      </c>
      <c r="BD18" s="4" t="s">
        <v>1382</v>
      </c>
      <c r="BE18" s="3" t="s">
        <v>1297</v>
      </c>
      <c r="BF18" s="119">
        <v>3</v>
      </c>
      <c r="BG18" s="49" t="s">
        <v>1</v>
      </c>
      <c r="BH18" s="49" t="s">
        <v>1</v>
      </c>
      <c r="BI18" s="1"/>
      <c r="BJ18" s="70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0">
        <f t="shared" si="31"/>
        <v>61</v>
      </c>
      <c r="BW18" s="71">
        <f t="shared" si="32"/>
        <v>82</v>
      </c>
      <c r="BX18" s="72">
        <f t="shared" si="33"/>
        <v>86</v>
      </c>
      <c r="BY18" s="71">
        <f t="shared" si="34"/>
        <v>119</v>
      </c>
      <c r="BZ18" s="72">
        <f t="shared" si="35"/>
        <v>123</v>
      </c>
      <c r="CA18" s="71" t="str">
        <f t="shared" si="36"/>
        <v>-</v>
      </c>
      <c r="CB18" s="72">
        <f t="shared" si="37"/>
        <v>167</v>
      </c>
      <c r="CC18" s="71">
        <f t="shared" si="38"/>
        <v>207</v>
      </c>
      <c r="CD18" s="72">
        <f t="shared" si="39"/>
        <v>211</v>
      </c>
      <c r="CE18" s="71">
        <f t="shared" si="40"/>
        <v>301</v>
      </c>
      <c r="CF18" s="72">
        <f t="shared" si="41"/>
        <v>342</v>
      </c>
      <c r="CG18" s="71">
        <f t="shared" si="42"/>
        <v>372</v>
      </c>
      <c r="CH18" s="70">
        <f t="shared" si="43"/>
        <v>81</v>
      </c>
      <c r="CI18" s="71">
        <f t="shared" si="44"/>
        <v>85</v>
      </c>
      <c r="CJ18" s="72">
        <f t="shared" si="45"/>
        <v>117</v>
      </c>
      <c r="CK18" s="72">
        <f t="shared" si="46"/>
        <v>122</v>
      </c>
      <c r="CL18" s="72">
        <f t="shared" si="47"/>
        <v>158</v>
      </c>
      <c r="CM18" s="72" t="str">
        <f t="shared" si="48"/>
        <v>-</v>
      </c>
      <c r="CN18" s="72">
        <f t="shared" si="49"/>
        <v>196</v>
      </c>
      <c r="CO18" s="72">
        <f t="shared" si="50"/>
        <v>209</v>
      </c>
      <c r="CP18" s="72">
        <f t="shared" si="51"/>
        <v>245</v>
      </c>
      <c r="CQ18" s="72">
        <f t="shared" si="52"/>
        <v>337</v>
      </c>
      <c r="CR18" s="72">
        <f t="shared" si="53"/>
        <v>371</v>
      </c>
      <c r="CS18" s="72">
        <f t="shared" si="54"/>
        <v>385</v>
      </c>
      <c r="CT18" s="23">
        <f t="shared" si="55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28"/>
        <v>5ht2c_human_6BQH</v>
      </c>
      <c r="B19" s="3" t="s">
        <v>133</v>
      </c>
      <c r="C19" s="3" t="s">
        <v>1479</v>
      </c>
      <c r="D19" s="3" t="str">
        <f>IFERROR(MID(VLOOKUP($B19,Seqs!$A:$B,2,0),E19,1),"")</f>
        <v>I</v>
      </c>
      <c r="E19" s="3">
        <v>60</v>
      </c>
      <c r="F19" s="3" t="str">
        <f>IFERROR(MID(VLOOKUP($B19,Seqs!$A:$B,2,0),G19,1),"")</f>
        <v>E</v>
      </c>
      <c r="G19" s="3">
        <v>81</v>
      </c>
      <c r="H19" s="3" t="str">
        <f>IFERROR(MID(VLOOKUP($B19,Seqs!$A:$B,2,0),I19,1),"")</f>
        <v>K</v>
      </c>
      <c r="I19" s="23">
        <v>82</v>
      </c>
      <c r="J19" s="3" t="str">
        <f>IFERROR(MID(VLOOKUP($B19,Seqs!$A:$B,2,0),K19,1),"")</f>
        <v>H</v>
      </c>
      <c r="K19" s="23">
        <v>85</v>
      </c>
      <c r="L19" s="3" t="str">
        <f>IFERROR(MID(VLOOKUP($B19,Seqs!$A:$B,2,0),M19,1),"")</f>
        <v>N</v>
      </c>
      <c r="M19" s="3">
        <v>86</v>
      </c>
      <c r="N19" s="3" t="str">
        <f>IFERROR(MID(VLOOKUP($B19,Seqs!$A:$B,2,0),O19,1),"")</f>
        <v>D</v>
      </c>
      <c r="O19" s="3">
        <v>117</v>
      </c>
      <c r="P19" s="3" t="str">
        <f>IFERROR(MID(VLOOKUP($B19,Seqs!$A:$B,2,0),Q19,1),"")</f>
        <v>V</v>
      </c>
      <c r="Q19" s="3">
        <v>119</v>
      </c>
      <c r="R19" s="3" t="str">
        <f>IFERROR(MID(VLOOKUP($B19,Seqs!$A:$B,2,0),S19,1),"")</f>
        <v>L</v>
      </c>
      <c r="S19" s="3">
        <v>122</v>
      </c>
      <c r="T19" s="3" t="str">
        <f>IFERROR(MID(VLOOKUP($B19,Seqs!$A:$B,2,0),U19,1),"")</f>
        <v>P</v>
      </c>
      <c r="U19" s="3">
        <v>123</v>
      </c>
      <c r="V19" s="3" t="str">
        <f>IFERROR(MID(VLOOKUP($B19,Seqs!$A:$B,2,0),W19,1),"")</f>
        <v>R</v>
      </c>
      <c r="W19" s="3">
        <v>157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N</v>
      </c>
      <c r="AC19" s="3">
        <v>166</v>
      </c>
      <c r="AD19" s="3" t="str">
        <f>IFERROR(MID(VLOOKUP($B19,Seqs!$A:$B,2,0),AE19,1),"")</f>
        <v>D</v>
      </c>
      <c r="AE19" s="3">
        <v>196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D</v>
      </c>
      <c r="AK19" s="3">
        <v>211</v>
      </c>
      <c r="AL19" s="3" t="str">
        <f>IFERROR(MID(VLOOKUP($B19,Seqs!$A:$B,2,0),AM19,1),"")</f>
        <v>A</v>
      </c>
      <c r="AM19" s="3">
        <v>245</v>
      </c>
      <c r="AN19" s="3" t="str">
        <f>IFERROR(MID(VLOOKUP($B19,Seqs!$A:$B,2,0),AO19,1),"")</f>
        <v>Q</v>
      </c>
      <c r="AO19" s="3">
        <v>301</v>
      </c>
      <c r="AP19" s="3" t="str">
        <f>IFERROR(MID(VLOOKUP($B19,Seqs!$A:$B,2,0),AQ19,1),"")</f>
        <v>L</v>
      </c>
      <c r="AQ19" s="3">
        <v>336</v>
      </c>
      <c r="AR19" s="3" t="str">
        <f>IFERROR(MID(VLOOKUP($B19,Seqs!$A:$B,2,0),AS19,1),"")</f>
        <v>N</v>
      </c>
      <c r="AS19" s="3">
        <v>342</v>
      </c>
      <c r="AT19" s="3" t="str">
        <f>IFERROR(MID(VLOOKUP($B19,Seqs!$A:$B,2,0),AU19,1),"")</f>
        <v>F</v>
      </c>
      <c r="AU19" s="3">
        <v>371</v>
      </c>
      <c r="AV19" s="3" t="str">
        <f>IFERROR(MID(VLOOKUP($B19,Seqs!$A:$B,2,0),AW19,1),"")</f>
        <v>N</v>
      </c>
      <c r="AW19" s="3">
        <v>372</v>
      </c>
      <c r="AX19" s="3" t="str">
        <f>IFERROR(MID(VLOOKUP($B19,Seqs!$A:$B,2,0),AY19,1),"")</f>
        <v>N</v>
      </c>
      <c r="AY19" s="3">
        <v>386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si="29"/>
        <v>1</v>
      </c>
      <c r="BC19" s="23">
        <f t="shared" si="30"/>
        <v>248</v>
      </c>
      <c r="BD19" s="4" t="s">
        <v>1440</v>
      </c>
      <c r="BE19" s="3" t="s">
        <v>1439</v>
      </c>
      <c r="BF19" s="119">
        <v>2.7</v>
      </c>
      <c r="BG19" s="49" t="s">
        <v>1</v>
      </c>
      <c r="BH19" s="49" t="s">
        <v>1</v>
      </c>
      <c r="BI19" s="1"/>
      <c r="BJ19" s="70" t="s">
        <v>1293</v>
      </c>
      <c r="BK19" s="57" t="s">
        <v>1293</v>
      </c>
      <c r="BL19" s="57" t="s">
        <v>1293</v>
      </c>
      <c r="BM19" s="57" t="s">
        <v>1293</v>
      </c>
      <c r="BN19" s="57" t="s">
        <v>1293</v>
      </c>
      <c r="BO19" s="57" t="s">
        <v>1293</v>
      </c>
      <c r="BP19" s="57" t="s">
        <v>1293</v>
      </c>
      <c r="BQ19" s="57" t="s">
        <v>1293</v>
      </c>
      <c r="BR19" s="57" t="s">
        <v>1293</v>
      </c>
      <c r="BS19" s="57" t="s">
        <v>1293</v>
      </c>
      <c r="BT19" s="57" t="s">
        <v>1293</v>
      </c>
      <c r="BU19" s="57" t="s">
        <v>1293</v>
      </c>
      <c r="BV19" s="70">
        <f t="shared" si="31"/>
        <v>60</v>
      </c>
      <c r="BW19" s="71">
        <f t="shared" si="32"/>
        <v>82</v>
      </c>
      <c r="BX19" s="72">
        <f t="shared" si="33"/>
        <v>86</v>
      </c>
      <c r="BY19" s="71">
        <f t="shared" si="34"/>
        <v>119</v>
      </c>
      <c r="BZ19" s="72">
        <f t="shared" si="35"/>
        <v>123</v>
      </c>
      <c r="CA19" s="71" t="str">
        <f t="shared" si="36"/>
        <v>-</v>
      </c>
      <c r="CB19" s="72">
        <f t="shared" si="37"/>
        <v>166</v>
      </c>
      <c r="CC19" s="71">
        <f t="shared" si="38"/>
        <v>207</v>
      </c>
      <c r="CD19" s="72">
        <f t="shared" si="39"/>
        <v>211</v>
      </c>
      <c r="CE19" s="71">
        <f t="shared" si="40"/>
        <v>301</v>
      </c>
      <c r="CF19" s="72">
        <f t="shared" si="41"/>
        <v>342</v>
      </c>
      <c r="CG19" s="71">
        <f t="shared" si="42"/>
        <v>372</v>
      </c>
      <c r="CH19" s="70">
        <f t="shared" si="43"/>
        <v>81</v>
      </c>
      <c r="CI19" s="71">
        <f t="shared" si="44"/>
        <v>85</v>
      </c>
      <c r="CJ19" s="72">
        <f t="shared" si="45"/>
        <v>117</v>
      </c>
      <c r="CK19" s="72">
        <f t="shared" si="46"/>
        <v>122</v>
      </c>
      <c r="CL19" s="72">
        <f t="shared" si="47"/>
        <v>157</v>
      </c>
      <c r="CM19" s="72" t="str">
        <f t="shared" si="48"/>
        <v>-</v>
      </c>
      <c r="CN19" s="72">
        <f t="shared" si="49"/>
        <v>196</v>
      </c>
      <c r="CO19" s="72">
        <f t="shared" si="50"/>
        <v>209</v>
      </c>
      <c r="CP19" s="72">
        <f t="shared" si="51"/>
        <v>245</v>
      </c>
      <c r="CQ19" s="72">
        <f t="shared" si="52"/>
        <v>336</v>
      </c>
      <c r="CR19" s="72">
        <f t="shared" si="53"/>
        <v>371</v>
      </c>
      <c r="CS19" s="72">
        <f t="shared" si="54"/>
        <v>386</v>
      </c>
      <c r="CT19" s="23">
        <f t="shared" si="55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28"/>
        <v>aa1r_human__wt</v>
      </c>
      <c r="B20" s="3" t="s">
        <v>138</v>
      </c>
      <c r="C20" s="3" t="s">
        <v>100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37</v>
      </c>
      <c r="H20" s="3" t="str">
        <f>IFERROR(MID(VLOOKUP($B20,Seqs!$A:$B,2,0),I20,1),"")</f>
        <v>Q</v>
      </c>
      <c r="I20" s="23">
        <v>38</v>
      </c>
      <c r="J20" s="3" t="str">
        <f>IFERROR(MID(VLOOKUP($B20,Seqs!$A:$B,2,0),K20,1),"")</f>
        <v>R</v>
      </c>
      <c r="K20" s="23">
        <v>41</v>
      </c>
      <c r="L20" s="3" t="str">
        <f>IFERROR(MID(VLOOKUP($B20,Seqs!$A:$B,2,0),M20,1),"")</f>
        <v>D</v>
      </c>
      <c r="M20" s="3">
        <v>42</v>
      </c>
      <c r="N20" s="3" t="str">
        <f>IFERROR(MID(VLOOKUP($B20,Seqs!$A:$B,2,0),O20,1),"")</f>
        <v>G</v>
      </c>
      <c r="O20" s="3">
        <v>72</v>
      </c>
      <c r="P20" s="3" t="str">
        <f>IFERROR(MID(VLOOKUP($B20,Seqs!$A:$B,2,0),Q20,1),"")</f>
        <v>P</v>
      </c>
      <c r="Q20" s="3">
        <v>73</v>
      </c>
      <c r="R20" s="3" t="str">
        <f>IFERROR(MID(VLOOKUP($B20,Seqs!$A:$B,2,0),S20,1),"")</f>
        <v>T</v>
      </c>
      <c r="S20" s="3">
        <v>75</v>
      </c>
      <c r="T20" s="3" t="str">
        <f>IFERROR(MID(VLOOKUP($B20,Seqs!$A:$B,2,0),U20,1),"")</f>
        <v>Y</v>
      </c>
      <c r="U20" s="3">
        <v>76</v>
      </c>
      <c r="V20" s="3" t="str">
        <f>IFERROR(MID(VLOOKUP($B20,Seqs!$A:$B,2,0),W20,1),"")</f>
        <v>I</v>
      </c>
      <c r="W20" s="3">
        <v>111</v>
      </c>
      <c r="X20" s="3" t="str">
        <f>IFERROR(MID(VLOOKUP($B20,Seqs!$A:$B,2,0),Y20,1),"")</f>
        <v>P</v>
      </c>
      <c r="Y20" s="3">
        <v>112</v>
      </c>
      <c r="Z20" s="3" t="str">
        <f>IFERROR(MID(VLOOKUP($B20,Seqs!$A:$B,2,0),AA20,1),"")</f>
        <v>V</v>
      </c>
      <c r="AA20" s="3">
        <v>119</v>
      </c>
      <c r="AB20" s="3" t="str">
        <f>IFERROR(MID(VLOOKUP($B20,Seqs!$A:$B,2,0),AC20,1),"")</f>
        <v>T</v>
      </c>
      <c r="AC20" s="3">
        <v>120</v>
      </c>
      <c r="AD20" s="3" t="str">
        <f>IFERROR(MID(VLOOKUP($B20,Seqs!$A:$B,2,0),AE20,1),"")</f>
        <v>G</v>
      </c>
      <c r="AE20" s="3">
        <v>145</v>
      </c>
      <c r="AF20" s="3" t="str">
        <f>IFERROR(MID(VLOOKUP($B20,Seqs!$A:$B,2,0),AG20,1),"")</f>
        <v>C</v>
      </c>
      <c r="AG20" s="3">
        <v>169</v>
      </c>
      <c r="AH20" s="3" t="str">
        <f>IFERROR(MID(VLOOKUP($B20,Seqs!$A:$B,2,0),AI20,1),"")</f>
        <v>F</v>
      </c>
      <c r="AI20" s="3">
        <v>171</v>
      </c>
      <c r="AJ20" s="3" t="str">
        <f>IFERROR(MID(VLOOKUP($B20,Seqs!$A:$B,2,0),AK20,1),"")</f>
        <v>S</v>
      </c>
      <c r="AK20" s="3">
        <v>176</v>
      </c>
      <c r="AL20" s="3" t="str">
        <f>IFERROR(MID(VLOOKUP($B20,Seqs!$A:$B,2,0),AM20,1),"")</f>
        <v>V</v>
      </c>
      <c r="AM20" s="3">
        <v>215</v>
      </c>
      <c r="AN20" s="3" t="str">
        <f>IFERROR(MID(VLOOKUP($B20,Seqs!$A:$B,2,0),AO20,1),"")</f>
        <v>D</v>
      </c>
      <c r="AO20" s="3">
        <v>221</v>
      </c>
      <c r="AP20" s="3" t="str">
        <f>IFERROR(MID(VLOOKUP($B20,Seqs!$A:$B,2,0),AQ20,1),"")</f>
        <v>C</v>
      </c>
      <c r="AQ20" s="3">
        <v>260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P</v>
      </c>
      <c r="AY20" s="3">
        <v>314</v>
      </c>
      <c r="AZ20" s="77" t="str">
        <f>VLOOKUP(B20,Classification!A:D,2,0)</f>
        <v>A</v>
      </c>
      <c r="BA20" s="94" t="str">
        <f>VLOOKUP(B20,Classification!A:D,4,0)</f>
        <v>Adenosine</v>
      </c>
      <c r="BB20" s="27" t="b">
        <f t="shared" si="29"/>
        <v>1</v>
      </c>
      <c r="BC20" s="23">
        <f t="shared" si="30"/>
        <v>272</v>
      </c>
      <c r="BD20" s="4" t="s">
        <v>23</v>
      </c>
      <c r="BE20" s="3" t="s">
        <v>23</v>
      </c>
      <c r="BF20" s="119" t="s">
        <v>23</v>
      </c>
      <c r="BG20" s="49" t="s">
        <v>1384</v>
      </c>
      <c r="BH20" s="49" t="s">
        <v>1384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31"/>
        <v>6</v>
      </c>
      <c r="BW20" s="71">
        <f t="shared" si="32"/>
        <v>38</v>
      </c>
      <c r="BX20" s="72">
        <f t="shared" si="33"/>
        <v>42</v>
      </c>
      <c r="BY20" s="71">
        <f t="shared" si="34"/>
        <v>73</v>
      </c>
      <c r="BZ20" s="72">
        <f t="shared" si="35"/>
        <v>76</v>
      </c>
      <c r="CA20" s="71">
        <f t="shared" si="36"/>
        <v>112</v>
      </c>
      <c r="CB20" s="72">
        <f t="shared" si="37"/>
        <v>120</v>
      </c>
      <c r="CC20" s="71">
        <f t="shared" si="38"/>
        <v>169</v>
      </c>
      <c r="CD20" s="72">
        <f t="shared" si="39"/>
        <v>176</v>
      </c>
      <c r="CE20" s="71">
        <f t="shared" si="40"/>
        <v>221</v>
      </c>
      <c r="CF20" s="72">
        <f t="shared" si="41"/>
        <v>266</v>
      </c>
      <c r="CG20" s="71">
        <f t="shared" si="42"/>
        <v>292</v>
      </c>
      <c r="CH20" s="70">
        <f t="shared" si="43"/>
        <v>37</v>
      </c>
      <c r="CI20" s="71">
        <f t="shared" si="44"/>
        <v>41</v>
      </c>
      <c r="CJ20" s="72">
        <f t="shared" si="45"/>
        <v>72</v>
      </c>
      <c r="CK20" s="72">
        <f t="shared" si="46"/>
        <v>75</v>
      </c>
      <c r="CL20" s="72">
        <f t="shared" si="47"/>
        <v>111</v>
      </c>
      <c r="CM20" s="72">
        <f t="shared" si="48"/>
        <v>119</v>
      </c>
      <c r="CN20" s="72">
        <f t="shared" si="49"/>
        <v>145</v>
      </c>
      <c r="CO20" s="72">
        <f t="shared" si="50"/>
        <v>171</v>
      </c>
      <c r="CP20" s="72">
        <f t="shared" si="51"/>
        <v>215</v>
      </c>
      <c r="CQ20" s="72">
        <f t="shared" si="52"/>
        <v>260</v>
      </c>
      <c r="CR20" s="72">
        <f t="shared" si="53"/>
        <v>291</v>
      </c>
      <c r="CS20" s="72">
        <f t="shared" si="54"/>
        <v>314</v>
      </c>
      <c r="CT20" s="23">
        <f t="shared" si="55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28"/>
        <v>aa1r_human_5N2S</v>
      </c>
      <c r="B21" s="3" t="s">
        <v>138</v>
      </c>
      <c r="C21" s="3" t="s">
        <v>1442</v>
      </c>
      <c r="D21" s="3" t="str">
        <f>IFERROR(MID(VLOOKUP($B21,Seqs!$A:$B,2,0),E21,1),"")</f>
        <v>S</v>
      </c>
      <c r="E21" s="3">
        <v>6</v>
      </c>
      <c r="F21" s="3" t="str">
        <f>IFERROR(MID(VLOOKUP($B21,Seqs!$A:$B,2,0),G21,1),"")</f>
        <v>V</v>
      </c>
      <c r="G21" s="3">
        <v>36</v>
      </c>
      <c r="H21" s="3" t="str">
        <f>IFERROR(MID(VLOOKUP($B21,Seqs!$A:$B,2,0),I21,1),"")</f>
        <v/>
      </c>
      <c r="I21" s="23" t="s">
        <v>23</v>
      </c>
      <c r="J21" s="3" t="str">
        <f>IFERROR(MID(VLOOKUP($B21,Seqs!$A:$B,2,0),K21,1),"")</f>
        <v/>
      </c>
      <c r="K21" s="23" t="s">
        <v>23</v>
      </c>
      <c r="L21" s="3" t="str">
        <f>IFERROR(MID(VLOOKUP($B21,Seqs!$A:$B,2,0),M21,1),"")</f>
        <v>D</v>
      </c>
      <c r="M21" s="3">
        <v>42</v>
      </c>
      <c r="N21" s="3" t="str">
        <f>IFERROR(MID(VLOOKUP($B21,Seqs!$A:$B,2,0),O21,1),"")</f>
        <v>G</v>
      </c>
      <c r="O21" s="3">
        <v>72</v>
      </c>
      <c r="P21" s="3" t="str">
        <f>IFERROR(MID(VLOOKUP($B21,Seqs!$A:$B,2,0),Q21,1),"")</f>
        <v>P</v>
      </c>
      <c r="Q21" s="3">
        <v>73</v>
      </c>
      <c r="R21" s="3" t="str">
        <f>IFERROR(MID(VLOOKUP($B21,Seqs!$A:$B,2,0),S21,1),"")</f>
        <v>T</v>
      </c>
      <c r="S21" s="3">
        <v>75</v>
      </c>
      <c r="T21" s="3" t="str">
        <f>IFERROR(MID(VLOOKUP($B21,Seqs!$A:$B,2,0),U21,1),"")</f>
        <v>Y</v>
      </c>
      <c r="U21" s="3">
        <v>76</v>
      </c>
      <c r="V21" s="3" t="str">
        <f>IFERROR(MID(VLOOKUP($B21,Seqs!$A:$B,2,0),W21,1),"")</f>
        <v>I</v>
      </c>
      <c r="W21" s="3">
        <v>111</v>
      </c>
      <c r="X21" s="3" t="str">
        <f>IFERROR(MID(VLOOKUP($B21,Seqs!$A:$B,2,0),Y21,1),"")</f>
        <v>P</v>
      </c>
      <c r="Y21" s="3">
        <v>112</v>
      </c>
      <c r="Z21" s="3" t="str">
        <f>IFERROR(MID(VLOOKUP($B21,Seqs!$A:$B,2,0),AA21,1),"")</f>
        <v>V</v>
      </c>
      <c r="AA21" s="3">
        <v>119</v>
      </c>
      <c r="AB21" s="3" t="str">
        <f>IFERROR(MID(VLOOKUP($B21,Seqs!$A:$B,2,0),AC21,1),"")</f>
        <v>T</v>
      </c>
      <c r="AC21" s="3">
        <v>120</v>
      </c>
      <c r="AD21" s="3" t="str">
        <f>IFERROR(MID(VLOOKUP($B21,Seqs!$A:$B,2,0),AE21,1),"")</f>
        <v>G</v>
      </c>
      <c r="AE21" s="3">
        <v>145</v>
      </c>
      <c r="AF21" s="3" t="str">
        <f>IFERROR(MID(VLOOKUP($B21,Seqs!$A:$B,2,0),AG21,1),"")</f>
        <v>C</v>
      </c>
      <c r="AG21" s="3">
        <v>169</v>
      </c>
      <c r="AH21" s="3" t="str">
        <f>IFERROR(MID(VLOOKUP($B21,Seqs!$A:$B,2,0),AI21,1),"")</f>
        <v>F</v>
      </c>
      <c r="AI21" s="3">
        <v>171</v>
      </c>
      <c r="AJ21" s="3" t="str">
        <f>IFERROR(MID(VLOOKUP($B21,Seqs!$A:$B,2,0),AK21,1),"")</f>
        <v>S</v>
      </c>
      <c r="AK21" s="3">
        <v>176</v>
      </c>
      <c r="AL21" s="3" t="str">
        <f>IFERROR(MID(VLOOKUP($B21,Seqs!$A:$B,2,0),AM21,1),"")</f>
        <v>L</v>
      </c>
      <c r="AM21" s="3">
        <v>211</v>
      </c>
      <c r="AN21" s="3" t="str">
        <f>IFERROR(MID(VLOOKUP($B21,Seqs!$A:$B,2,0),AO21,1),"")</f>
        <v>Q</v>
      </c>
      <c r="AO21" s="3">
        <v>223</v>
      </c>
      <c r="AP21" s="3" t="str">
        <f>IFERROR(MID(VLOOKUP($B21,Seqs!$A:$B,2,0),AQ21,1),"")</f>
        <v>C</v>
      </c>
      <c r="AQ21" s="3">
        <v>260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F</v>
      </c>
      <c r="AU21" s="3">
        <v>295</v>
      </c>
      <c r="AV21" s="3" t="str">
        <f>IFERROR(MID(VLOOKUP($B21,Seqs!$A:$B,2,0),AW21,1),"")</f>
        <v/>
      </c>
      <c r="AW21" s="3" t="s">
        <v>23</v>
      </c>
      <c r="AX21" s="3" t="str">
        <f>IFERROR(MID(VLOOKUP($B21,Seqs!$A:$B,2,0),AY21,1),"")</f>
        <v/>
      </c>
      <c r="AY21" s="3" t="s">
        <v>23</v>
      </c>
      <c r="AZ21" s="77" t="str">
        <f>VLOOKUP(B21,Classification!A:D,2,0)</f>
        <v>A</v>
      </c>
      <c r="BA21" s="94" t="str">
        <f>VLOOKUP(B21,Classification!A:D,4,0)</f>
        <v>Adenosine</v>
      </c>
      <c r="BB21" s="27" t="b">
        <f t="shared" si="29"/>
        <v>1</v>
      </c>
      <c r="BC21" s="23">
        <f t="shared" si="30"/>
        <v>244</v>
      </c>
      <c r="BD21" s="5" t="s">
        <v>23</v>
      </c>
      <c r="BE21" s="3" t="s">
        <v>1381</v>
      </c>
      <c r="BF21" s="119">
        <v>3.3</v>
      </c>
      <c r="BG21" s="49" t="s">
        <v>1</v>
      </c>
      <c r="BH21" s="49" t="s">
        <v>1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31"/>
        <v>6</v>
      </c>
      <c r="BW21" s="71" t="str">
        <f t="shared" si="32"/>
        <v>-</v>
      </c>
      <c r="BX21" s="72">
        <f t="shared" si="33"/>
        <v>42</v>
      </c>
      <c r="BY21" s="71">
        <f t="shared" si="34"/>
        <v>73</v>
      </c>
      <c r="BZ21" s="72">
        <f t="shared" si="35"/>
        <v>76</v>
      </c>
      <c r="CA21" s="71">
        <f t="shared" si="36"/>
        <v>112</v>
      </c>
      <c r="CB21" s="72">
        <f t="shared" si="37"/>
        <v>120</v>
      </c>
      <c r="CC21" s="71">
        <f t="shared" si="38"/>
        <v>169</v>
      </c>
      <c r="CD21" s="72">
        <f t="shared" si="39"/>
        <v>176</v>
      </c>
      <c r="CE21" s="71">
        <f t="shared" si="40"/>
        <v>223</v>
      </c>
      <c r="CF21" s="72">
        <f t="shared" si="41"/>
        <v>266</v>
      </c>
      <c r="CG21" s="71" t="str">
        <f t="shared" si="42"/>
        <v>-</v>
      </c>
      <c r="CH21" s="70">
        <f t="shared" si="43"/>
        <v>36</v>
      </c>
      <c r="CI21" s="71" t="str">
        <f t="shared" si="44"/>
        <v>-</v>
      </c>
      <c r="CJ21" s="72">
        <f t="shared" si="45"/>
        <v>72</v>
      </c>
      <c r="CK21" s="72">
        <f t="shared" si="46"/>
        <v>75</v>
      </c>
      <c r="CL21" s="72">
        <f t="shared" si="47"/>
        <v>111</v>
      </c>
      <c r="CM21" s="72">
        <f t="shared" si="48"/>
        <v>119</v>
      </c>
      <c r="CN21" s="72">
        <f t="shared" si="49"/>
        <v>145</v>
      </c>
      <c r="CO21" s="72">
        <f t="shared" si="50"/>
        <v>171</v>
      </c>
      <c r="CP21" s="72">
        <f t="shared" si="51"/>
        <v>211</v>
      </c>
      <c r="CQ21" s="72">
        <f t="shared" si="52"/>
        <v>260</v>
      </c>
      <c r="CR21" s="72">
        <f t="shared" si="53"/>
        <v>295</v>
      </c>
      <c r="CS21" s="72" t="str">
        <f t="shared" si="54"/>
        <v>-</v>
      </c>
      <c r="CT21" s="23" t="e">
        <f t="shared" si="55"/>
        <v>#VALUE!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28"/>
        <v>aa1r_human_5UEN</v>
      </c>
      <c r="B22" s="3" t="s">
        <v>138</v>
      </c>
      <c r="C22" s="3" t="s">
        <v>1396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37</v>
      </c>
      <c r="H22" s="3" t="str">
        <f>IFERROR(MID(VLOOKUP($B22,Seqs!$A:$B,2,0),I22,1),"")</f>
        <v>Q</v>
      </c>
      <c r="I22" s="23">
        <v>38</v>
      </c>
      <c r="J22" s="3" t="str">
        <f>IFERROR(MID(VLOOKUP($B22,Seqs!$A:$B,2,0),K22,1),"")</f>
        <v>R</v>
      </c>
      <c r="K22" s="23">
        <v>41</v>
      </c>
      <c r="L22" s="3" t="str">
        <f>IFERROR(MID(VLOOKUP($B22,Seqs!$A:$B,2,0),M22,1),"")</f>
        <v>D</v>
      </c>
      <c r="M22" s="3">
        <v>42</v>
      </c>
      <c r="N22" s="3" t="str">
        <f>IFERROR(MID(VLOOKUP($B22,Seqs!$A:$B,2,0),O22,1),"")</f>
        <v>G</v>
      </c>
      <c r="O22" s="3">
        <v>72</v>
      </c>
      <c r="P22" s="3" t="str">
        <f>IFERROR(MID(VLOOKUP($B22,Seqs!$A:$B,2,0),Q22,1),"")</f>
        <v>P</v>
      </c>
      <c r="Q22" s="3">
        <v>73</v>
      </c>
      <c r="R22" s="3" t="str">
        <f>IFERROR(MID(VLOOKUP($B22,Seqs!$A:$B,2,0),S22,1),"")</f>
        <v>T</v>
      </c>
      <c r="S22" s="3">
        <v>75</v>
      </c>
      <c r="T22" s="3" t="str">
        <f>IFERROR(MID(VLOOKUP($B22,Seqs!$A:$B,2,0),U22,1),"")</f>
        <v>Y</v>
      </c>
      <c r="U22" s="3">
        <v>76</v>
      </c>
      <c r="V22" s="3" t="str">
        <f>IFERROR(MID(VLOOKUP($B22,Seqs!$A:$B,2,0),W22,1),"")</f>
        <v>I</v>
      </c>
      <c r="W22" s="3">
        <v>111</v>
      </c>
      <c r="X22" s="3" t="str">
        <f>IFERROR(MID(VLOOKUP($B22,Seqs!$A:$B,2,0),Y22,1),"")</f>
        <v>P</v>
      </c>
      <c r="Y22" s="3">
        <v>112</v>
      </c>
      <c r="Z22" s="3" t="str">
        <f>IFERROR(MID(VLOOKUP($B22,Seqs!$A:$B,2,0),AA22,1),"")</f>
        <v>V</v>
      </c>
      <c r="AA22" s="3">
        <v>119</v>
      </c>
      <c r="AB22" s="3" t="str">
        <f>IFERROR(MID(VLOOKUP($B22,Seqs!$A:$B,2,0),AC22,1),"")</f>
        <v>T</v>
      </c>
      <c r="AC22" s="3">
        <v>120</v>
      </c>
      <c r="AD22" s="3" t="str">
        <f>IFERROR(MID(VLOOKUP($B22,Seqs!$A:$B,2,0),AE22,1),"")</f>
        <v>G</v>
      </c>
      <c r="AE22" s="3">
        <v>145</v>
      </c>
      <c r="AF22" s="3" t="str">
        <f>IFERROR(MID(VLOOKUP($B22,Seqs!$A:$B,2,0),AG22,1),"")</f>
        <v>C</v>
      </c>
      <c r="AG22" s="3">
        <v>169</v>
      </c>
      <c r="AH22" s="3" t="str">
        <f>IFERROR(MID(VLOOKUP($B22,Seqs!$A:$B,2,0),AI22,1),"")</f>
        <v>F</v>
      </c>
      <c r="AI22" s="3">
        <v>171</v>
      </c>
      <c r="AJ22" s="3" t="str">
        <f>IFERROR(MID(VLOOKUP($B22,Seqs!$A:$B,2,0),AK22,1),"")</f>
        <v>S</v>
      </c>
      <c r="AK22" s="3">
        <v>176</v>
      </c>
      <c r="AL22" s="3" t="str">
        <f>IFERROR(MID(VLOOKUP($B22,Seqs!$A:$B,2,0),AM22,1),"")</f>
        <v>L</v>
      </c>
      <c r="AM22" s="3">
        <v>211</v>
      </c>
      <c r="AN22" s="3" t="str">
        <f>IFERROR(MID(VLOOKUP($B22,Seqs!$A:$B,2,0),AO22,1),"")</f>
        <v>G</v>
      </c>
      <c r="AO22" s="3">
        <v>220</v>
      </c>
      <c r="AP22" s="3" t="str">
        <f>IFERROR(MID(VLOOKUP($B22,Seqs!$A:$B,2,0),AQ22,1),"")</f>
        <v>C</v>
      </c>
      <c r="AQ22" s="3">
        <v>260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F</v>
      </c>
      <c r="AY22" s="3">
        <v>307</v>
      </c>
      <c r="AZ22" s="77" t="str">
        <f>VLOOKUP(B22,Classification!A:D,2,0)</f>
        <v>A</v>
      </c>
      <c r="BA22" s="94" t="str">
        <f>VLOOKUP(B22,Classification!A:D,4,0)</f>
        <v>Adenosine</v>
      </c>
      <c r="BB22" s="27" t="b">
        <f t="shared" si="29"/>
        <v>1</v>
      </c>
      <c r="BC22" s="23">
        <f t="shared" si="30"/>
        <v>262</v>
      </c>
      <c r="BD22" s="4" t="s">
        <v>1383</v>
      </c>
      <c r="BE22" s="3" t="s">
        <v>1381</v>
      </c>
      <c r="BF22" s="119">
        <v>3.2</v>
      </c>
      <c r="BG22" s="49" t="s">
        <v>1384</v>
      </c>
      <c r="BH22" s="49" t="s">
        <v>1384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31"/>
        <v>6</v>
      </c>
      <c r="BW22" s="71">
        <f t="shared" si="32"/>
        <v>38</v>
      </c>
      <c r="BX22" s="72">
        <f t="shared" si="33"/>
        <v>42</v>
      </c>
      <c r="BY22" s="71">
        <f t="shared" si="34"/>
        <v>73</v>
      </c>
      <c r="BZ22" s="72">
        <f t="shared" si="35"/>
        <v>76</v>
      </c>
      <c r="CA22" s="71">
        <f t="shared" si="36"/>
        <v>112</v>
      </c>
      <c r="CB22" s="72">
        <f t="shared" si="37"/>
        <v>120</v>
      </c>
      <c r="CC22" s="71">
        <f t="shared" si="38"/>
        <v>169</v>
      </c>
      <c r="CD22" s="72">
        <f t="shared" si="39"/>
        <v>176</v>
      </c>
      <c r="CE22" s="71">
        <f t="shared" si="40"/>
        <v>220</v>
      </c>
      <c r="CF22" s="72">
        <f t="shared" si="41"/>
        <v>266</v>
      </c>
      <c r="CG22" s="71">
        <f t="shared" si="42"/>
        <v>292</v>
      </c>
      <c r="CH22" s="70">
        <f t="shared" si="43"/>
        <v>37</v>
      </c>
      <c r="CI22" s="71">
        <f t="shared" si="44"/>
        <v>41</v>
      </c>
      <c r="CJ22" s="72">
        <f t="shared" si="45"/>
        <v>72</v>
      </c>
      <c r="CK22" s="72">
        <f t="shared" si="46"/>
        <v>75</v>
      </c>
      <c r="CL22" s="72">
        <f t="shared" si="47"/>
        <v>111</v>
      </c>
      <c r="CM22" s="72">
        <f t="shared" si="48"/>
        <v>119</v>
      </c>
      <c r="CN22" s="72">
        <f t="shared" si="49"/>
        <v>145</v>
      </c>
      <c r="CO22" s="72">
        <f t="shared" si="50"/>
        <v>171</v>
      </c>
      <c r="CP22" s="72">
        <f t="shared" si="51"/>
        <v>211</v>
      </c>
      <c r="CQ22" s="72">
        <f t="shared" si="52"/>
        <v>260</v>
      </c>
      <c r="CR22" s="72">
        <f t="shared" si="53"/>
        <v>291</v>
      </c>
      <c r="CS22" s="72">
        <f t="shared" si="54"/>
        <v>307</v>
      </c>
      <c r="CT22" s="23">
        <f t="shared" si="55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>CONCATENATE(B23,"_",C23)</f>
        <v>aa1r_human_6D9H</v>
      </c>
      <c r="B23" s="3" t="s">
        <v>138</v>
      </c>
      <c r="C23" s="3" t="s">
        <v>1519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/>
      </c>
      <c r="I23" s="23" t="s">
        <v>23</v>
      </c>
      <c r="J23" s="3" t="str">
        <f>IFERROR(MID(VLOOKUP($B23,Seqs!$A:$B,2,0),K23,1),"")</f>
        <v/>
      </c>
      <c r="K23" s="23" t="s">
        <v>23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K</v>
      </c>
      <c r="AM23" s="3">
        <v>213</v>
      </c>
      <c r="AN23" s="3" t="str">
        <f>IFERROR(MID(VLOOKUP($B23,Seqs!$A:$B,2,0),AO23,1),"")</f>
        <v>Q</v>
      </c>
      <c r="AO23" s="3">
        <v>223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S</v>
      </c>
      <c r="AS23" s="3">
        <v>267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K</v>
      </c>
      <c r="AY23" s="3">
        <v>301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>AND(E23&lt;G23,OR(G23&lt;I23,I23="-"),OR(I23&lt;K23,I23="-"),OR(K23&lt;M23,K23="-"),M23&lt;O23,OR(O23&lt;Q23,Q23="-"),OR(Q23&lt;S23,Q23="-"),OR(S23&lt;U23,S23="-"),U23&lt;W23,OR(W23&lt;Y23,Y23="-"),OR(Y23&lt;AA23,Y23="-"),OR(AA23&lt;AC23,AA23="-"),AC23&lt;AE23,OR(AE23&lt;AG23,AG23="-"),OR(AG23&lt;AI23,AG23="-"),OR(AI23&lt;AK23,AI23="-"),AK23&lt;AM23,AM23&lt;AO23,AO23&lt;AQ23,AQ23&lt;AS23,AS23&lt;AU23,OR(AU23&lt;AW23,AW23="-"),OR(AW23&lt;AY23,AW23="-"))</f>
        <v>1</v>
      </c>
      <c r="BC23" s="23">
        <f>_xlfn.AGGREGATE(9,6,CH23:CS23)-_xlfn.AGGREGATE(9,6,BV23:CG23)+12</f>
        <v>251</v>
      </c>
      <c r="BD23" s="4" t="s">
        <v>1382</v>
      </c>
      <c r="BE23" s="3" t="s">
        <v>1297</v>
      </c>
      <c r="BF23" s="119">
        <v>3.6</v>
      </c>
      <c r="BG23" s="49" t="s">
        <v>1433</v>
      </c>
      <c r="BH23" s="49" t="s">
        <v>1433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>E23</f>
        <v>6</v>
      </c>
      <c r="BW23" s="71" t="str">
        <f>I23</f>
        <v>-</v>
      </c>
      <c r="BX23" s="72">
        <f>M23</f>
        <v>42</v>
      </c>
      <c r="BY23" s="71">
        <f>Q23</f>
        <v>73</v>
      </c>
      <c r="BZ23" s="72">
        <f>U23</f>
        <v>76</v>
      </c>
      <c r="CA23" s="71">
        <f>Y23</f>
        <v>112</v>
      </c>
      <c r="CB23" s="72">
        <f>AC23</f>
        <v>120</v>
      </c>
      <c r="CC23" s="71">
        <f>AG23</f>
        <v>169</v>
      </c>
      <c r="CD23" s="72">
        <f>AK23</f>
        <v>176</v>
      </c>
      <c r="CE23" s="71">
        <f>AO23</f>
        <v>223</v>
      </c>
      <c r="CF23" s="72">
        <f>AS23</f>
        <v>267</v>
      </c>
      <c r="CG23" s="71">
        <f>AW23</f>
        <v>292</v>
      </c>
      <c r="CH23" s="70">
        <f>G23</f>
        <v>37</v>
      </c>
      <c r="CI23" s="71" t="str">
        <f>K23</f>
        <v>-</v>
      </c>
      <c r="CJ23" s="72">
        <f>O23</f>
        <v>72</v>
      </c>
      <c r="CK23" s="72">
        <f>S23</f>
        <v>75</v>
      </c>
      <c r="CL23" s="72">
        <f>W23</f>
        <v>111</v>
      </c>
      <c r="CM23" s="72">
        <f>AA23</f>
        <v>119</v>
      </c>
      <c r="CN23" s="72">
        <f>AE23</f>
        <v>145</v>
      </c>
      <c r="CO23" s="72">
        <f>AI23</f>
        <v>171</v>
      </c>
      <c r="CP23" s="72">
        <f>AM23</f>
        <v>213</v>
      </c>
      <c r="CQ23" s="72">
        <f>AQ23</f>
        <v>260</v>
      </c>
      <c r="CR23" s="72">
        <f>AU23</f>
        <v>291</v>
      </c>
      <c r="CS23" s="72">
        <f>AY23</f>
        <v>301</v>
      </c>
      <c r="CT23" s="23" t="e">
        <f>M23-K23</f>
        <v>#VALUE!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aa2ar_human__wt</v>
      </c>
      <c r="B24" s="3" t="s">
        <v>139</v>
      </c>
      <c r="C24" s="3" t="s">
        <v>100</v>
      </c>
      <c r="D24" s="3" t="str">
        <f>IFERROR(MID(VLOOKUP($B24,Seqs!$A:$B,2,0),E24,1),"")</f>
        <v>M</v>
      </c>
      <c r="E24" s="3">
        <v>1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F</v>
      </c>
      <c r="AY24" s="3">
        <v>314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1"/>
        <v>1</v>
      </c>
      <c r="BC24" s="23">
        <f t="shared" ref="BC24:BC34" si="168">_xlfn.AGGREGATE(9,6,CH24:CS24)-_xlfn.AGGREGATE(9,6,BV24:CG24)+12</f>
        <v>276</v>
      </c>
      <c r="BD24" s="34" t="s">
        <v>1379</v>
      </c>
      <c r="BE24" s="3" t="s">
        <v>23</v>
      </c>
      <c r="BF24" s="119" t="s">
        <v>23</v>
      </c>
      <c r="BG24" s="49" t="s">
        <v>1379</v>
      </c>
      <c r="BH24" s="49" t="s">
        <v>1384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3"/>
        <v>1</v>
      </c>
      <c r="BW24" s="71">
        <f t="shared" si="4"/>
        <v>35</v>
      </c>
      <c r="BX24" s="72">
        <f t="shared" si="5"/>
        <v>39</v>
      </c>
      <c r="BY24" s="71">
        <f t="shared" si="6"/>
        <v>70</v>
      </c>
      <c r="BZ24" s="72">
        <f t="shared" si="7"/>
        <v>73</v>
      </c>
      <c r="CA24" s="71">
        <f t="shared" si="8"/>
        <v>109</v>
      </c>
      <c r="CB24" s="72">
        <f t="shared" si="9"/>
        <v>117</v>
      </c>
      <c r="CC24" s="71">
        <f t="shared" si="10"/>
        <v>166</v>
      </c>
      <c r="CD24" s="72">
        <f t="shared" si="11"/>
        <v>173</v>
      </c>
      <c r="CE24" s="71">
        <f t="shared" si="12"/>
        <v>219</v>
      </c>
      <c r="CF24" s="72">
        <f t="shared" si="13"/>
        <v>266</v>
      </c>
      <c r="CG24" s="71">
        <f t="shared" si="14"/>
        <v>292</v>
      </c>
      <c r="CH24" s="70">
        <f t="shared" si="15"/>
        <v>34</v>
      </c>
      <c r="CI24" s="71">
        <f t="shared" si="16"/>
        <v>38</v>
      </c>
      <c r="CJ24" s="72">
        <f t="shared" si="17"/>
        <v>69</v>
      </c>
      <c r="CK24" s="72">
        <f t="shared" si="18"/>
        <v>72</v>
      </c>
      <c r="CL24" s="72">
        <f t="shared" si="19"/>
        <v>108</v>
      </c>
      <c r="CM24" s="72">
        <f t="shared" si="20"/>
        <v>116</v>
      </c>
      <c r="CN24" s="72">
        <f t="shared" si="21"/>
        <v>142</v>
      </c>
      <c r="CO24" s="72">
        <f t="shared" si="22"/>
        <v>168</v>
      </c>
      <c r="CP24" s="72">
        <f t="shared" si="23"/>
        <v>213</v>
      </c>
      <c r="CQ24" s="72">
        <f t="shared" si="24"/>
        <v>259</v>
      </c>
      <c r="CR24" s="72">
        <f t="shared" si="25"/>
        <v>291</v>
      </c>
      <c r="CS24" s="72">
        <f t="shared" si="26"/>
        <v>314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aa2ar_human_2YDO</v>
      </c>
      <c r="B25" s="3" t="s">
        <v>139</v>
      </c>
      <c r="C25" s="3" t="s">
        <v>1029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210</v>
      </c>
      <c r="AN25" s="3" t="str">
        <f>IFERROR(MID(VLOOKUP($B25,Seqs!$A:$B,2,0),AO25,1),"")</f>
        <v>L</v>
      </c>
      <c r="AO25" s="3">
        <v>225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A</v>
      </c>
      <c r="AY25" s="3">
        <v>317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1"/>
        <v>1</v>
      </c>
      <c r="BC25" s="23">
        <f t="shared" si="168"/>
        <v>264</v>
      </c>
      <c r="BD25" s="4" t="s">
        <v>23</v>
      </c>
      <c r="BE25" s="3" t="s">
        <v>1439</v>
      </c>
      <c r="BF25" s="119">
        <v>3</v>
      </c>
      <c r="BG25" s="49" t="s">
        <v>1384</v>
      </c>
      <c r="BH25" s="49" t="s">
        <v>1384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3"/>
        <v>7</v>
      </c>
      <c r="BW25" s="71">
        <f t="shared" si="4"/>
        <v>35</v>
      </c>
      <c r="BX25" s="72">
        <f t="shared" si="5"/>
        <v>39</v>
      </c>
      <c r="BY25" s="71">
        <f t="shared" si="6"/>
        <v>70</v>
      </c>
      <c r="BZ25" s="72">
        <f t="shared" si="7"/>
        <v>73</v>
      </c>
      <c r="CA25" s="71">
        <f t="shared" si="8"/>
        <v>109</v>
      </c>
      <c r="CB25" s="72">
        <f t="shared" si="9"/>
        <v>117</v>
      </c>
      <c r="CC25" s="71">
        <f t="shared" si="10"/>
        <v>166</v>
      </c>
      <c r="CD25" s="72">
        <f t="shared" si="11"/>
        <v>173</v>
      </c>
      <c r="CE25" s="71">
        <f t="shared" si="12"/>
        <v>225</v>
      </c>
      <c r="CF25" s="72">
        <f t="shared" si="13"/>
        <v>266</v>
      </c>
      <c r="CG25" s="71">
        <f t="shared" si="14"/>
        <v>292</v>
      </c>
      <c r="CH25" s="70">
        <f t="shared" si="15"/>
        <v>34</v>
      </c>
      <c r="CI25" s="71">
        <f t="shared" si="16"/>
        <v>38</v>
      </c>
      <c r="CJ25" s="72">
        <f t="shared" si="17"/>
        <v>69</v>
      </c>
      <c r="CK25" s="72">
        <f t="shared" si="18"/>
        <v>72</v>
      </c>
      <c r="CL25" s="72">
        <f t="shared" si="19"/>
        <v>108</v>
      </c>
      <c r="CM25" s="72">
        <f t="shared" si="20"/>
        <v>116</v>
      </c>
      <c r="CN25" s="72">
        <f t="shared" si="21"/>
        <v>142</v>
      </c>
      <c r="CO25" s="72">
        <f t="shared" si="22"/>
        <v>168</v>
      </c>
      <c r="CP25" s="72">
        <f t="shared" si="23"/>
        <v>210</v>
      </c>
      <c r="CQ25" s="72">
        <f t="shared" si="24"/>
        <v>259</v>
      </c>
      <c r="CR25" s="72">
        <f t="shared" si="25"/>
        <v>291</v>
      </c>
      <c r="CS25" s="72">
        <f t="shared" si="26"/>
        <v>317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aa2ar_human_2YDV</v>
      </c>
      <c r="B26" s="3" t="s">
        <v>139</v>
      </c>
      <c r="C26" s="3" t="s">
        <v>80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210</v>
      </c>
      <c r="AN26" s="3" t="str">
        <f>IFERROR(MID(VLOOKUP($B26,Seqs!$A:$B,2,0),AO26,1),"")</f>
        <v>T</v>
      </c>
      <c r="AO26" s="3">
        <v>224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A</v>
      </c>
      <c r="AY26" s="3">
        <v>317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1"/>
        <v>1</v>
      </c>
      <c r="BC26" s="23">
        <f t="shared" si="168"/>
        <v>265</v>
      </c>
      <c r="BD26" s="4" t="s">
        <v>23</v>
      </c>
      <c r="BE26" s="3" t="s">
        <v>1439</v>
      </c>
      <c r="BF26" s="119">
        <v>2.6</v>
      </c>
      <c r="BG26" s="49" t="s">
        <v>1384</v>
      </c>
      <c r="BH26" s="49" t="s">
        <v>1384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 t="shared" si="3"/>
        <v>7</v>
      </c>
      <c r="BW26" s="71">
        <f t="shared" si="4"/>
        <v>35</v>
      </c>
      <c r="BX26" s="72">
        <f t="shared" si="5"/>
        <v>39</v>
      </c>
      <c r="BY26" s="71">
        <f t="shared" si="6"/>
        <v>70</v>
      </c>
      <c r="BZ26" s="72">
        <f t="shared" si="7"/>
        <v>73</v>
      </c>
      <c r="CA26" s="71">
        <f t="shared" si="8"/>
        <v>109</v>
      </c>
      <c r="CB26" s="72">
        <f t="shared" si="9"/>
        <v>117</v>
      </c>
      <c r="CC26" s="71">
        <f t="shared" si="10"/>
        <v>166</v>
      </c>
      <c r="CD26" s="72">
        <f t="shared" si="11"/>
        <v>173</v>
      </c>
      <c r="CE26" s="71">
        <f t="shared" si="12"/>
        <v>224</v>
      </c>
      <c r="CF26" s="72">
        <f t="shared" si="13"/>
        <v>266</v>
      </c>
      <c r="CG26" s="71">
        <f t="shared" si="14"/>
        <v>292</v>
      </c>
      <c r="CH26" s="70">
        <f t="shared" si="15"/>
        <v>34</v>
      </c>
      <c r="CI26" s="71">
        <f t="shared" si="16"/>
        <v>38</v>
      </c>
      <c r="CJ26" s="72">
        <f t="shared" si="17"/>
        <v>69</v>
      </c>
      <c r="CK26" s="72">
        <f t="shared" si="18"/>
        <v>72</v>
      </c>
      <c r="CL26" s="72">
        <f t="shared" si="19"/>
        <v>108</v>
      </c>
      <c r="CM26" s="72">
        <f t="shared" si="20"/>
        <v>116</v>
      </c>
      <c r="CN26" s="72">
        <f t="shared" si="21"/>
        <v>142</v>
      </c>
      <c r="CO26" s="72">
        <f t="shared" si="22"/>
        <v>168</v>
      </c>
      <c r="CP26" s="72">
        <f t="shared" si="23"/>
        <v>210</v>
      </c>
      <c r="CQ26" s="72">
        <f t="shared" si="24"/>
        <v>259</v>
      </c>
      <c r="CR26" s="72">
        <f t="shared" si="25"/>
        <v>291</v>
      </c>
      <c r="CS26" s="72">
        <f t="shared" si="26"/>
        <v>317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aa2ar_human_3QAK</v>
      </c>
      <c r="B27" s="3" t="s">
        <v>139</v>
      </c>
      <c r="C27" s="3" t="s">
        <v>1034</v>
      </c>
      <c r="D27" s="3" t="str">
        <f>IFERROR(MID(VLOOKUP($B27,Seqs!$A:$B,2,0),E27,1),"")</f>
        <v>G</v>
      </c>
      <c r="E27" s="3">
        <v>5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A</v>
      </c>
      <c r="AM27" s="3">
        <v>204</v>
      </c>
      <c r="AN27" s="3" t="str">
        <f>IFERROR(MID(VLOOKUP($B27,Seqs!$A:$B,2,0),AO27,1),"")</f>
        <v>Q</v>
      </c>
      <c r="AO27" s="3">
        <v>226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L</v>
      </c>
      <c r="AY27" s="3">
        <v>308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si="168"/>
        <v>250</v>
      </c>
      <c r="BD27" s="4" t="s">
        <v>23</v>
      </c>
      <c r="BE27" s="3" t="s">
        <v>1439</v>
      </c>
      <c r="BF27" s="119">
        <v>2.71</v>
      </c>
      <c r="BG27" s="49" t="s">
        <v>1384</v>
      </c>
      <c r="BH27" s="49" t="s">
        <v>1384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5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226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204</v>
      </c>
      <c r="CQ27" s="72">
        <f t="shared" si="24"/>
        <v>259</v>
      </c>
      <c r="CR27" s="72">
        <f t="shared" si="25"/>
        <v>291</v>
      </c>
      <c r="CS27" s="72">
        <f t="shared" si="26"/>
        <v>308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aa2ar_human_3REY</v>
      </c>
      <c r="B28" s="3" t="s">
        <v>139</v>
      </c>
      <c r="C28" s="3" t="s">
        <v>83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168"/>
        <v>258</v>
      </c>
      <c r="BD28" s="4" t="s">
        <v>23</v>
      </c>
      <c r="BE28" s="3" t="s">
        <v>1439</v>
      </c>
      <c r="BF28" s="119">
        <v>3.31</v>
      </c>
      <c r="BG28" s="49" t="s">
        <v>1384</v>
      </c>
      <c r="BH28" s="49" t="s">
        <v>1384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219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305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aa2ar_human_3RFM</v>
      </c>
      <c r="B29" s="3" t="s">
        <v>139</v>
      </c>
      <c r="C29" s="3" t="s">
        <v>1035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S</v>
      </c>
      <c r="AM29" s="3">
        <v>213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168"/>
        <v>261</v>
      </c>
      <c r="BD29" s="4" t="s">
        <v>23</v>
      </c>
      <c r="BE29" s="3" t="s">
        <v>1381</v>
      </c>
      <c r="BF29" s="119">
        <v>3.6</v>
      </c>
      <c r="BG29" s="49" t="s">
        <v>1384</v>
      </c>
      <c r="BH29" s="49" t="s">
        <v>1384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219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213</v>
      </c>
      <c r="CQ29" s="72">
        <f t="shared" si="24"/>
        <v>259</v>
      </c>
      <c r="CR29" s="72">
        <f t="shared" si="25"/>
        <v>291</v>
      </c>
      <c r="CS29" s="72">
        <f t="shared" si="26"/>
        <v>305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aa2ar_human_3UZA</v>
      </c>
      <c r="B30" s="3" t="s">
        <v>139</v>
      </c>
      <c r="C30" s="3" t="s">
        <v>1036</v>
      </c>
      <c r="D30" s="3" t="str">
        <f>IFERROR(MID(VLOOKUP($B30,Seqs!$A:$B,2,0),E30,1),"")</f>
        <v>S</v>
      </c>
      <c r="E30" s="3">
        <v>7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S</v>
      </c>
      <c r="AM30" s="3">
        <v>213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168"/>
        <v>261</v>
      </c>
      <c r="BD30" s="4" t="s">
        <v>23</v>
      </c>
      <c r="BE30" s="3" t="s">
        <v>1381</v>
      </c>
      <c r="BF30" s="119">
        <v>3.27</v>
      </c>
      <c r="BG30" s="49" t="s">
        <v>1384</v>
      </c>
      <c r="BH30" s="49" t="s">
        <v>1384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7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219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213</v>
      </c>
      <c r="CQ30" s="72">
        <f t="shared" si="24"/>
        <v>259</v>
      </c>
      <c r="CR30" s="72">
        <f t="shared" si="25"/>
        <v>291</v>
      </c>
      <c r="CS30" s="72">
        <f t="shared" si="26"/>
        <v>305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s="6" customFormat="1" x14ac:dyDescent="0.2">
      <c r="A31" s="3" t="str">
        <f t="shared" si="0"/>
        <v>aa2ar_human_3UZC</v>
      </c>
      <c r="B31" s="3" t="s">
        <v>139</v>
      </c>
      <c r="C31" s="3" t="s">
        <v>1037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S</v>
      </c>
      <c r="AM31" s="3">
        <v>213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168"/>
        <v>261</v>
      </c>
      <c r="BD31" s="4" t="s">
        <v>23</v>
      </c>
      <c r="BE31" s="3" t="s">
        <v>1381</v>
      </c>
      <c r="BF31" s="119">
        <v>3.34</v>
      </c>
      <c r="BG31" s="49" t="s">
        <v>1384</v>
      </c>
      <c r="BH31" s="49" t="s">
        <v>1384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213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</row>
    <row r="32" spans="1:1030" s="6" customFormat="1" x14ac:dyDescent="0.2">
      <c r="A32" s="3" t="str">
        <f t="shared" si="0"/>
        <v>aa2ar_human_3VG9</v>
      </c>
      <c r="B32" s="3" t="s">
        <v>139</v>
      </c>
      <c r="C32" s="3" t="s">
        <v>1104</v>
      </c>
      <c r="D32" s="3" t="str">
        <f>IFERROR(MID(VLOOKUP($B32,Seqs!$A:$B,2,0),E32,1),"")</f>
        <v>S</v>
      </c>
      <c r="E32" s="3">
        <v>6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214</v>
      </c>
      <c r="AN32" s="3" t="str">
        <f>IFERROR(MID(VLOOKUP($B32,Seqs!$A:$B,2,0),AO32,1),"")</f>
        <v>A</v>
      </c>
      <c r="AO32" s="3">
        <v>221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Q</v>
      </c>
      <c r="AY32" s="3">
        <v>311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168"/>
        <v>267</v>
      </c>
      <c r="BD32" s="4" t="s">
        <v>1383</v>
      </c>
      <c r="BE32" s="3" t="s">
        <v>1381</v>
      </c>
      <c r="BF32" s="119">
        <v>2.7</v>
      </c>
      <c r="BG32" s="49" t="s">
        <v>1384</v>
      </c>
      <c r="BH32" s="49" t="s">
        <v>1384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3"/>
        <v>6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221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214</v>
      </c>
      <c r="CQ32" s="72">
        <f t="shared" si="24"/>
        <v>259</v>
      </c>
      <c r="CR32" s="72">
        <f t="shared" si="25"/>
        <v>291</v>
      </c>
      <c r="CS32" s="72">
        <f t="shared" si="26"/>
        <v>311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</row>
    <row r="33" spans="1:1029" x14ac:dyDescent="0.2">
      <c r="A33" s="3" t="str">
        <f t="shared" si="0"/>
        <v>aa2ar_human_4EIY</v>
      </c>
      <c r="B33" s="3" t="s">
        <v>139</v>
      </c>
      <c r="C33" s="3" t="s">
        <v>81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Q</v>
      </c>
      <c r="AM33" s="3">
        <v>207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168"/>
        <v>262</v>
      </c>
      <c r="BD33" s="4" t="s">
        <v>23</v>
      </c>
      <c r="BE33" s="3" t="s">
        <v>1381</v>
      </c>
      <c r="BF33" s="119">
        <v>1.8</v>
      </c>
      <c r="BG33" s="49" t="s">
        <v>1384</v>
      </c>
      <c r="BH33" s="49" t="s">
        <v>1384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3"/>
        <v>2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207</v>
      </c>
      <c r="CQ33" s="72">
        <f t="shared" si="24"/>
        <v>259</v>
      </c>
      <c r="CR33" s="72">
        <f t="shared" si="25"/>
        <v>291</v>
      </c>
      <c r="CS33" s="72">
        <f t="shared" si="26"/>
        <v>307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aa2ar_human_4UHR</v>
      </c>
      <c r="B34" s="3" t="s">
        <v>139</v>
      </c>
      <c r="C34" s="3" t="s">
        <v>1055</v>
      </c>
      <c r="D34" s="3" t="str">
        <f>IFERROR(MID(VLOOKUP($B34,Seqs!$A:$B,2,0),E34,1),"")</f>
        <v>S</v>
      </c>
      <c r="E34" s="3">
        <v>6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Q</v>
      </c>
      <c r="AY34" s="3">
        <v>311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168"/>
        <v>268</v>
      </c>
      <c r="BD34" s="2" t="s">
        <v>1440</v>
      </c>
      <c r="BE34" s="3" t="s">
        <v>1439</v>
      </c>
      <c r="BF34" s="119">
        <v>2.6</v>
      </c>
      <c r="BG34" s="49" t="s">
        <v>1384</v>
      </c>
      <c r="BH34" s="49" t="s">
        <v>1384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3"/>
        <v>6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311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aa2ar_human_5G53</v>
      </c>
      <c r="B35" s="3" t="s">
        <v>139</v>
      </c>
      <c r="C35" s="3" t="s">
        <v>1298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207</v>
      </c>
      <c r="AN35" s="3" t="str">
        <f>IFERROR(MID(VLOOKUP($B35,Seqs!$A:$B,2,0),AO35,1),"")</f>
        <v>T</v>
      </c>
      <c r="AO35" s="3">
        <v>224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ref="BC35:BC90" si="169">_xlfn.AGGREGATE(9,6,CH35:CS35)-_xlfn.AGGREGATE(9,6,BV35:CG35)+12</f>
        <v>251</v>
      </c>
      <c r="BD35" s="4" t="s">
        <v>1382</v>
      </c>
      <c r="BE35" s="3" t="s">
        <v>1297</v>
      </c>
      <c r="BF35" s="119">
        <v>3.4</v>
      </c>
      <c r="BG35" s="49" t="s">
        <v>1287</v>
      </c>
      <c r="BH35" s="49" t="s">
        <v>1287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ref="BV35:BV90" si="170">E35</f>
        <v>6</v>
      </c>
      <c r="BW35" s="71">
        <f t="shared" ref="BW35:BW90" si="171">I35</f>
        <v>35</v>
      </c>
      <c r="BX35" s="72">
        <f t="shared" ref="BX35:BX90" si="172">M35</f>
        <v>39</v>
      </c>
      <c r="BY35" s="71">
        <f t="shared" ref="BY35:BY90" si="173">Q35</f>
        <v>70</v>
      </c>
      <c r="BZ35" s="72">
        <f t="shared" ref="BZ35:BZ90" si="174">U35</f>
        <v>73</v>
      </c>
      <c r="CA35" s="71">
        <f t="shared" ref="CA35:CA90" si="175">Y35</f>
        <v>109</v>
      </c>
      <c r="CB35" s="72">
        <f t="shared" ref="CB35:CB90" si="176">AC35</f>
        <v>117</v>
      </c>
      <c r="CC35" s="71">
        <f t="shared" ref="CC35:CC90" si="177">AG35</f>
        <v>166</v>
      </c>
      <c r="CD35" s="72">
        <f t="shared" ref="CD35:CD90" si="178">AK35</f>
        <v>173</v>
      </c>
      <c r="CE35" s="71">
        <f t="shared" ref="CE35:CE90" si="179">AO35</f>
        <v>224</v>
      </c>
      <c r="CF35" s="72">
        <f t="shared" ref="CF35:CF90" si="180">AS35</f>
        <v>266</v>
      </c>
      <c r="CG35" s="71">
        <f t="shared" ref="CG35:CG90" si="181">AW35</f>
        <v>292</v>
      </c>
      <c r="CH35" s="70">
        <f t="shared" ref="CH35:CH90" si="182">G35</f>
        <v>34</v>
      </c>
      <c r="CI35" s="71">
        <f t="shared" ref="CI35:CI90" si="183">K35</f>
        <v>38</v>
      </c>
      <c r="CJ35" s="72">
        <f t="shared" ref="CJ35:CJ90" si="184">O35</f>
        <v>69</v>
      </c>
      <c r="CK35" s="72">
        <f t="shared" ref="CK35:CK90" si="185">S35</f>
        <v>72</v>
      </c>
      <c r="CL35" s="72">
        <f t="shared" ref="CL35:CL90" si="186">W35</f>
        <v>108</v>
      </c>
      <c r="CM35" s="72">
        <f t="shared" ref="CM35:CM90" si="187">AA35</f>
        <v>116</v>
      </c>
      <c r="CN35" s="72">
        <f t="shared" ref="CN35:CN90" si="188">AE35</f>
        <v>142</v>
      </c>
      <c r="CO35" s="72">
        <f t="shared" ref="CO35:CO90" si="189">AI35</f>
        <v>168</v>
      </c>
      <c r="CP35" s="72">
        <f t="shared" ref="CP35:CP90" si="190">AM35</f>
        <v>207</v>
      </c>
      <c r="CQ35" s="72">
        <f t="shared" ref="CQ35:CQ90" si="191">AQ35</f>
        <v>259</v>
      </c>
      <c r="CR35" s="72">
        <f t="shared" ref="CR35:CR90" si="192">AU35</f>
        <v>291</v>
      </c>
      <c r="CS35" s="72">
        <f t="shared" ref="CS35:CS90" si="193">AY35</f>
        <v>305</v>
      </c>
      <c r="CT35" s="23">
        <f t="shared" ref="CT35:CT90" si="194">M35-K35</f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aa2ar_human_5IU4</v>
      </c>
      <c r="B36" s="3" t="s">
        <v>139</v>
      </c>
      <c r="C36" s="3" t="s">
        <v>1351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169"/>
        <v>261</v>
      </c>
      <c r="BD36" s="4" t="s">
        <v>23</v>
      </c>
      <c r="BE36" s="3" t="s">
        <v>1381</v>
      </c>
      <c r="BF36" s="119">
        <v>1.72</v>
      </c>
      <c r="BG36" s="49" t="s">
        <v>1384</v>
      </c>
      <c r="BH36" s="49" t="s">
        <v>1384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170"/>
        <v>2</v>
      </c>
      <c r="BW36" s="71">
        <f t="shared" si="171"/>
        <v>35</v>
      </c>
      <c r="BX36" s="72">
        <f t="shared" si="172"/>
        <v>39</v>
      </c>
      <c r="BY36" s="71">
        <f t="shared" si="173"/>
        <v>70</v>
      </c>
      <c r="BZ36" s="72">
        <f t="shared" si="174"/>
        <v>73</v>
      </c>
      <c r="CA36" s="71">
        <f t="shared" si="175"/>
        <v>109</v>
      </c>
      <c r="CB36" s="72">
        <f t="shared" si="176"/>
        <v>117</v>
      </c>
      <c r="CC36" s="71">
        <f t="shared" si="177"/>
        <v>166</v>
      </c>
      <c r="CD36" s="72">
        <f t="shared" si="178"/>
        <v>173</v>
      </c>
      <c r="CE36" s="71">
        <f t="shared" si="179"/>
        <v>219</v>
      </c>
      <c r="CF36" s="72">
        <f t="shared" si="180"/>
        <v>266</v>
      </c>
      <c r="CG36" s="71">
        <f t="shared" si="181"/>
        <v>292</v>
      </c>
      <c r="CH36" s="70">
        <f t="shared" si="182"/>
        <v>34</v>
      </c>
      <c r="CI36" s="71">
        <f t="shared" si="183"/>
        <v>38</v>
      </c>
      <c r="CJ36" s="72">
        <f t="shared" si="184"/>
        <v>69</v>
      </c>
      <c r="CK36" s="72">
        <f t="shared" si="185"/>
        <v>72</v>
      </c>
      <c r="CL36" s="72">
        <f t="shared" si="186"/>
        <v>108</v>
      </c>
      <c r="CM36" s="72">
        <f t="shared" si="187"/>
        <v>116</v>
      </c>
      <c r="CN36" s="72">
        <f t="shared" si="188"/>
        <v>142</v>
      </c>
      <c r="CO36" s="72">
        <f t="shared" si="189"/>
        <v>168</v>
      </c>
      <c r="CP36" s="72">
        <f t="shared" si="190"/>
        <v>208</v>
      </c>
      <c r="CQ36" s="72">
        <f t="shared" si="191"/>
        <v>259</v>
      </c>
      <c r="CR36" s="72">
        <f t="shared" si="192"/>
        <v>291</v>
      </c>
      <c r="CS36" s="72">
        <f t="shared" si="193"/>
        <v>305</v>
      </c>
      <c r="CT36" s="23">
        <f t="shared" si="194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aa2ar_human_5IU7</v>
      </c>
      <c r="B37" s="3" t="s">
        <v>139</v>
      </c>
      <c r="C37" s="3" t="s">
        <v>1352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169"/>
        <v>263</v>
      </c>
      <c r="BD37" s="4" t="s">
        <v>23</v>
      </c>
      <c r="BE37" s="3" t="s">
        <v>1381</v>
      </c>
      <c r="BF37" s="119">
        <v>1.9</v>
      </c>
      <c r="BG37" s="49" t="s">
        <v>1384</v>
      </c>
      <c r="BH37" s="49" t="s">
        <v>1384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170"/>
        <v>2</v>
      </c>
      <c r="BW37" s="71">
        <f t="shared" si="171"/>
        <v>35</v>
      </c>
      <c r="BX37" s="72">
        <f t="shared" si="172"/>
        <v>39</v>
      </c>
      <c r="BY37" s="71">
        <f t="shared" si="173"/>
        <v>70</v>
      </c>
      <c r="BZ37" s="72">
        <f t="shared" si="174"/>
        <v>73</v>
      </c>
      <c r="CA37" s="71">
        <f t="shared" si="175"/>
        <v>109</v>
      </c>
      <c r="CB37" s="72">
        <f t="shared" si="176"/>
        <v>117</v>
      </c>
      <c r="CC37" s="71">
        <f t="shared" si="177"/>
        <v>166</v>
      </c>
      <c r="CD37" s="72">
        <f t="shared" si="178"/>
        <v>173</v>
      </c>
      <c r="CE37" s="71">
        <f t="shared" si="179"/>
        <v>219</v>
      </c>
      <c r="CF37" s="72">
        <f t="shared" si="180"/>
        <v>266</v>
      </c>
      <c r="CG37" s="71">
        <f t="shared" si="181"/>
        <v>292</v>
      </c>
      <c r="CH37" s="70">
        <f t="shared" si="182"/>
        <v>34</v>
      </c>
      <c r="CI37" s="71">
        <f t="shared" si="183"/>
        <v>38</v>
      </c>
      <c r="CJ37" s="72">
        <f t="shared" si="184"/>
        <v>69</v>
      </c>
      <c r="CK37" s="72">
        <f t="shared" si="185"/>
        <v>72</v>
      </c>
      <c r="CL37" s="72">
        <f t="shared" si="186"/>
        <v>108</v>
      </c>
      <c r="CM37" s="72">
        <f t="shared" si="187"/>
        <v>116</v>
      </c>
      <c r="CN37" s="72">
        <f t="shared" si="188"/>
        <v>142</v>
      </c>
      <c r="CO37" s="72">
        <f t="shared" si="189"/>
        <v>168</v>
      </c>
      <c r="CP37" s="72">
        <f t="shared" si="190"/>
        <v>208</v>
      </c>
      <c r="CQ37" s="72">
        <f t="shared" si="191"/>
        <v>259</v>
      </c>
      <c r="CR37" s="72">
        <f t="shared" si="192"/>
        <v>291</v>
      </c>
      <c r="CS37" s="72">
        <f t="shared" si="193"/>
        <v>307</v>
      </c>
      <c r="CT37" s="23">
        <f t="shared" si="194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aa2ar_human_5IU8</v>
      </c>
      <c r="B38" s="3" t="s">
        <v>139</v>
      </c>
      <c r="C38" s="3" t="s">
        <v>1353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169"/>
        <v>261</v>
      </c>
      <c r="BD38" s="4" t="s">
        <v>23</v>
      </c>
      <c r="BE38" s="3" t="s">
        <v>1381</v>
      </c>
      <c r="BF38" s="119">
        <v>2</v>
      </c>
      <c r="BG38" s="49" t="s">
        <v>1384</v>
      </c>
      <c r="BH38" s="49" t="s">
        <v>1384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si="170"/>
        <v>2</v>
      </c>
      <c r="BW38" s="71">
        <f t="shared" si="171"/>
        <v>35</v>
      </c>
      <c r="BX38" s="72">
        <f t="shared" si="172"/>
        <v>39</v>
      </c>
      <c r="BY38" s="71">
        <f t="shared" si="173"/>
        <v>70</v>
      </c>
      <c r="BZ38" s="72">
        <f t="shared" si="174"/>
        <v>73</v>
      </c>
      <c r="CA38" s="71">
        <f t="shared" si="175"/>
        <v>109</v>
      </c>
      <c r="CB38" s="72">
        <f t="shared" si="176"/>
        <v>117</v>
      </c>
      <c r="CC38" s="71">
        <f t="shared" si="177"/>
        <v>166</v>
      </c>
      <c r="CD38" s="72">
        <f t="shared" si="178"/>
        <v>173</v>
      </c>
      <c r="CE38" s="71">
        <f t="shared" si="179"/>
        <v>219</v>
      </c>
      <c r="CF38" s="72">
        <f t="shared" si="180"/>
        <v>266</v>
      </c>
      <c r="CG38" s="71">
        <f t="shared" si="181"/>
        <v>292</v>
      </c>
      <c r="CH38" s="70">
        <f t="shared" si="182"/>
        <v>34</v>
      </c>
      <c r="CI38" s="71">
        <f t="shared" si="183"/>
        <v>38</v>
      </c>
      <c r="CJ38" s="72">
        <f t="shared" si="184"/>
        <v>69</v>
      </c>
      <c r="CK38" s="72">
        <f t="shared" si="185"/>
        <v>72</v>
      </c>
      <c r="CL38" s="72">
        <f t="shared" si="186"/>
        <v>108</v>
      </c>
      <c r="CM38" s="72">
        <f t="shared" si="187"/>
        <v>116</v>
      </c>
      <c r="CN38" s="72">
        <f t="shared" si="188"/>
        <v>142</v>
      </c>
      <c r="CO38" s="72">
        <f t="shared" si="189"/>
        <v>168</v>
      </c>
      <c r="CP38" s="72">
        <f t="shared" si="190"/>
        <v>208</v>
      </c>
      <c r="CQ38" s="72">
        <f t="shared" si="191"/>
        <v>259</v>
      </c>
      <c r="CR38" s="72">
        <f t="shared" si="192"/>
        <v>291</v>
      </c>
      <c r="CS38" s="72">
        <f t="shared" si="193"/>
        <v>305</v>
      </c>
      <c r="CT38" s="23">
        <f t="shared" si="194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si="0"/>
        <v>aa2ar_human_5IUA</v>
      </c>
      <c r="B39" s="3" t="s">
        <v>139</v>
      </c>
      <c r="C39" s="3" t="s">
        <v>1354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H</v>
      </c>
      <c r="AY39" s="3">
        <v>306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169"/>
        <v>262</v>
      </c>
      <c r="BD39" s="4" t="s">
        <v>23</v>
      </c>
      <c r="BE39" s="3" t="s">
        <v>1381</v>
      </c>
      <c r="BF39" s="119">
        <v>2.2000000000000002</v>
      </c>
      <c r="BG39" s="49" t="s">
        <v>1384</v>
      </c>
      <c r="BH39" s="49" t="s">
        <v>1384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170"/>
        <v>2</v>
      </c>
      <c r="BW39" s="71">
        <f t="shared" si="171"/>
        <v>35</v>
      </c>
      <c r="BX39" s="72">
        <f t="shared" si="172"/>
        <v>39</v>
      </c>
      <c r="BY39" s="71">
        <f t="shared" si="173"/>
        <v>70</v>
      </c>
      <c r="BZ39" s="72">
        <f t="shared" si="174"/>
        <v>73</v>
      </c>
      <c r="CA39" s="71">
        <f t="shared" si="175"/>
        <v>109</v>
      </c>
      <c r="CB39" s="72">
        <f t="shared" si="176"/>
        <v>117</v>
      </c>
      <c r="CC39" s="71">
        <f t="shared" si="177"/>
        <v>166</v>
      </c>
      <c r="CD39" s="72">
        <f t="shared" si="178"/>
        <v>173</v>
      </c>
      <c r="CE39" s="71">
        <f t="shared" si="179"/>
        <v>219</v>
      </c>
      <c r="CF39" s="72">
        <f t="shared" si="180"/>
        <v>266</v>
      </c>
      <c r="CG39" s="71">
        <f t="shared" si="181"/>
        <v>292</v>
      </c>
      <c r="CH39" s="70">
        <f t="shared" si="182"/>
        <v>34</v>
      </c>
      <c r="CI39" s="71">
        <f t="shared" si="183"/>
        <v>38</v>
      </c>
      <c r="CJ39" s="72">
        <f t="shared" si="184"/>
        <v>69</v>
      </c>
      <c r="CK39" s="72">
        <f t="shared" si="185"/>
        <v>72</v>
      </c>
      <c r="CL39" s="72">
        <f t="shared" si="186"/>
        <v>108</v>
      </c>
      <c r="CM39" s="72">
        <f t="shared" si="187"/>
        <v>116</v>
      </c>
      <c r="CN39" s="72">
        <f t="shared" si="188"/>
        <v>142</v>
      </c>
      <c r="CO39" s="72">
        <f t="shared" si="189"/>
        <v>168</v>
      </c>
      <c r="CP39" s="72">
        <f t="shared" si="190"/>
        <v>208</v>
      </c>
      <c r="CQ39" s="72">
        <f t="shared" si="191"/>
        <v>259</v>
      </c>
      <c r="CR39" s="72">
        <f t="shared" si="192"/>
        <v>291</v>
      </c>
      <c r="CS39" s="72">
        <f t="shared" si="193"/>
        <v>306</v>
      </c>
      <c r="CT39" s="23">
        <f t="shared" si="194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0"/>
        <v>aa2ar_human_5IUB</v>
      </c>
      <c r="B40" s="3" t="s">
        <v>139</v>
      </c>
      <c r="C40" s="3" t="s">
        <v>1355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169"/>
        <v>261</v>
      </c>
      <c r="BD40" s="4" t="s">
        <v>23</v>
      </c>
      <c r="BE40" s="3" t="s">
        <v>1381</v>
      </c>
      <c r="BF40" s="119">
        <v>2.1</v>
      </c>
      <c r="BG40" s="49" t="s">
        <v>1384</v>
      </c>
      <c r="BH40" s="49" t="s">
        <v>1384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170"/>
        <v>2</v>
      </c>
      <c r="BW40" s="71">
        <f t="shared" si="171"/>
        <v>35</v>
      </c>
      <c r="BX40" s="72">
        <f t="shared" si="172"/>
        <v>39</v>
      </c>
      <c r="BY40" s="71">
        <f t="shared" si="173"/>
        <v>70</v>
      </c>
      <c r="BZ40" s="72">
        <f t="shared" si="174"/>
        <v>73</v>
      </c>
      <c r="CA40" s="71">
        <f t="shared" si="175"/>
        <v>109</v>
      </c>
      <c r="CB40" s="72">
        <f t="shared" si="176"/>
        <v>117</v>
      </c>
      <c r="CC40" s="71">
        <f t="shared" si="177"/>
        <v>166</v>
      </c>
      <c r="CD40" s="72">
        <f t="shared" si="178"/>
        <v>173</v>
      </c>
      <c r="CE40" s="71">
        <f t="shared" si="179"/>
        <v>219</v>
      </c>
      <c r="CF40" s="72">
        <f t="shared" si="180"/>
        <v>266</v>
      </c>
      <c r="CG40" s="71">
        <f t="shared" si="181"/>
        <v>292</v>
      </c>
      <c r="CH40" s="70">
        <f t="shared" si="182"/>
        <v>34</v>
      </c>
      <c r="CI40" s="71">
        <f t="shared" si="183"/>
        <v>38</v>
      </c>
      <c r="CJ40" s="72">
        <f t="shared" si="184"/>
        <v>69</v>
      </c>
      <c r="CK40" s="72">
        <f t="shared" si="185"/>
        <v>72</v>
      </c>
      <c r="CL40" s="72">
        <f t="shared" si="186"/>
        <v>108</v>
      </c>
      <c r="CM40" s="72">
        <f t="shared" si="187"/>
        <v>116</v>
      </c>
      <c r="CN40" s="72">
        <f t="shared" si="188"/>
        <v>142</v>
      </c>
      <c r="CO40" s="72">
        <f t="shared" si="189"/>
        <v>168</v>
      </c>
      <c r="CP40" s="72">
        <f t="shared" si="190"/>
        <v>208</v>
      </c>
      <c r="CQ40" s="72">
        <f t="shared" si="191"/>
        <v>259</v>
      </c>
      <c r="CR40" s="72">
        <f t="shared" si="192"/>
        <v>291</v>
      </c>
      <c r="CS40" s="72">
        <f t="shared" si="193"/>
        <v>305</v>
      </c>
      <c r="CT40" s="23">
        <f t="shared" si="194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si="0"/>
        <v>aa2ar_human_5K2A</v>
      </c>
      <c r="B41" s="3" t="s">
        <v>139</v>
      </c>
      <c r="C41" s="3" t="s">
        <v>1345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V</v>
      </c>
      <c r="AY41" s="3">
        <v>307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169"/>
        <v>263</v>
      </c>
      <c r="BD41" s="1" t="s">
        <v>23</v>
      </c>
      <c r="BE41" s="3" t="s">
        <v>1381</v>
      </c>
      <c r="BF41" s="119">
        <v>2.5</v>
      </c>
      <c r="BG41" s="49" t="s">
        <v>1384</v>
      </c>
      <c r="BH41" s="49" t="s">
        <v>1384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si="170"/>
        <v>2</v>
      </c>
      <c r="BW41" s="71">
        <f t="shared" si="171"/>
        <v>35</v>
      </c>
      <c r="BX41" s="72">
        <f t="shared" si="172"/>
        <v>39</v>
      </c>
      <c r="BY41" s="71">
        <f t="shared" si="173"/>
        <v>70</v>
      </c>
      <c r="BZ41" s="72">
        <f t="shared" si="174"/>
        <v>73</v>
      </c>
      <c r="CA41" s="71">
        <f t="shared" si="175"/>
        <v>109</v>
      </c>
      <c r="CB41" s="72">
        <f t="shared" si="176"/>
        <v>117</v>
      </c>
      <c r="CC41" s="71">
        <f t="shared" si="177"/>
        <v>166</v>
      </c>
      <c r="CD41" s="72">
        <f t="shared" si="178"/>
        <v>173</v>
      </c>
      <c r="CE41" s="71">
        <f t="shared" si="179"/>
        <v>219</v>
      </c>
      <c r="CF41" s="72">
        <f t="shared" si="180"/>
        <v>266</v>
      </c>
      <c r="CG41" s="71">
        <f t="shared" si="181"/>
        <v>292</v>
      </c>
      <c r="CH41" s="70">
        <f t="shared" si="182"/>
        <v>34</v>
      </c>
      <c r="CI41" s="71">
        <f t="shared" si="183"/>
        <v>38</v>
      </c>
      <c r="CJ41" s="72">
        <f t="shared" si="184"/>
        <v>69</v>
      </c>
      <c r="CK41" s="72">
        <f t="shared" si="185"/>
        <v>72</v>
      </c>
      <c r="CL41" s="72">
        <f t="shared" si="186"/>
        <v>108</v>
      </c>
      <c r="CM41" s="72">
        <f t="shared" si="187"/>
        <v>116</v>
      </c>
      <c r="CN41" s="72">
        <f t="shared" si="188"/>
        <v>142</v>
      </c>
      <c r="CO41" s="72">
        <f t="shared" si="189"/>
        <v>168</v>
      </c>
      <c r="CP41" s="72">
        <f t="shared" si="190"/>
        <v>208</v>
      </c>
      <c r="CQ41" s="72">
        <f t="shared" si="191"/>
        <v>259</v>
      </c>
      <c r="CR41" s="72">
        <f t="shared" si="192"/>
        <v>291</v>
      </c>
      <c r="CS41" s="72">
        <f t="shared" si="193"/>
        <v>307</v>
      </c>
      <c r="CT41" s="23">
        <f t="shared" si="194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0"/>
        <v>aa2ar_human_5K2B</v>
      </c>
      <c r="B42" s="3" t="s">
        <v>139</v>
      </c>
      <c r="C42" s="3" t="s">
        <v>1346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V</v>
      </c>
      <c r="AY42" s="3">
        <v>307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169"/>
        <v>263</v>
      </c>
      <c r="BD42" s="4" t="s">
        <v>23</v>
      </c>
      <c r="BE42" s="3" t="s">
        <v>1381</v>
      </c>
      <c r="BF42" s="119">
        <v>2.5</v>
      </c>
      <c r="BG42" s="49" t="s">
        <v>1384</v>
      </c>
      <c r="BH42" s="49" t="s">
        <v>1384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170"/>
        <v>2</v>
      </c>
      <c r="BW42" s="71">
        <f t="shared" si="171"/>
        <v>35</v>
      </c>
      <c r="BX42" s="72">
        <f t="shared" si="172"/>
        <v>39</v>
      </c>
      <c r="BY42" s="71">
        <f t="shared" si="173"/>
        <v>70</v>
      </c>
      <c r="BZ42" s="72">
        <f t="shared" si="174"/>
        <v>73</v>
      </c>
      <c r="CA42" s="71">
        <f t="shared" si="175"/>
        <v>109</v>
      </c>
      <c r="CB42" s="72">
        <f t="shared" si="176"/>
        <v>117</v>
      </c>
      <c r="CC42" s="71">
        <f t="shared" si="177"/>
        <v>166</v>
      </c>
      <c r="CD42" s="72">
        <f t="shared" si="178"/>
        <v>173</v>
      </c>
      <c r="CE42" s="71">
        <f t="shared" si="179"/>
        <v>219</v>
      </c>
      <c r="CF42" s="72">
        <f t="shared" si="180"/>
        <v>266</v>
      </c>
      <c r="CG42" s="71">
        <f t="shared" si="181"/>
        <v>292</v>
      </c>
      <c r="CH42" s="70">
        <f t="shared" si="182"/>
        <v>34</v>
      </c>
      <c r="CI42" s="71">
        <f t="shared" si="183"/>
        <v>38</v>
      </c>
      <c r="CJ42" s="72">
        <f t="shared" si="184"/>
        <v>69</v>
      </c>
      <c r="CK42" s="72">
        <f t="shared" si="185"/>
        <v>72</v>
      </c>
      <c r="CL42" s="72">
        <f t="shared" si="186"/>
        <v>108</v>
      </c>
      <c r="CM42" s="72">
        <f t="shared" si="187"/>
        <v>116</v>
      </c>
      <c r="CN42" s="72">
        <f t="shared" si="188"/>
        <v>142</v>
      </c>
      <c r="CO42" s="72">
        <f t="shared" si="189"/>
        <v>168</v>
      </c>
      <c r="CP42" s="72">
        <f t="shared" si="190"/>
        <v>208</v>
      </c>
      <c r="CQ42" s="72">
        <f t="shared" si="191"/>
        <v>259</v>
      </c>
      <c r="CR42" s="72">
        <f t="shared" si="192"/>
        <v>291</v>
      </c>
      <c r="CS42" s="72">
        <f t="shared" si="193"/>
        <v>307</v>
      </c>
      <c r="CT42" s="23">
        <f t="shared" si="194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0"/>
        <v>aa2ar_human_5K2C</v>
      </c>
      <c r="B43" s="3" t="s">
        <v>139</v>
      </c>
      <c r="C43" s="3" t="s">
        <v>1347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V</v>
      </c>
      <c r="AY43" s="3">
        <v>307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169"/>
        <v>263</v>
      </c>
      <c r="BD43" s="4" t="s">
        <v>23</v>
      </c>
      <c r="BE43" s="3" t="s">
        <v>1381</v>
      </c>
      <c r="BF43" s="119">
        <v>1.9</v>
      </c>
      <c r="BG43" s="49" t="s">
        <v>1384</v>
      </c>
      <c r="BH43" s="49" t="s">
        <v>1384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170"/>
        <v>2</v>
      </c>
      <c r="BW43" s="71">
        <f t="shared" si="171"/>
        <v>35</v>
      </c>
      <c r="BX43" s="72">
        <f t="shared" si="172"/>
        <v>39</v>
      </c>
      <c r="BY43" s="71">
        <f t="shared" si="173"/>
        <v>70</v>
      </c>
      <c r="BZ43" s="72">
        <f t="shared" si="174"/>
        <v>73</v>
      </c>
      <c r="CA43" s="71">
        <f t="shared" si="175"/>
        <v>109</v>
      </c>
      <c r="CB43" s="72">
        <f t="shared" si="176"/>
        <v>117</v>
      </c>
      <c r="CC43" s="71">
        <f t="shared" si="177"/>
        <v>166</v>
      </c>
      <c r="CD43" s="72">
        <f t="shared" si="178"/>
        <v>173</v>
      </c>
      <c r="CE43" s="71">
        <f t="shared" si="179"/>
        <v>219</v>
      </c>
      <c r="CF43" s="72">
        <f t="shared" si="180"/>
        <v>266</v>
      </c>
      <c r="CG43" s="71">
        <f t="shared" si="181"/>
        <v>292</v>
      </c>
      <c r="CH43" s="70">
        <f t="shared" si="182"/>
        <v>34</v>
      </c>
      <c r="CI43" s="71">
        <f t="shared" si="183"/>
        <v>38</v>
      </c>
      <c r="CJ43" s="72">
        <f t="shared" si="184"/>
        <v>69</v>
      </c>
      <c r="CK43" s="72">
        <f t="shared" si="185"/>
        <v>72</v>
      </c>
      <c r="CL43" s="72">
        <f t="shared" si="186"/>
        <v>108</v>
      </c>
      <c r="CM43" s="72">
        <f t="shared" si="187"/>
        <v>116</v>
      </c>
      <c r="CN43" s="72">
        <f t="shared" si="188"/>
        <v>142</v>
      </c>
      <c r="CO43" s="72">
        <f t="shared" si="189"/>
        <v>168</v>
      </c>
      <c r="CP43" s="72">
        <f t="shared" si="190"/>
        <v>208</v>
      </c>
      <c r="CQ43" s="72">
        <f t="shared" si="191"/>
        <v>259</v>
      </c>
      <c r="CR43" s="72">
        <f t="shared" si="192"/>
        <v>291</v>
      </c>
      <c r="CS43" s="72">
        <f t="shared" si="193"/>
        <v>307</v>
      </c>
      <c r="CT43" s="23">
        <f t="shared" si="194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0"/>
        <v>aa2ar_human_5K2D</v>
      </c>
      <c r="B44" s="3" t="s">
        <v>139</v>
      </c>
      <c r="C44" s="3" t="s">
        <v>1348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169"/>
        <v>263</v>
      </c>
      <c r="BD44" s="5" t="s">
        <v>23</v>
      </c>
      <c r="BE44" s="3" t="s">
        <v>1381</v>
      </c>
      <c r="BF44" s="119">
        <v>1.9</v>
      </c>
      <c r="BG44" s="49" t="s">
        <v>1384</v>
      </c>
      <c r="BH44" s="49" t="s">
        <v>1384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170"/>
        <v>2</v>
      </c>
      <c r="BW44" s="71">
        <f t="shared" si="171"/>
        <v>35</v>
      </c>
      <c r="BX44" s="72">
        <f t="shared" si="172"/>
        <v>39</v>
      </c>
      <c r="BY44" s="71">
        <f t="shared" si="173"/>
        <v>70</v>
      </c>
      <c r="BZ44" s="72">
        <f t="shared" si="174"/>
        <v>73</v>
      </c>
      <c r="CA44" s="71">
        <f t="shared" si="175"/>
        <v>109</v>
      </c>
      <c r="CB44" s="72">
        <f t="shared" si="176"/>
        <v>117</v>
      </c>
      <c r="CC44" s="71">
        <f t="shared" si="177"/>
        <v>166</v>
      </c>
      <c r="CD44" s="72">
        <f t="shared" si="178"/>
        <v>173</v>
      </c>
      <c r="CE44" s="71">
        <f t="shared" si="179"/>
        <v>219</v>
      </c>
      <c r="CF44" s="72">
        <f t="shared" si="180"/>
        <v>266</v>
      </c>
      <c r="CG44" s="71">
        <f t="shared" si="181"/>
        <v>292</v>
      </c>
      <c r="CH44" s="70">
        <f t="shared" si="182"/>
        <v>34</v>
      </c>
      <c r="CI44" s="71">
        <f t="shared" si="183"/>
        <v>38</v>
      </c>
      <c r="CJ44" s="72">
        <f t="shared" si="184"/>
        <v>69</v>
      </c>
      <c r="CK44" s="72">
        <f t="shared" si="185"/>
        <v>72</v>
      </c>
      <c r="CL44" s="72">
        <f t="shared" si="186"/>
        <v>108</v>
      </c>
      <c r="CM44" s="72">
        <f t="shared" si="187"/>
        <v>116</v>
      </c>
      <c r="CN44" s="72">
        <f t="shared" si="188"/>
        <v>142</v>
      </c>
      <c r="CO44" s="72">
        <f t="shared" si="189"/>
        <v>168</v>
      </c>
      <c r="CP44" s="72">
        <f t="shared" si="190"/>
        <v>208</v>
      </c>
      <c r="CQ44" s="72">
        <f t="shared" si="191"/>
        <v>259</v>
      </c>
      <c r="CR44" s="72">
        <f t="shared" si="192"/>
        <v>291</v>
      </c>
      <c r="CS44" s="72">
        <f t="shared" si="193"/>
        <v>307</v>
      </c>
      <c r="CT44" s="23">
        <f t="shared" si="194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ref="A45:A63" si="195">CONCATENATE(B45,"_",C45)</f>
        <v>aa2ar_human_5MZJ</v>
      </c>
      <c r="B45" s="3" t="s">
        <v>139</v>
      </c>
      <c r="C45" s="3" t="s">
        <v>1446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3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S</v>
      </c>
      <c r="AY45" s="3">
        <v>305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ref="BB45:BB63" si="196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23">
        <f t="shared" ref="BC45:BC63" si="197">_xlfn.AGGREGATE(9,6,CH45:CS45)-_xlfn.AGGREGATE(9,6,BV45:CG45)+12</f>
        <v>261</v>
      </c>
      <c r="BD45" s="5" t="s">
        <v>23</v>
      </c>
      <c r="BE45" s="3" t="s">
        <v>1381</v>
      </c>
      <c r="BF45" s="119">
        <v>2</v>
      </c>
      <c r="BG45" s="49" t="s">
        <v>1</v>
      </c>
      <c r="BH45" s="49" t="s">
        <v>1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ref="BV45:BV63" si="198">E45</f>
        <v>2</v>
      </c>
      <c r="BW45" s="71">
        <f t="shared" ref="BW45:BW63" si="199">I45</f>
        <v>35</v>
      </c>
      <c r="BX45" s="72">
        <f t="shared" ref="BX45:BX63" si="200">M45</f>
        <v>39</v>
      </c>
      <c r="BY45" s="71">
        <f t="shared" ref="BY45:BY63" si="201">Q45</f>
        <v>70</v>
      </c>
      <c r="BZ45" s="72">
        <f t="shared" ref="BZ45:BZ63" si="202">U45</f>
        <v>73</v>
      </c>
      <c r="CA45" s="71">
        <f t="shared" ref="CA45:CA63" si="203">Y45</f>
        <v>109</v>
      </c>
      <c r="CB45" s="72">
        <f t="shared" ref="CB45:CB63" si="204">AC45</f>
        <v>117</v>
      </c>
      <c r="CC45" s="71">
        <f t="shared" ref="CC45:CC63" si="205">AG45</f>
        <v>166</v>
      </c>
      <c r="CD45" s="72">
        <f t="shared" ref="CD45:CD63" si="206">AK45</f>
        <v>173</v>
      </c>
      <c r="CE45" s="71">
        <f t="shared" ref="CE45:CE63" si="207">AO45</f>
        <v>219</v>
      </c>
      <c r="CF45" s="72">
        <f t="shared" ref="CF45:CF63" si="208">AS45</f>
        <v>266</v>
      </c>
      <c r="CG45" s="71">
        <f t="shared" ref="CG45:CG63" si="209">AW45</f>
        <v>292</v>
      </c>
      <c r="CH45" s="70">
        <f t="shared" ref="CH45:CH63" si="210">G45</f>
        <v>34</v>
      </c>
      <c r="CI45" s="71">
        <f t="shared" ref="CI45:CI63" si="211">K45</f>
        <v>38</v>
      </c>
      <c r="CJ45" s="72">
        <f t="shared" ref="CJ45:CJ63" si="212">O45</f>
        <v>69</v>
      </c>
      <c r="CK45" s="72">
        <f t="shared" ref="CK45:CK63" si="213">S45</f>
        <v>72</v>
      </c>
      <c r="CL45" s="72">
        <f t="shared" ref="CL45:CL63" si="214">W45</f>
        <v>108</v>
      </c>
      <c r="CM45" s="72">
        <f t="shared" ref="CM45:CM63" si="215">AA45</f>
        <v>116</v>
      </c>
      <c r="CN45" s="72">
        <f t="shared" ref="CN45:CN63" si="216">AE45</f>
        <v>142</v>
      </c>
      <c r="CO45" s="72">
        <f t="shared" ref="CO45:CO63" si="217">AI45</f>
        <v>168</v>
      </c>
      <c r="CP45" s="72">
        <f t="shared" ref="CP45:CP63" si="218">AM45</f>
        <v>208</v>
      </c>
      <c r="CQ45" s="72">
        <f t="shared" ref="CQ45:CQ63" si="219">AQ45</f>
        <v>259</v>
      </c>
      <c r="CR45" s="72">
        <f t="shared" ref="CR45:CR63" si="220">AU45</f>
        <v>291</v>
      </c>
      <c r="CS45" s="72">
        <f t="shared" ref="CS45:CS63" si="221">AY45</f>
        <v>305</v>
      </c>
      <c r="CT45" s="23">
        <f t="shared" ref="CT45:CT63" si="222">M45-K45</f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195"/>
        <v>aa2ar_human_5MZP</v>
      </c>
      <c r="B46" s="3" t="s">
        <v>139</v>
      </c>
      <c r="C46" s="3" t="s">
        <v>1447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3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S</v>
      </c>
      <c r="AY46" s="3">
        <v>305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96"/>
        <v>1</v>
      </c>
      <c r="BC46" s="23">
        <f t="shared" si="197"/>
        <v>261</v>
      </c>
      <c r="BD46" s="5" t="s">
        <v>23</v>
      </c>
      <c r="BE46" s="3" t="s">
        <v>1381</v>
      </c>
      <c r="BF46" s="119">
        <v>3</v>
      </c>
      <c r="BG46" s="49" t="s">
        <v>1</v>
      </c>
      <c r="BH46" s="49" t="s">
        <v>1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198"/>
        <v>2</v>
      </c>
      <c r="BW46" s="71">
        <f t="shared" si="199"/>
        <v>35</v>
      </c>
      <c r="BX46" s="72">
        <f t="shared" si="200"/>
        <v>39</v>
      </c>
      <c r="BY46" s="71">
        <f t="shared" si="201"/>
        <v>70</v>
      </c>
      <c r="BZ46" s="72">
        <f t="shared" si="202"/>
        <v>73</v>
      </c>
      <c r="CA46" s="71">
        <f t="shared" si="203"/>
        <v>109</v>
      </c>
      <c r="CB46" s="72">
        <f t="shared" si="204"/>
        <v>117</v>
      </c>
      <c r="CC46" s="71">
        <f t="shared" si="205"/>
        <v>166</v>
      </c>
      <c r="CD46" s="72">
        <f t="shared" si="206"/>
        <v>173</v>
      </c>
      <c r="CE46" s="71">
        <f t="shared" si="207"/>
        <v>219</v>
      </c>
      <c r="CF46" s="72">
        <f t="shared" si="208"/>
        <v>266</v>
      </c>
      <c r="CG46" s="71">
        <f t="shared" si="209"/>
        <v>292</v>
      </c>
      <c r="CH46" s="70">
        <f t="shared" si="210"/>
        <v>34</v>
      </c>
      <c r="CI46" s="71">
        <f t="shared" si="211"/>
        <v>38</v>
      </c>
      <c r="CJ46" s="72">
        <f t="shared" si="212"/>
        <v>69</v>
      </c>
      <c r="CK46" s="72">
        <f t="shared" si="213"/>
        <v>72</v>
      </c>
      <c r="CL46" s="72">
        <f t="shared" si="214"/>
        <v>108</v>
      </c>
      <c r="CM46" s="72">
        <f t="shared" si="215"/>
        <v>116</v>
      </c>
      <c r="CN46" s="72">
        <f t="shared" si="216"/>
        <v>142</v>
      </c>
      <c r="CO46" s="72">
        <f t="shared" si="217"/>
        <v>168</v>
      </c>
      <c r="CP46" s="72">
        <f t="shared" si="218"/>
        <v>208</v>
      </c>
      <c r="CQ46" s="72">
        <f t="shared" si="219"/>
        <v>259</v>
      </c>
      <c r="CR46" s="72">
        <f t="shared" si="220"/>
        <v>291</v>
      </c>
      <c r="CS46" s="72">
        <f t="shared" si="221"/>
        <v>305</v>
      </c>
      <c r="CT46" s="23">
        <f t="shared" si="222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195"/>
        <v>aa2ar_human_5N2R</v>
      </c>
      <c r="B47" s="3" t="s">
        <v>139</v>
      </c>
      <c r="C47" s="3" t="s">
        <v>1441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3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S</v>
      </c>
      <c r="AY47" s="3">
        <v>305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96"/>
        <v>1</v>
      </c>
      <c r="BC47" s="23">
        <f t="shared" si="197"/>
        <v>261</v>
      </c>
      <c r="BD47" s="5" t="s">
        <v>23</v>
      </c>
      <c r="BE47" s="3" t="s">
        <v>1381</v>
      </c>
      <c r="BF47" s="119">
        <v>2.9</v>
      </c>
      <c r="BG47" s="49" t="s">
        <v>1</v>
      </c>
      <c r="BH47" s="49" t="s">
        <v>1</v>
      </c>
      <c r="BI47" s="1"/>
      <c r="BJ47" s="70" t="s">
        <v>1293</v>
      </c>
      <c r="BK47" s="57" t="s">
        <v>1293</v>
      </c>
      <c r="BL47" s="57" t="s">
        <v>1293</v>
      </c>
      <c r="BM47" s="57" t="s">
        <v>1293</v>
      </c>
      <c r="BN47" s="57" t="s">
        <v>1293</v>
      </c>
      <c r="BO47" s="57" t="s">
        <v>1293</v>
      </c>
      <c r="BP47" s="57" t="s">
        <v>1293</v>
      </c>
      <c r="BQ47" s="57" t="s">
        <v>1293</v>
      </c>
      <c r="BR47" s="57" t="s">
        <v>1293</v>
      </c>
      <c r="BS47" s="57" t="s">
        <v>1293</v>
      </c>
      <c r="BT47" s="57" t="s">
        <v>1293</v>
      </c>
      <c r="BU47" s="57" t="s">
        <v>1293</v>
      </c>
      <c r="BV47" s="70">
        <f t="shared" si="198"/>
        <v>2</v>
      </c>
      <c r="BW47" s="71">
        <f t="shared" si="199"/>
        <v>35</v>
      </c>
      <c r="BX47" s="72">
        <f t="shared" si="200"/>
        <v>39</v>
      </c>
      <c r="BY47" s="71">
        <f t="shared" si="201"/>
        <v>70</v>
      </c>
      <c r="BZ47" s="72">
        <f t="shared" si="202"/>
        <v>73</v>
      </c>
      <c r="CA47" s="71">
        <f t="shared" si="203"/>
        <v>109</v>
      </c>
      <c r="CB47" s="72">
        <f t="shared" si="204"/>
        <v>117</v>
      </c>
      <c r="CC47" s="71">
        <f t="shared" si="205"/>
        <v>166</v>
      </c>
      <c r="CD47" s="72">
        <f t="shared" si="206"/>
        <v>173</v>
      </c>
      <c r="CE47" s="71">
        <f t="shared" si="207"/>
        <v>219</v>
      </c>
      <c r="CF47" s="72">
        <f t="shared" si="208"/>
        <v>266</v>
      </c>
      <c r="CG47" s="71">
        <f t="shared" si="209"/>
        <v>292</v>
      </c>
      <c r="CH47" s="70">
        <f t="shared" si="210"/>
        <v>34</v>
      </c>
      <c r="CI47" s="71">
        <f t="shared" si="211"/>
        <v>38</v>
      </c>
      <c r="CJ47" s="72">
        <f t="shared" si="212"/>
        <v>69</v>
      </c>
      <c r="CK47" s="72">
        <f t="shared" si="213"/>
        <v>72</v>
      </c>
      <c r="CL47" s="72">
        <f t="shared" si="214"/>
        <v>108</v>
      </c>
      <c r="CM47" s="72">
        <f t="shared" si="215"/>
        <v>116</v>
      </c>
      <c r="CN47" s="72">
        <f t="shared" si="216"/>
        <v>142</v>
      </c>
      <c r="CO47" s="72">
        <f t="shared" si="217"/>
        <v>168</v>
      </c>
      <c r="CP47" s="72">
        <f t="shared" si="218"/>
        <v>208</v>
      </c>
      <c r="CQ47" s="72">
        <f t="shared" si="219"/>
        <v>259</v>
      </c>
      <c r="CR47" s="72">
        <f t="shared" si="220"/>
        <v>291</v>
      </c>
      <c r="CS47" s="72">
        <f t="shared" si="221"/>
        <v>305</v>
      </c>
      <c r="CT47" s="23">
        <f t="shared" si="222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195"/>
        <v>aa2ar_human_5UIG</v>
      </c>
      <c r="B48" s="3" t="s">
        <v>139</v>
      </c>
      <c r="C48" s="3" t="s">
        <v>1394</v>
      </c>
      <c r="D48" s="3" t="str">
        <f>IFERROR(MID(VLOOKUP($B48,Seqs!$A:$B,2,0),E48,1),"")</f>
        <v>M</v>
      </c>
      <c r="E48" s="3">
        <v>4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Q</v>
      </c>
      <c r="AY48" s="3">
        <v>297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96"/>
        <v>1</v>
      </c>
      <c r="BC48" s="23">
        <f t="shared" si="197"/>
        <v>251</v>
      </c>
      <c r="BD48" s="5" t="s">
        <v>23</v>
      </c>
      <c r="BE48" s="3" t="s">
        <v>1381</v>
      </c>
      <c r="BF48" s="119">
        <v>3.5</v>
      </c>
      <c r="BG48" s="49" t="s">
        <v>1384</v>
      </c>
      <c r="BH48" s="49" t="s">
        <v>1384</v>
      </c>
      <c r="BI48" s="1"/>
      <c r="BJ48" s="70" t="s">
        <v>1293</v>
      </c>
      <c r="BK48" s="57" t="s">
        <v>1293</v>
      </c>
      <c r="BL48" s="57" t="s">
        <v>1293</v>
      </c>
      <c r="BM48" s="57" t="s">
        <v>1293</v>
      </c>
      <c r="BN48" s="57" t="s">
        <v>1293</v>
      </c>
      <c r="BO48" s="57" t="s">
        <v>1293</v>
      </c>
      <c r="BP48" s="57" t="s">
        <v>1293</v>
      </c>
      <c r="BQ48" s="57" t="s">
        <v>1293</v>
      </c>
      <c r="BR48" s="57" t="s">
        <v>1293</v>
      </c>
      <c r="BS48" s="57" t="s">
        <v>1293</v>
      </c>
      <c r="BT48" s="57" t="s">
        <v>1293</v>
      </c>
      <c r="BU48" s="57" t="s">
        <v>1293</v>
      </c>
      <c r="BV48" s="70">
        <f t="shared" si="198"/>
        <v>4</v>
      </c>
      <c r="BW48" s="71">
        <f t="shared" si="199"/>
        <v>35</v>
      </c>
      <c r="BX48" s="72">
        <f t="shared" si="200"/>
        <v>39</v>
      </c>
      <c r="BY48" s="71">
        <f t="shared" si="201"/>
        <v>70</v>
      </c>
      <c r="BZ48" s="72">
        <f t="shared" si="202"/>
        <v>73</v>
      </c>
      <c r="CA48" s="71">
        <f t="shared" si="203"/>
        <v>109</v>
      </c>
      <c r="CB48" s="72">
        <f t="shared" si="204"/>
        <v>117</v>
      </c>
      <c r="CC48" s="71">
        <f t="shared" si="205"/>
        <v>166</v>
      </c>
      <c r="CD48" s="72">
        <f t="shared" si="206"/>
        <v>173</v>
      </c>
      <c r="CE48" s="71">
        <f t="shared" si="207"/>
        <v>219</v>
      </c>
      <c r="CF48" s="72">
        <f t="shared" si="208"/>
        <v>266</v>
      </c>
      <c r="CG48" s="71">
        <f t="shared" si="209"/>
        <v>292</v>
      </c>
      <c r="CH48" s="70">
        <f t="shared" si="210"/>
        <v>34</v>
      </c>
      <c r="CI48" s="71">
        <f t="shared" si="211"/>
        <v>38</v>
      </c>
      <c r="CJ48" s="72">
        <f t="shared" si="212"/>
        <v>69</v>
      </c>
      <c r="CK48" s="72">
        <f t="shared" si="213"/>
        <v>72</v>
      </c>
      <c r="CL48" s="72">
        <f t="shared" si="214"/>
        <v>108</v>
      </c>
      <c r="CM48" s="72">
        <f t="shared" si="215"/>
        <v>116</v>
      </c>
      <c r="CN48" s="72">
        <f t="shared" si="216"/>
        <v>142</v>
      </c>
      <c r="CO48" s="72">
        <f t="shared" si="217"/>
        <v>168</v>
      </c>
      <c r="CP48" s="72">
        <f t="shared" si="218"/>
        <v>208</v>
      </c>
      <c r="CQ48" s="72">
        <f t="shared" si="219"/>
        <v>259</v>
      </c>
      <c r="CR48" s="72">
        <f t="shared" si="220"/>
        <v>291</v>
      </c>
      <c r="CS48" s="72">
        <f t="shared" si="221"/>
        <v>297</v>
      </c>
      <c r="CT48" s="23">
        <f t="shared" si="222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195"/>
        <v>aa2ar_human_5UVI</v>
      </c>
      <c r="B49" s="3" t="s">
        <v>139</v>
      </c>
      <c r="C49" s="3" t="s">
        <v>1421</v>
      </c>
      <c r="D49" s="3" t="str">
        <f>IFERROR(MID(VLOOKUP($B49,Seqs!$A:$B,2,0),E49,1),"")</f>
        <v>M</v>
      </c>
      <c r="E49" s="3">
        <v>1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H</v>
      </c>
      <c r="AY49" s="3">
        <v>306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196"/>
        <v>1</v>
      </c>
      <c r="BC49" s="23">
        <f t="shared" si="197"/>
        <v>263</v>
      </c>
      <c r="BD49" s="5" t="s">
        <v>23</v>
      </c>
      <c r="BE49" s="3" t="s">
        <v>1381</v>
      </c>
      <c r="BF49" s="119">
        <v>3.2</v>
      </c>
      <c r="BG49" s="49" t="s">
        <v>1</v>
      </c>
      <c r="BH49" s="49" t="s">
        <v>1</v>
      </c>
      <c r="BI49" s="1"/>
      <c r="BJ49" s="70" t="s">
        <v>1293</v>
      </c>
      <c r="BK49" s="57" t="s">
        <v>1293</v>
      </c>
      <c r="BL49" s="57" t="s">
        <v>1293</v>
      </c>
      <c r="BM49" s="57" t="s">
        <v>1293</v>
      </c>
      <c r="BN49" s="57" t="s">
        <v>1293</v>
      </c>
      <c r="BO49" s="57" t="s">
        <v>1293</v>
      </c>
      <c r="BP49" s="57" t="s">
        <v>1293</v>
      </c>
      <c r="BQ49" s="57" t="s">
        <v>1293</v>
      </c>
      <c r="BR49" s="57" t="s">
        <v>1293</v>
      </c>
      <c r="BS49" s="57" t="s">
        <v>1293</v>
      </c>
      <c r="BT49" s="57" t="s">
        <v>1293</v>
      </c>
      <c r="BU49" s="57" t="s">
        <v>1293</v>
      </c>
      <c r="BV49" s="70">
        <f t="shared" si="198"/>
        <v>1</v>
      </c>
      <c r="BW49" s="71">
        <f t="shared" si="199"/>
        <v>35</v>
      </c>
      <c r="BX49" s="72">
        <f t="shared" si="200"/>
        <v>39</v>
      </c>
      <c r="BY49" s="71">
        <f t="shared" si="201"/>
        <v>70</v>
      </c>
      <c r="BZ49" s="72">
        <f t="shared" si="202"/>
        <v>73</v>
      </c>
      <c r="CA49" s="71">
        <f t="shared" si="203"/>
        <v>109</v>
      </c>
      <c r="CB49" s="72">
        <f t="shared" si="204"/>
        <v>117</v>
      </c>
      <c r="CC49" s="71">
        <f t="shared" si="205"/>
        <v>166</v>
      </c>
      <c r="CD49" s="72">
        <f t="shared" si="206"/>
        <v>173</v>
      </c>
      <c r="CE49" s="71">
        <f t="shared" si="207"/>
        <v>219</v>
      </c>
      <c r="CF49" s="72">
        <f t="shared" si="208"/>
        <v>266</v>
      </c>
      <c r="CG49" s="71">
        <f t="shared" si="209"/>
        <v>292</v>
      </c>
      <c r="CH49" s="70">
        <f t="shared" si="210"/>
        <v>34</v>
      </c>
      <c r="CI49" s="71">
        <f t="shared" si="211"/>
        <v>38</v>
      </c>
      <c r="CJ49" s="72">
        <f t="shared" si="212"/>
        <v>69</v>
      </c>
      <c r="CK49" s="72">
        <f t="shared" si="213"/>
        <v>72</v>
      </c>
      <c r="CL49" s="72">
        <f t="shared" si="214"/>
        <v>108</v>
      </c>
      <c r="CM49" s="72">
        <f t="shared" si="215"/>
        <v>116</v>
      </c>
      <c r="CN49" s="72">
        <f t="shared" si="216"/>
        <v>142</v>
      </c>
      <c r="CO49" s="72">
        <f t="shared" si="217"/>
        <v>168</v>
      </c>
      <c r="CP49" s="72">
        <f t="shared" si="218"/>
        <v>208</v>
      </c>
      <c r="CQ49" s="72">
        <f t="shared" si="219"/>
        <v>259</v>
      </c>
      <c r="CR49" s="72">
        <f t="shared" si="220"/>
        <v>291</v>
      </c>
      <c r="CS49" s="72">
        <f t="shared" si="221"/>
        <v>306</v>
      </c>
      <c r="CT49" s="23">
        <f t="shared" si="222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195"/>
        <v>aa2ar_human_5JTB</v>
      </c>
      <c r="B50" s="3" t="s">
        <v>139</v>
      </c>
      <c r="C50" s="3" t="s">
        <v>1422</v>
      </c>
      <c r="D50" s="3" t="str">
        <f>IFERROR(MID(VLOOKUP($B50,Seqs!$A:$B,2,0),E50,1),"")</f>
        <v>M</v>
      </c>
      <c r="E50" s="3">
        <v>1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V</v>
      </c>
      <c r="AY50" s="3">
        <v>307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196"/>
        <v>1</v>
      </c>
      <c r="BC50" s="23">
        <f t="shared" si="197"/>
        <v>264</v>
      </c>
      <c r="BD50" s="5" t="s">
        <v>23</v>
      </c>
      <c r="BE50" s="3" t="s">
        <v>1381</v>
      </c>
      <c r="BF50" s="119">
        <v>2.8</v>
      </c>
      <c r="BG50" s="49" t="s">
        <v>1</v>
      </c>
      <c r="BH50" s="49" t="s">
        <v>1</v>
      </c>
      <c r="BI50" s="1"/>
      <c r="BJ50" s="70" t="s">
        <v>1293</v>
      </c>
      <c r="BK50" s="57" t="s">
        <v>1293</v>
      </c>
      <c r="BL50" s="57" t="s">
        <v>1293</v>
      </c>
      <c r="BM50" s="57" t="s">
        <v>1293</v>
      </c>
      <c r="BN50" s="57" t="s">
        <v>1293</v>
      </c>
      <c r="BO50" s="57" t="s">
        <v>1293</v>
      </c>
      <c r="BP50" s="57" t="s">
        <v>1293</v>
      </c>
      <c r="BQ50" s="57" t="s">
        <v>1293</v>
      </c>
      <c r="BR50" s="57" t="s">
        <v>1293</v>
      </c>
      <c r="BS50" s="57" t="s">
        <v>1293</v>
      </c>
      <c r="BT50" s="57" t="s">
        <v>1293</v>
      </c>
      <c r="BU50" s="57" t="s">
        <v>1293</v>
      </c>
      <c r="BV50" s="70">
        <f t="shared" si="198"/>
        <v>1</v>
      </c>
      <c r="BW50" s="71">
        <f t="shared" si="199"/>
        <v>35</v>
      </c>
      <c r="BX50" s="72">
        <f t="shared" si="200"/>
        <v>39</v>
      </c>
      <c r="BY50" s="71">
        <f t="shared" si="201"/>
        <v>70</v>
      </c>
      <c r="BZ50" s="72">
        <f t="shared" si="202"/>
        <v>73</v>
      </c>
      <c r="CA50" s="71">
        <f t="shared" si="203"/>
        <v>109</v>
      </c>
      <c r="CB50" s="72">
        <f t="shared" si="204"/>
        <v>117</v>
      </c>
      <c r="CC50" s="71">
        <f t="shared" si="205"/>
        <v>166</v>
      </c>
      <c r="CD50" s="72">
        <f t="shared" si="206"/>
        <v>173</v>
      </c>
      <c r="CE50" s="71">
        <f t="shared" si="207"/>
        <v>219</v>
      </c>
      <c r="CF50" s="72">
        <f t="shared" si="208"/>
        <v>266</v>
      </c>
      <c r="CG50" s="71">
        <f t="shared" si="209"/>
        <v>292</v>
      </c>
      <c r="CH50" s="70">
        <f t="shared" si="210"/>
        <v>34</v>
      </c>
      <c r="CI50" s="71">
        <f t="shared" si="211"/>
        <v>38</v>
      </c>
      <c r="CJ50" s="72">
        <f t="shared" si="212"/>
        <v>69</v>
      </c>
      <c r="CK50" s="72">
        <f t="shared" si="213"/>
        <v>72</v>
      </c>
      <c r="CL50" s="72">
        <f t="shared" si="214"/>
        <v>108</v>
      </c>
      <c r="CM50" s="72">
        <f t="shared" si="215"/>
        <v>116</v>
      </c>
      <c r="CN50" s="72">
        <f t="shared" si="216"/>
        <v>142</v>
      </c>
      <c r="CO50" s="72">
        <f t="shared" si="217"/>
        <v>168</v>
      </c>
      <c r="CP50" s="72">
        <f t="shared" si="218"/>
        <v>208</v>
      </c>
      <c r="CQ50" s="72">
        <f t="shared" si="219"/>
        <v>259</v>
      </c>
      <c r="CR50" s="72">
        <f t="shared" si="220"/>
        <v>291</v>
      </c>
      <c r="CS50" s="72">
        <f t="shared" si="221"/>
        <v>307</v>
      </c>
      <c r="CT50" s="23">
        <f t="shared" si="222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s="12" customFormat="1" x14ac:dyDescent="0.2">
      <c r="A51" s="9" t="str">
        <f t="shared" si="195"/>
        <v>aa2ar_human_5NM2</v>
      </c>
      <c r="B51" s="9" t="s">
        <v>139</v>
      </c>
      <c r="C51" s="9" t="s">
        <v>1455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09">
        <v>35</v>
      </c>
      <c r="J51" s="9" t="str">
        <f>IFERROR(MID(VLOOKUP($B51,Seqs!$A:$B,2,0),K51,1),"")</f>
        <v>Q</v>
      </c>
      <c r="K51" s="109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0" t="str">
        <f>VLOOKUP(B51,Classification!A:D,2,0)</f>
        <v>A</v>
      </c>
      <c r="BA51" s="98" t="str">
        <f>VLOOKUP(B51,Classification!A:D,4,0)</f>
        <v>Adenosine</v>
      </c>
      <c r="BB51" s="36" t="b">
        <f t="shared" si="196"/>
        <v>1</v>
      </c>
      <c r="BC51" s="109">
        <f t="shared" si="197"/>
        <v>262</v>
      </c>
      <c r="BD51" s="13" t="s">
        <v>23</v>
      </c>
      <c r="BE51" s="9" t="s">
        <v>1381</v>
      </c>
      <c r="BF51" s="120">
        <v>1.95</v>
      </c>
      <c r="BG51" s="51" t="s">
        <v>1</v>
      </c>
      <c r="BH51" s="51" t="s">
        <v>1</v>
      </c>
      <c r="BJ51" s="111" t="s">
        <v>1293</v>
      </c>
      <c r="BK51" s="112" t="s">
        <v>1293</v>
      </c>
      <c r="BL51" s="112" t="s">
        <v>1293</v>
      </c>
      <c r="BM51" s="112" t="s">
        <v>1293</v>
      </c>
      <c r="BN51" s="112" t="s">
        <v>1293</v>
      </c>
      <c r="BO51" s="112" t="s">
        <v>1293</v>
      </c>
      <c r="BP51" s="112" t="s">
        <v>1293</v>
      </c>
      <c r="BQ51" s="112" t="s">
        <v>1293</v>
      </c>
      <c r="BR51" s="112" t="s">
        <v>1293</v>
      </c>
      <c r="BS51" s="112" t="s">
        <v>1293</v>
      </c>
      <c r="BT51" s="112" t="s">
        <v>1293</v>
      </c>
      <c r="BU51" s="112" t="s">
        <v>1293</v>
      </c>
      <c r="BV51" s="111">
        <f t="shared" si="198"/>
        <v>1</v>
      </c>
      <c r="BW51" s="113">
        <f t="shared" si="199"/>
        <v>35</v>
      </c>
      <c r="BX51" s="114">
        <f t="shared" si="200"/>
        <v>39</v>
      </c>
      <c r="BY51" s="113">
        <f t="shared" si="201"/>
        <v>70</v>
      </c>
      <c r="BZ51" s="114">
        <f t="shared" si="202"/>
        <v>73</v>
      </c>
      <c r="CA51" s="113">
        <f t="shared" si="203"/>
        <v>109</v>
      </c>
      <c r="CB51" s="114">
        <f t="shared" si="204"/>
        <v>117</v>
      </c>
      <c r="CC51" s="113">
        <f t="shared" si="205"/>
        <v>166</v>
      </c>
      <c r="CD51" s="114">
        <f t="shared" si="206"/>
        <v>173</v>
      </c>
      <c r="CE51" s="113">
        <f t="shared" si="207"/>
        <v>219</v>
      </c>
      <c r="CF51" s="114">
        <f t="shared" si="208"/>
        <v>266</v>
      </c>
      <c r="CG51" s="113">
        <f t="shared" si="209"/>
        <v>292</v>
      </c>
      <c r="CH51" s="111">
        <f t="shared" si="210"/>
        <v>34</v>
      </c>
      <c r="CI51" s="113">
        <f t="shared" si="211"/>
        <v>38</v>
      </c>
      <c r="CJ51" s="114">
        <f t="shared" si="212"/>
        <v>69</v>
      </c>
      <c r="CK51" s="114">
        <f t="shared" si="213"/>
        <v>72</v>
      </c>
      <c r="CL51" s="114">
        <f t="shared" si="214"/>
        <v>108</v>
      </c>
      <c r="CM51" s="114">
        <f t="shared" si="215"/>
        <v>116</v>
      </c>
      <c r="CN51" s="114">
        <f t="shared" si="216"/>
        <v>142</v>
      </c>
      <c r="CO51" s="114">
        <f t="shared" si="217"/>
        <v>168</v>
      </c>
      <c r="CP51" s="114">
        <f t="shared" si="218"/>
        <v>208</v>
      </c>
      <c r="CQ51" s="114">
        <f t="shared" si="219"/>
        <v>259</v>
      </c>
      <c r="CR51" s="114">
        <f t="shared" si="220"/>
        <v>291</v>
      </c>
      <c r="CS51" s="114">
        <f t="shared" si="221"/>
        <v>305</v>
      </c>
      <c r="CT51" s="109">
        <f t="shared" si="222"/>
        <v>1</v>
      </c>
    </row>
    <row r="52" spans="1:1029" s="12" customFormat="1" x14ac:dyDescent="0.2">
      <c r="A52" s="9" t="str">
        <f t="shared" si="195"/>
        <v>aa2ar_human_5VRA</v>
      </c>
      <c r="B52" s="9" t="s">
        <v>139</v>
      </c>
      <c r="C52" s="9" t="s">
        <v>1461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09">
        <v>35</v>
      </c>
      <c r="J52" s="9" t="str">
        <f>IFERROR(MID(VLOOKUP($B52,Seqs!$A:$B,2,0),K52,1),"")</f>
        <v>Q</v>
      </c>
      <c r="K52" s="109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H</v>
      </c>
      <c r="AY52" s="9">
        <v>306</v>
      </c>
      <c r="AZ52" s="110" t="str">
        <f>VLOOKUP(B52,Classification!A:D,2,0)</f>
        <v>A</v>
      </c>
      <c r="BA52" s="98" t="str">
        <f>VLOOKUP(B52,Classification!A:D,4,0)</f>
        <v>Adenosine</v>
      </c>
      <c r="BB52" s="36" t="b">
        <f t="shared" si="196"/>
        <v>1</v>
      </c>
      <c r="BC52" s="109">
        <f t="shared" si="197"/>
        <v>263</v>
      </c>
      <c r="BD52" s="13" t="s">
        <v>23</v>
      </c>
      <c r="BE52" s="9" t="s">
        <v>1381</v>
      </c>
      <c r="BF52" s="120">
        <v>2.35</v>
      </c>
      <c r="BG52" s="51" t="s">
        <v>1</v>
      </c>
      <c r="BH52" s="51" t="s">
        <v>1</v>
      </c>
      <c r="BJ52" s="111" t="s">
        <v>1293</v>
      </c>
      <c r="BK52" s="112" t="s">
        <v>1293</v>
      </c>
      <c r="BL52" s="112" t="s">
        <v>1293</v>
      </c>
      <c r="BM52" s="112" t="s">
        <v>1293</v>
      </c>
      <c r="BN52" s="112" t="s">
        <v>1293</v>
      </c>
      <c r="BO52" s="112" t="s">
        <v>1293</v>
      </c>
      <c r="BP52" s="112" t="s">
        <v>1293</v>
      </c>
      <c r="BQ52" s="112" t="s">
        <v>1293</v>
      </c>
      <c r="BR52" s="112" t="s">
        <v>1293</v>
      </c>
      <c r="BS52" s="112" t="s">
        <v>1293</v>
      </c>
      <c r="BT52" s="112" t="s">
        <v>1293</v>
      </c>
      <c r="BU52" s="112" t="s">
        <v>1293</v>
      </c>
      <c r="BV52" s="111">
        <f t="shared" si="198"/>
        <v>1</v>
      </c>
      <c r="BW52" s="113">
        <f t="shared" si="199"/>
        <v>35</v>
      </c>
      <c r="BX52" s="114">
        <f t="shared" si="200"/>
        <v>39</v>
      </c>
      <c r="BY52" s="113">
        <f t="shared" si="201"/>
        <v>70</v>
      </c>
      <c r="BZ52" s="114">
        <f t="shared" si="202"/>
        <v>73</v>
      </c>
      <c r="CA52" s="113">
        <f t="shared" si="203"/>
        <v>109</v>
      </c>
      <c r="CB52" s="114">
        <f t="shared" si="204"/>
        <v>117</v>
      </c>
      <c r="CC52" s="113">
        <f t="shared" si="205"/>
        <v>166</v>
      </c>
      <c r="CD52" s="114">
        <f t="shared" si="206"/>
        <v>173</v>
      </c>
      <c r="CE52" s="113">
        <f t="shared" si="207"/>
        <v>219</v>
      </c>
      <c r="CF52" s="114">
        <f t="shared" si="208"/>
        <v>266</v>
      </c>
      <c r="CG52" s="113">
        <f t="shared" si="209"/>
        <v>292</v>
      </c>
      <c r="CH52" s="111">
        <f t="shared" si="210"/>
        <v>34</v>
      </c>
      <c r="CI52" s="113">
        <f t="shared" si="211"/>
        <v>38</v>
      </c>
      <c r="CJ52" s="114">
        <f t="shared" si="212"/>
        <v>69</v>
      </c>
      <c r="CK52" s="114">
        <f t="shared" si="213"/>
        <v>72</v>
      </c>
      <c r="CL52" s="114">
        <f t="shared" si="214"/>
        <v>108</v>
      </c>
      <c r="CM52" s="114">
        <f t="shared" si="215"/>
        <v>116</v>
      </c>
      <c r="CN52" s="114">
        <f t="shared" si="216"/>
        <v>142</v>
      </c>
      <c r="CO52" s="114">
        <f t="shared" si="217"/>
        <v>168</v>
      </c>
      <c r="CP52" s="114">
        <f t="shared" si="218"/>
        <v>208</v>
      </c>
      <c r="CQ52" s="114">
        <f t="shared" si="219"/>
        <v>259</v>
      </c>
      <c r="CR52" s="114">
        <f t="shared" si="220"/>
        <v>291</v>
      </c>
      <c r="CS52" s="114">
        <f t="shared" si="221"/>
        <v>306</v>
      </c>
      <c r="CT52" s="109">
        <f t="shared" si="222"/>
        <v>1</v>
      </c>
    </row>
    <row r="53" spans="1:1029" s="12" customFormat="1" x14ac:dyDescent="0.2">
      <c r="A53" s="9" t="str">
        <f t="shared" si="195"/>
        <v>aa2ar_human_5OLG</v>
      </c>
      <c r="B53" s="9" t="s">
        <v>139</v>
      </c>
      <c r="C53" s="9" t="s">
        <v>1467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09">
        <v>35</v>
      </c>
      <c r="J53" s="9" t="str">
        <f>IFERROR(MID(VLOOKUP($B53,Seqs!$A:$B,2,0),K53,1),"")</f>
        <v>Q</v>
      </c>
      <c r="K53" s="109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S</v>
      </c>
      <c r="AY53" s="9">
        <v>305</v>
      </c>
      <c r="AZ53" s="110" t="str">
        <f>VLOOKUP(B53,Classification!A:D,2,0)</f>
        <v>A</v>
      </c>
      <c r="BA53" s="98" t="str">
        <f>VLOOKUP(B53,Classification!A:D,4,0)</f>
        <v>Adenosine</v>
      </c>
      <c r="BB53" s="36" t="b">
        <f t="shared" si="196"/>
        <v>1</v>
      </c>
      <c r="BC53" s="109">
        <f t="shared" si="197"/>
        <v>262</v>
      </c>
      <c r="BD53" s="13" t="s">
        <v>23</v>
      </c>
      <c r="BE53" s="9" t="s">
        <v>1381</v>
      </c>
      <c r="BF53" s="120">
        <v>1.87</v>
      </c>
      <c r="BG53" s="51" t="s">
        <v>1</v>
      </c>
      <c r="BH53" s="51" t="s">
        <v>1</v>
      </c>
      <c r="BJ53" s="111" t="s">
        <v>1293</v>
      </c>
      <c r="BK53" s="112" t="s">
        <v>1293</v>
      </c>
      <c r="BL53" s="112" t="s">
        <v>1293</v>
      </c>
      <c r="BM53" s="112" t="s">
        <v>1293</v>
      </c>
      <c r="BN53" s="112" t="s">
        <v>1293</v>
      </c>
      <c r="BO53" s="112" t="s">
        <v>1293</v>
      </c>
      <c r="BP53" s="112" t="s">
        <v>1293</v>
      </c>
      <c r="BQ53" s="112" t="s">
        <v>1293</v>
      </c>
      <c r="BR53" s="112" t="s">
        <v>1293</v>
      </c>
      <c r="BS53" s="112" t="s">
        <v>1293</v>
      </c>
      <c r="BT53" s="112" t="s">
        <v>1293</v>
      </c>
      <c r="BU53" s="112" t="s">
        <v>1293</v>
      </c>
      <c r="BV53" s="111">
        <f t="shared" si="198"/>
        <v>1</v>
      </c>
      <c r="BW53" s="113">
        <f t="shared" si="199"/>
        <v>35</v>
      </c>
      <c r="BX53" s="114">
        <f t="shared" si="200"/>
        <v>39</v>
      </c>
      <c r="BY53" s="113">
        <f t="shared" si="201"/>
        <v>70</v>
      </c>
      <c r="BZ53" s="114">
        <f t="shared" si="202"/>
        <v>73</v>
      </c>
      <c r="CA53" s="113">
        <f t="shared" si="203"/>
        <v>109</v>
      </c>
      <c r="CB53" s="114">
        <f t="shared" si="204"/>
        <v>117</v>
      </c>
      <c r="CC53" s="113">
        <f t="shared" si="205"/>
        <v>166</v>
      </c>
      <c r="CD53" s="114">
        <f t="shared" si="206"/>
        <v>173</v>
      </c>
      <c r="CE53" s="113">
        <f t="shared" si="207"/>
        <v>219</v>
      </c>
      <c r="CF53" s="114">
        <f t="shared" si="208"/>
        <v>266</v>
      </c>
      <c r="CG53" s="113">
        <f t="shared" si="209"/>
        <v>292</v>
      </c>
      <c r="CH53" s="111">
        <f t="shared" si="210"/>
        <v>34</v>
      </c>
      <c r="CI53" s="113">
        <f t="shared" si="211"/>
        <v>38</v>
      </c>
      <c r="CJ53" s="114">
        <f t="shared" si="212"/>
        <v>69</v>
      </c>
      <c r="CK53" s="114">
        <f t="shared" si="213"/>
        <v>72</v>
      </c>
      <c r="CL53" s="114">
        <f t="shared" si="214"/>
        <v>108</v>
      </c>
      <c r="CM53" s="114">
        <f t="shared" si="215"/>
        <v>116</v>
      </c>
      <c r="CN53" s="114">
        <f t="shared" si="216"/>
        <v>142</v>
      </c>
      <c r="CO53" s="114">
        <f t="shared" si="217"/>
        <v>168</v>
      </c>
      <c r="CP53" s="114">
        <f t="shared" si="218"/>
        <v>208</v>
      </c>
      <c r="CQ53" s="114">
        <f t="shared" si="219"/>
        <v>259</v>
      </c>
      <c r="CR53" s="114">
        <f t="shared" si="220"/>
        <v>291</v>
      </c>
      <c r="CS53" s="114">
        <f t="shared" si="221"/>
        <v>305</v>
      </c>
      <c r="CT53" s="109">
        <f t="shared" si="222"/>
        <v>1</v>
      </c>
    </row>
    <row r="54" spans="1:1029" s="12" customFormat="1" x14ac:dyDescent="0.2">
      <c r="A54" s="9" t="str">
        <f t="shared" si="195"/>
        <v>aa2ar_human_5OLH</v>
      </c>
      <c r="B54" s="9" t="s">
        <v>139</v>
      </c>
      <c r="C54" s="9" t="s">
        <v>1468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09">
        <v>35</v>
      </c>
      <c r="J54" s="9" t="str">
        <f>IFERROR(MID(VLOOKUP($B54,Seqs!$A:$B,2,0),K54,1),"")</f>
        <v>Q</v>
      </c>
      <c r="K54" s="109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S</v>
      </c>
      <c r="AY54" s="9">
        <v>305</v>
      </c>
      <c r="AZ54" s="110" t="str">
        <f>VLOOKUP(B54,Classification!A:D,2,0)</f>
        <v>A</v>
      </c>
      <c r="BA54" s="98" t="str">
        <f>VLOOKUP(B54,Classification!A:D,4,0)</f>
        <v>Adenosine</v>
      </c>
      <c r="BB54" s="36" t="b">
        <f t="shared" si="196"/>
        <v>1</v>
      </c>
      <c r="BC54" s="109">
        <f t="shared" si="197"/>
        <v>262</v>
      </c>
      <c r="BD54" s="13" t="s">
        <v>23</v>
      </c>
      <c r="BE54" s="9" t="s">
        <v>1381</v>
      </c>
      <c r="BF54" s="120">
        <v>2.6</v>
      </c>
      <c r="BG54" s="51" t="s">
        <v>1</v>
      </c>
      <c r="BH54" s="51" t="s">
        <v>1</v>
      </c>
      <c r="BJ54" s="111" t="s">
        <v>1293</v>
      </c>
      <c r="BK54" s="112" t="s">
        <v>1293</v>
      </c>
      <c r="BL54" s="112" t="s">
        <v>1293</v>
      </c>
      <c r="BM54" s="112" t="s">
        <v>1293</v>
      </c>
      <c r="BN54" s="112" t="s">
        <v>1293</v>
      </c>
      <c r="BO54" s="112" t="s">
        <v>1293</v>
      </c>
      <c r="BP54" s="112" t="s">
        <v>1293</v>
      </c>
      <c r="BQ54" s="112" t="s">
        <v>1293</v>
      </c>
      <c r="BR54" s="112" t="s">
        <v>1293</v>
      </c>
      <c r="BS54" s="112" t="s">
        <v>1293</v>
      </c>
      <c r="BT54" s="112" t="s">
        <v>1293</v>
      </c>
      <c r="BU54" s="112" t="s">
        <v>1293</v>
      </c>
      <c r="BV54" s="111">
        <f t="shared" si="198"/>
        <v>1</v>
      </c>
      <c r="BW54" s="113">
        <f t="shared" si="199"/>
        <v>35</v>
      </c>
      <c r="BX54" s="114">
        <f t="shared" si="200"/>
        <v>39</v>
      </c>
      <c r="BY54" s="113">
        <f t="shared" si="201"/>
        <v>70</v>
      </c>
      <c r="BZ54" s="114">
        <f t="shared" si="202"/>
        <v>73</v>
      </c>
      <c r="CA54" s="113">
        <f t="shared" si="203"/>
        <v>109</v>
      </c>
      <c r="CB54" s="114">
        <f t="shared" si="204"/>
        <v>117</v>
      </c>
      <c r="CC54" s="113">
        <f t="shared" si="205"/>
        <v>166</v>
      </c>
      <c r="CD54" s="114">
        <f t="shared" si="206"/>
        <v>173</v>
      </c>
      <c r="CE54" s="113">
        <f t="shared" si="207"/>
        <v>219</v>
      </c>
      <c r="CF54" s="114">
        <f t="shared" si="208"/>
        <v>266</v>
      </c>
      <c r="CG54" s="113">
        <f t="shared" si="209"/>
        <v>292</v>
      </c>
      <c r="CH54" s="111">
        <f t="shared" si="210"/>
        <v>34</v>
      </c>
      <c r="CI54" s="113">
        <f t="shared" si="211"/>
        <v>38</v>
      </c>
      <c r="CJ54" s="114">
        <f t="shared" si="212"/>
        <v>69</v>
      </c>
      <c r="CK54" s="114">
        <f t="shared" si="213"/>
        <v>72</v>
      </c>
      <c r="CL54" s="114">
        <f t="shared" si="214"/>
        <v>108</v>
      </c>
      <c r="CM54" s="114">
        <f t="shared" si="215"/>
        <v>116</v>
      </c>
      <c r="CN54" s="114">
        <f t="shared" si="216"/>
        <v>142</v>
      </c>
      <c r="CO54" s="114">
        <f t="shared" si="217"/>
        <v>168</v>
      </c>
      <c r="CP54" s="114">
        <f t="shared" si="218"/>
        <v>208</v>
      </c>
      <c r="CQ54" s="114">
        <f t="shared" si="219"/>
        <v>259</v>
      </c>
      <c r="CR54" s="114">
        <f t="shared" si="220"/>
        <v>291</v>
      </c>
      <c r="CS54" s="114">
        <f t="shared" si="221"/>
        <v>305</v>
      </c>
      <c r="CT54" s="109">
        <f t="shared" si="222"/>
        <v>1</v>
      </c>
    </row>
    <row r="55" spans="1:1029" s="12" customFormat="1" x14ac:dyDescent="0.2">
      <c r="A55" s="9" t="str">
        <f t="shared" si="195"/>
        <v>aa2ar_human_5OLO</v>
      </c>
      <c r="B55" s="9" t="s">
        <v>139</v>
      </c>
      <c r="C55" s="9" t="s">
        <v>1469</v>
      </c>
      <c r="D55" s="9" t="str">
        <f>IFERROR(MID(VLOOKUP($B55,Seqs!$A:$B,2,0),E55,1),"")</f>
        <v>M</v>
      </c>
      <c r="E55" s="9">
        <v>1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09">
        <v>35</v>
      </c>
      <c r="J55" s="9" t="str">
        <f>IFERROR(MID(VLOOKUP($B55,Seqs!$A:$B,2,0),K55,1),"")</f>
        <v>Q</v>
      </c>
      <c r="K55" s="109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G</v>
      </c>
      <c r="O55" s="9">
        <v>69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L</v>
      </c>
      <c r="AM55" s="9">
        <v>208</v>
      </c>
      <c r="AN55" s="9" t="str">
        <f>IFERROR(MID(VLOOKUP($B55,Seqs!$A:$B,2,0),AO55,1),"")</f>
        <v>E</v>
      </c>
      <c r="AO55" s="9">
        <v>219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S</v>
      </c>
      <c r="AY55" s="9">
        <v>305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si="196"/>
        <v>1</v>
      </c>
      <c r="BC55" s="109">
        <f t="shared" si="197"/>
        <v>262</v>
      </c>
      <c r="BD55" s="13" t="s">
        <v>23</v>
      </c>
      <c r="BE55" s="9" t="s">
        <v>1381</v>
      </c>
      <c r="BF55" s="120">
        <v>3.1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si="198"/>
        <v>1</v>
      </c>
      <c r="BW55" s="113">
        <f t="shared" si="199"/>
        <v>35</v>
      </c>
      <c r="BX55" s="114">
        <f t="shared" si="200"/>
        <v>39</v>
      </c>
      <c r="BY55" s="113">
        <f t="shared" si="201"/>
        <v>70</v>
      </c>
      <c r="BZ55" s="114">
        <f t="shared" si="202"/>
        <v>73</v>
      </c>
      <c r="CA55" s="113">
        <f t="shared" si="203"/>
        <v>109</v>
      </c>
      <c r="CB55" s="114">
        <f t="shared" si="204"/>
        <v>117</v>
      </c>
      <c r="CC55" s="113">
        <f t="shared" si="205"/>
        <v>166</v>
      </c>
      <c r="CD55" s="114">
        <f t="shared" si="206"/>
        <v>173</v>
      </c>
      <c r="CE55" s="113">
        <f t="shared" si="207"/>
        <v>219</v>
      </c>
      <c r="CF55" s="114">
        <f t="shared" si="208"/>
        <v>266</v>
      </c>
      <c r="CG55" s="113">
        <f t="shared" si="209"/>
        <v>292</v>
      </c>
      <c r="CH55" s="111">
        <f t="shared" si="210"/>
        <v>34</v>
      </c>
      <c r="CI55" s="113">
        <f t="shared" si="211"/>
        <v>38</v>
      </c>
      <c r="CJ55" s="114">
        <f t="shared" si="212"/>
        <v>69</v>
      </c>
      <c r="CK55" s="114">
        <f t="shared" si="213"/>
        <v>72</v>
      </c>
      <c r="CL55" s="114">
        <f t="shared" si="214"/>
        <v>108</v>
      </c>
      <c r="CM55" s="114">
        <f t="shared" si="215"/>
        <v>116</v>
      </c>
      <c r="CN55" s="114">
        <f t="shared" si="216"/>
        <v>142</v>
      </c>
      <c r="CO55" s="114">
        <f t="shared" si="217"/>
        <v>168</v>
      </c>
      <c r="CP55" s="114">
        <f t="shared" si="218"/>
        <v>208</v>
      </c>
      <c r="CQ55" s="114">
        <f t="shared" si="219"/>
        <v>259</v>
      </c>
      <c r="CR55" s="114">
        <f t="shared" si="220"/>
        <v>291</v>
      </c>
      <c r="CS55" s="114">
        <f t="shared" si="221"/>
        <v>305</v>
      </c>
      <c r="CT55" s="109">
        <f t="shared" si="222"/>
        <v>1</v>
      </c>
    </row>
    <row r="56" spans="1:1029" s="12" customFormat="1" x14ac:dyDescent="0.2">
      <c r="A56" s="9" t="str">
        <f t="shared" si="195"/>
        <v>aa2ar_human_5OLV</v>
      </c>
      <c r="B56" s="9" t="s">
        <v>139</v>
      </c>
      <c r="C56" s="9" t="s">
        <v>1470</v>
      </c>
      <c r="D56" s="9" t="str">
        <f>IFERROR(MID(VLOOKUP($B56,Seqs!$A:$B,2,0),E56,1),"")</f>
        <v>M</v>
      </c>
      <c r="E56" s="9">
        <v>1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09">
        <v>35</v>
      </c>
      <c r="J56" s="9" t="str">
        <f>IFERROR(MID(VLOOKUP($B56,Seqs!$A:$B,2,0),K56,1),"")</f>
        <v>Q</v>
      </c>
      <c r="K56" s="109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G</v>
      </c>
      <c r="O56" s="9">
        <v>69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L</v>
      </c>
      <c r="AM56" s="9">
        <v>208</v>
      </c>
      <c r="AN56" s="9" t="str">
        <f>IFERROR(MID(VLOOKUP($B56,Seqs!$A:$B,2,0),AO56,1),"")</f>
        <v>E</v>
      </c>
      <c r="AO56" s="9">
        <v>219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S</v>
      </c>
      <c r="AY56" s="9">
        <v>305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si="196"/>
        <v>1</v>
      </c>
      <c r="BC56" s="109">
        <f t="shared" si="197"/>
        <v>262</v>
      </c>
      <c r="BD56" s="13" t="s">
        <v>23</v>
      </c>
      <c r="BE56" s="9" t="s">
        <v>1381</v>
      </c>
      <c r="BF56" s="120">
        <v>2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si="198"/>
        <v>1</v>
      </c>
      <c r="BW56" s="113">
        <f t="shared" si="199"/>
        <v>35</v>
      </c>
      <c r="BX56" s="114">
        <f t="shared" si="200"/>
        <v>39</v>
      </c>
      <c r="BY56" s="113">
        <f t="shared" si="201"/>
        <v>70</v>
      </c>
      <c r="BZ56" s="114">
        <f t="shared" si="202"/>
        <v>73</v>
      </c>
      <c r="CA56" s="113">
        <f t="shared" si="203"/>
        <v>109</v>
      </c>
      <c r="CB56" s="114">
        <f t="shared" si="204"/>
        <v>117</v>
      </c>
      <c r="CC56" s="113">
        <f t="shared" si="205"/>
        <v>166</v>
      </c>
      <c r="CD56" s="114">
        <f t="shared" si="206"/>
        <v>173</v>
      </c>
      <c r="CE56" s="113">
        <f t="shared" si="207"/>
        <v>219</v>
      </c>
      <c r="CF56" s="114">
        <f t="shared" si="208"/>
        <v>266</v>
      </c>
      <c r="CG56" s="113">
        <f t="shared" si="209"/>
        <v>292</v>
      </c>
      <c r="CH56" s="111">
        <f t="shared" si="210"/>
        <v>34</v>
      </c>
      <c r="CI56" s="113">
        <f t="shared" si="211"/>
        <v>38</v>
      </c>
      <c r="CJ56" s="114">
        <f t="shared" si="212"/>
        <v>69</v>
      </c>
      <c r="CK56" s="114">
        <f t="shared" si="213"/>
        <v>72</v>
      </c>
      <c r="CL56" s="114">
        <f t="shared" si="214"/>
        <v>108</v>
      </c>
      <c r="CM56" s="114">
        <f t="shared" si="215"/>
        <v>116</v>
      </c>
      <c r="CN56" s="114">
        <f t="shared" si="216"/>
        <v>142</v>
      </c>
      <c r="CO56" s="114">
        <f t="shared" si="217"/>
        <v>168</v>
      </c>
      <c r="CP56" s="114">
        <f t="shared" si="218"/>
        <v>208</v>
      </c>
      <c r="CQ56" s="114">
        <f t="shared" si="219"/>
        <v>259</v>
      </c>
      <c r="CR56" s="114">
        <f t="shared" si="220"/>
        <v>291</v>
      </c>
      <c r="CS56" s="114">
        <f t="shared" si="221"/>
        <v>305</v>
      </c>
      <c r="CT56" s="109">
        <f t="shared" si="222"/>
        <v>1</v>
      </c>
    </row>
    <row r="57" spans="1:1029" s="12" customFormat="1" x14ac:dyDescent="0.2">
      <c r="A57" s="9" t="str">
        <f t="shared" si="195"/>
        <v>aa2ar_human_5OLZ</v>
      </c>
      <c r="B57" s="9" t="s">
        <v>139</v>
      </c>
      <c r="C57" s="9" t="s">
        <v>1471</v>
      </c>
      <c r="D57" s="9" t="str">
        <f>IFERROR(MID(VLOOKUP($B57,Seqs!$A:$B,2,0),E57,1),"")</f>
        <v>M</v>
      </c>
      <c r="E57" s="9">
        <v>1</v>
      </c>
      <c r="F57" s="9" t="str">
        <f>IFERROR(MID(VLOOKUP($B57,Seqs!$A:$B,2,0),G57,1),"")</f>
        <v>N</v>
      </c>
      <c r="G57" s="9">
        <v>34</v>
      </c>
      <c r="H57" s="9" t="str">
        <f>IFERROR(MID(VLOOKUP($B57,Seqs!$A:$B,2,0),I57,1),"")</f>
        <v>S</v>
      </c>
      <c r="I57" s="109">
        <v>35</v>
      </c>
      <c r="J57" s="9" t="str">
        <f>IFERROR(MID(VLOOKUP($B57,Seqs!$A:$B,2,0),K57,1),"")</f>
        <v>Q</v>
      </c>
      <c r="K57" s="109">
        <v>38</v>
      </c>
      <c r="L57" s="9" t="str">
        <f>IFERROR(MID(VLOOKUP($B57,Seqs!$A:$B,2,0),M57,1),"")</f>
        <v>N</v>
      </c>
      <c r="M57" s="9">
        <v>39</v>
      </c>
      <c r="N57" s="9" t="str">
        <f>IFERROR(MID(VLOOKUP($B57,Seqs!$A:$B,2,0),O57,1),"")</f>
        <v>G</v>
      </c>
      <c r="O57" s="9">
        <v>69</v>
      </c>
      <c r="P57" s="9" t="str">
        <f>IFERROR(MID(VLOOKUP($B57,Seqs!$A:$B,2,0),Q57,1),"")</f>
        <v>F</v>
      </c>
      <c r="Q57" s="9">
        <v>70</v>
      </c>
      <c r="R57" s="9" t="str">
        <f>IFERROR(MID(VLOOKUP($B57,Seqs!$A:$B,2,0),S57,1),"")</f>
        <v>A</v>
      </c>
      <c r="S57" s="9">
        <v>72</v>
      </c>
      <c r="T57" s="9" t="str">
        <f>IFERROR(MID(VLOOKUP($B57,Seqs!$A:$B,2,0),U57,1),"")</f>
        <v>A</v>
      </c>
      <c r="U57" s="9">
        <v>73</v>
      </c>
      <c r="V57" s="9" t="str">
        <f>IFERROR(MID(VLOOKUP($B57,Seqs!$A:$B,2,0),W57,1),"")</f>
        <v>I</v>
      </c>
      <c r="W57" s="9">
        <v>108</v>
      </c>
      <c r="X57" s="9" t="str">
        <f>IFERROR(MID(VLOOKUP($B57,Seqs!$A:$B,2,0),Y57,1),"")</f>
        <v>P</v>
      </c>
      <c r="Y57" s="9">
        <v>109</v>
      </c>
      <c r="Z57" s="9" t="str">
        <f>IFERROR(MID(VLOOKUP($B57,Seqs!$A:$B,2,0),AA57,1),"")</f>
        <v>V</v>
      </c>
      <c r="AA57" s="9">
        <v>116</v>
      </c>
      <c r="AB57" s="9" t="str">
        <f>IFERROR(MID(VLOOKUP($B57,Seqs!$A:$B,2,0),AC57,1),"")</f>
        <v>T</v>
      </c>
      <c r="AC57" s="9">
        <v>117</v>
      </c>
      <c r="AD57" s="9" t="str">
        <f>IFERROR(MID(VLOOKUP($B57,Seqs!$A:$B,2,0),AE57,1),"")</f>
        <v>G</v>
      </c>
      <c r="AE57" s="9">
        <v>142</v>
      </c>
      <c r="AF57" s="9" t="str">
        <f>IFERROR(MID(VLOOKUP($B57,Seqs!$A:$B,2,0),AG57,1),"")</f>
        <v>C</v>
      </c>
      <c r="AG57" s="9">
        <v>166</v>
      </c>
      <c r="AH57" s="9" t="str">
        <f>IFERROR(MID(VLOOKUP($B57,Seqs!$A:$B,2,0),AI57,1),"")</f>
        <v>F</v>
      </c>
      <c r="AI57" s="9">
        <v>168</v>
      </c>
      <c r="AJ57" s="9" t="str">
        <f>IFERROR(MID(VLOOKUP($B57,Seqs!$A:$B,2,0),AK57,1),"")</f>
        <v>P</v>
      </c>
      <c r="AK57" s="9">
        <v>173</v>
      </c>
      <c r="AL57" s="9" t="str">
        <f>IFERROR(MID(VLOOKUP($B57,Seqs!$A:$B,2,0),AM57,1),"")</f>
        <v>L</v>
      </c>
      <c r="AM57" s="9">
        <v>208</v>
      </c>
      <c r="AN57" s="9" t="str">
        <f>IFERROR(MID(VLOOKUP($B57,Seqs!$A:$B,2,0),AO57,1),"")</f>
        <v>E</v>
      </c>
      <c r="AO57" s="9">
        <v>219</v>
      </c>
      <c r="AP57" s="9" t="str">
        <f>IFERROR(MID(VLOOKUP($B57,Seqs!$A:$B,2,0),AQ57,1),"")</f>
        <v>C</v>
      </c>
      <c r="AQ57" s="9">
        <v>259</v>
      </c>
      <c r="AR57" s="9" t="str">
        <f>IFERROR(MID(VLOOKUP($B57,Seqs!$A:$B,2,0),AS57,1),"")</f>
        <v>P</v>
      </c>
      <c r="AS57" s="9">
        <v>266</v>
      </c>
      <c r="AT57" s="9" t="str">
        <f>IFERROR(MID(VLOOKUP($B57,Seqs!$A:$B,2,0),AU57,1),"")</f>
        <v>R</v>
      </c>
      <c r="AU57" s="9">
        <v>291</v>
      </c>
      <c r="AV57" s="9" t="str">
        <f>IFERROR(MID(VLOOKUP($B57,Seqs!$A:$B,2,0),AW57,1),"")</f>
        <v>I</v>
      </c>
      <c r="AW57" s="9">
        <v>292</v>
      </c>
      <c r="AX57" s="9" t="str">
        <f>IFERROR(MID(VLOOKUP($B57,Seqs!$A:$B,2,0),AY57,1),"")</f>
        <v>S</v>
      </c>
      <c r="AY57" s="9">
        <v>305</v>
      </c>
      <c r="AZ57" s="110" t="str">
        <f>VLOOKUP(B57,Classification!A:D,2,0)</f>
        <v>A</v>
      </c>
      <c r="BA57" s="98" t="str">
        <f>VLOOKUP(B57,Classification!A:D,4,0)</f>
        <v>Adenosine</v>
      </c>
      <c r="BB57" s="36" t="b">
        <f t="shared" si="196"/>
        <v>1</v>
      </c>
      <c r="BC57" s="109">
        <f t="shared" si="197"/>
        <v>262</v>
      </c>
      <c r="BD57" s="13" t="s">
        <v>23</v>
      </c>
      <c r="BE57" s="9" t="s">
        <v>1381</v>
      </c>
      <c r="BF57" s="120">
        <v>1.9</v>
      </c>
      <c r="BG57" s="51" t="s">
        <v>1</v>
      </c>
      <c r="BH57" s="51" t="s">
        <v>1</v>
      </c>
      <c r="BJ57" s="111" t="s">
        <v>1293</v>
      </c>
      <c r="BK57" s="112" t="s">
        <v>1293</v>
      </c>
      <c r="BL57" s="112" t="s">
        <v>1293</v>
      </c>
      <c r="BM57" s="112" t="s">
        <v>1293</v>
      </c>
      <c r="BN57" s="112" t="s">
        <v>1293</v>
      </c>
      <c r="BO57" s="112" t="s">
        <v>1293</v>
      </c>
      <c r="BP57" s="112" t="s">
        <v>1293</v>
      </c>
      <c r="BQ57" s="112" t="s">
        <v>1293</v>
      </c>
      <c r="BR57" s="112" t="s">
        <v>1293</v>
      </c>
      <c r="BS57" s="112" t="s">
        <v>1293</v>
      </c>
      <c r="BT57" s="112" t="s">
        <v>1293</v>
      </c>
      <c r="BU57" s="112" t="s">
        <v>1293</v>
      </c>
      <c r="BV57" s="111">
        <f t="shared" si="198"/>
        <v>1</v>
      </c>
      <c r="BW57" s="113">
        <f t="shared" si="199"/>
        <v>35</v>
      </c>
      <c r="BX57" s="114">
        <f t="shared" si="200"/>
        <v>39</v>
      </c>
      <c r="BY57" s="113">
        <f t="shared" si="201"/>
        <v>70</v>
      </c>
      <c r="BZ57" s="114">
        <f t="shared" si="202"/>
        <v>73</v>
      </c>
      <c r="CA57" s="113">
        <f t="shared" si="203"/>
        <v>109</v>
      </c>
      <c r="CB57" s="114">
        <f t="shared" si="204"/>
        <v>117</v>
      </c>
      <c r="CC57" s="113">
        <f t="shared" si="205"/>
        <v>166</v>
      </c>
      <c r="CD57" s="114">
        <f t="shared" si="206"/>
        <v>173</v>
      </c>
      <c r="CE57" s="113">
        <f t="shared" si="207"/>
        <v>219</v>
      </c>
      <c r="CF57" s="114">
        <f t="shared" si="208"/>
        <v>266</v>
      </c>
      <c r="CG57" s="113">
        <f t="shared" si="209"/>
        <v>292</v>
      </c>
      <c r="CH57" s="111">
        <f t="shared" si="210"/>
        <v>34</v>
      </c>
      <c r="CI57" s="113">
        <f t="shared" si="211"/>
        <v>38</v>
      </c>
      <c r="CJ57" s="114">
        <f t="shared" si="212"/>
        <v>69</v>
      </c>
      <c r="CK57" s="114">
        <f t="shared" si="213"/>
        <v>72</v>
      </c>
      <c r="CL57" s="114">
        <f t="shared" si="214"/>
        <v>108</v>
      </c>
      <c r="CM57" s="114">
        <f t="shared" si="215"/>
        <v>116</v>
      </c>
      <c r="CN57" s="114">
        <f t="shared" si="216"/>
        <v>142</v>
      </c>
      <c r="CO57" s="114">
        <f t="shared" si="217"/>
        <v>168</v>
      </c>
      <c r="CP57" s="114">
        <f t="shared" si="218"/>
        <v>208</v>
      </c>
      <c r="CQ57" s="114">
        <f t="shared" si="219"/>
        <v>259</v>
      </c>
      <c r="CR57" s="114">
        <f t="shared" si="220"/>
        <v>291</v>
      </c>
      <c r="CS57" s="114">
        <f t="shared" si="221"/>
        <v>305</v>
      </c>
      <c r="CT57" s="109">
        <f t="shared" si="222"/>
        <v>1</v>
      </c>
    </row>
    <row r="58" spans="1:1029" s="12" customFormat="1" x14ac:dyDescent="0.2">
      <c r="A58" s="9" t="str">
        <f t="shared" si="195"/>
        <v>aa2ar_human_5OM1</v>
      </c>
      <c r="B58" s="9" t="s">
        <v>139</v>
      </c>
      <c r="C58" s="9" t="s">
        <v>1472</v>
      </c>
      <c r="D58" s="9" t="str">
        <f>IFERROR(MID(VLOOKUP($B58,Seqs!$A:$B,2,0),E58,1),"")</f>
        <v>M</v>
      </c>
      <c r="E58" s="9">
        <v>1</v>
      </c>
      <c r="F58" s="9" t="str">
        <f>IFERROR(MID(VLOOKUP($B58,Seqs!$A:$B,2,0),G58,1),"")</f>
        <v>N</v>
      </c>
      <c r="G58" s="9">
        <v>34</v>
      </c>
      <c r="H58" s="9" t="str">
        <f>IFERROR(MID(VLOOKUP($B58,Seqs!$A:$B,2,0),I58,1),"")</f>
        <v>S</v>
      </c>
      <c r="I58" s="109">
        <v>35</v>
      </c>
      <c r="J58" s="9" t="str">
        <f>IFERROR(MID(VLOOKUP($B58,Seqs!$A:$B,2,0),K58,1),"")</f>
        <v>Q</v>
      </c>
      <c r="K58" s="109">
        <v>38</v>
      </c>
      <c r="L58" s="9" t="str">
        <f>IFERROR(MID(VLOOKUP($B58,Seqs!$A:$B,2,0),M58,1),"")</f>
        <v>N</v>
      </c>
      <c r="M58" s="9">
        <v>39</v>
      </c>
      <c r="N58" s="9" t="str">
        <f>IFERROR(MID(VLOOKUP($B58,Seqs!$A:$B,2,0),O58,1),"")</f>
        <v>G</v>
      </c>
      <c r="O58" s="9">
        <v>69</v>
      </c>
      <c r="P58" s="9" t="str">
        <f>IFERROR(MID(VLOOKUP($B58,Seqs!$A:$B,2,0),Q58,1),"")</f>
        <v>F</v>
      </c>
      <c r="Q58" s="9">
        <v>70</v>
      </c>
      <c r="R58" s="9" t="str">
        <f>IFERROR(MID(VLOOKUP($B58,Seqs!$A:$B,2,0),S58,1),"")</f>
        <v>A</v>
      </c>
      <c r="S58" s="9">
        <v>72</v>
      </c>
      <c r="T58" s="9" t="str">
        <f>IFERROR(MID(VLOOKUP($B58,Seqs!$A:$B,2,0),U58,1),"")</f>
        <v>A</v>
      </c>
      <c r="U58" s="9">
        <v>73</v>
      </c>
      <c r="V58" s="9" t="str">
        <f>IFERROR(MID(VLOOKUP($B58,Seqs!$A:$B,2,0),W58,1),"")</f>
        <v>I</v>
      </c>
      <c r="W58" s="9">
        <v>108</v>
      </c>
      <c r="X58" s="9" t="str">
        <f>IFERROR(MID(VLOOKUP($B58,Seqs!$A:$B,2,0),Y58,1),"")</f>
        <v>P</v>
      </c>
      <c r="Y58" s="9">
        <v>109</v>
      </c>
      <c r="Z58" s="9" t="str">
        <f>IFERROR(MID(VLOOKUP($B58,Seqs!$A:$B,2,0),AA58,1),"")</f>
        <v>V</v>
      </c>
      <c r="AA58" s="9">
        <v>116</v>
      </c>
      <c r="AB58" s="9" t="str">
        <f>IFERROR(MID(VLOOKUP($B58,Seqs!$A:$B,2,0),AC58,1),"")</f>
        <v>T</v>
      </c>
      <c r="AC58" s="9">
        <v>117</v>
      </c>
      <c r="AD58" s="9" t="str">
        <f>IFERROR(MID(VLOOKUP($B58,Seqs!$A:$B,2,0),AE58,1),"")</f>
        <v>G</v>
      </c>
      <c r="AE58" s="9">
        <v>142</v>
      </c>
      <c r="AF58" s="9" t="str">
        <f>IFERROR(MID(VLOOKUP($B58,Seqs!$A:$B,2,0),AG58,1),"")</f>
        <v>C</v>
      </c>
      <c r="AG58" s="9">
        <v>166</v>
      </c>
      <c r="AH58" s="9" t="str">
        <f>IFERROR(MID(VLOOKUP($B58,Seqs!$A:$B,2,0),AI58,1),"")</f>
        <v>F</v>
      </c>
      <c r="AI58" s="9">
        <v>168</v>
      </c>
      <c r="AJ58" s="9" t="str">
        <f>IFERROR(MID(VLOOKUP($B58,Seqs!$A:$B,2,0),AK58,1),"")</f>
        <v>P</v>
      </c>
      <c r="AK58" s="9">
        <v>173</v>
      </c>
      <c r="AL58" s="9" t="str">
        <f>IFERROR(MID(VLOOKUP($B58,Seqs!$A:$B,2,0),AM58,1),"")</f>
        <v>L</v>
      </c>
      <c r="AM58" s="9">
        <v>208</v>
      </c>
      <c r="AN58" s="9" t="str">
        <f>IFERROR(MID(VLOOKUP($B58,Seqs!$A:$B,2,0),AO58,1),"")</f>
        <v>E</v>
      </c>
      <c r="AO58" s="9">
        <v>219</v>
      </c>
      <c r="AP58" s="9" t="str">
        <f>IFERROR(MID(VLOOKUP($B58,Seqs!$A:$B,2,0),AQ58,1),"")</f>
        <v>C</v>
      </c>
      <c r="AQ58" s="9">
        <v>259</v>
      </c>
      <c r="AR58" s="9" t="str">
        <f>IFERROR(MID(VLOOKUP($B58,Seqs!$A:$B,2,0),AS58,1),"")</f>
        <v>P</v>
      </c>
      <c r="AS58" s="9">
        <v>266</v>
      </c>
      <c r="AT58" s="9" t="str">
        <f>IFERROR(MID(VLOOKUP($B58,Seqs!$A:$B,2,0),AU58,1),"")</f>
        <v>R</v>
      </c>
      <c r="AU58" s="9">
        <v>291</v>
      </c>
      <c r="AV58" s="9" t="str">
        <f>IFERROR(MID(VLOOKUP($B58,Seqs!$A:$B,2,0),AW58,1),"")</f>
        <v>I</v>
      </c>
      <c r="AW58" s="9">
        <v>292</v>
      </c>
      <c r="AX58" s="9" t="str">
        <f>IFERROR(MID(VLOOKUP($B58,Seqs!$A:$B,2,0),AY58,1),"")</f>
        <v>S</v>
      </c>
      <c r="AY58" s="9">
        <v>305</v>
      </c>
      <c r="AZ58" s="110" t="str">
        <f>VLOOKUP(B58,Classification!A:D,2,0)</f>
        <v>A</v>
      </c>
      <c r="BA58" s="98" t="str">
        <f>VLOOKUP(B58,Classification!A:D,4,0)</f>
        <v>Adenosine</v>
      </c>
      <c r="BB58" s="36" t="b">
        <f t="shared" si="196"/>
        <v>1</v>
      </c>
      <c r="BC58" s="109">
        <f t="shared" si="197"/>
        <v>262</v>
      </c>
      <c r="BD58" s="13" t="s">
        <v>23</v>
      </c>
      <c r="BE58" s="9" t="s">
        <v>1381</v>
      </c>
      <c r="BF58" s="120">
        <v>2.1</v>
      </c>
      <c r="BG58" s="51" t="s">
        <v>1</v>
      </c>
      <c r="BH58" s="51" t="s">
        <v>1</v>
      </c>
      <c r="BJ58" s="111" t="s">
        <v>1293</v>
      </c>
      <c r="BK58" s="112" t="s">
        <v>1293</v>
      </c>
      <c r="BL58" s="112" t="s">
        <v>1293</v>
      </c>
      <c r="BM58" s="112" t="s">
        <v>1293</v>
      </c>
      <c r="BN58" s="112" t="s">
        <v>1293</v>
      </c>
      <c r="BO58" s="112" t="s">
        <v>1293</v>
      </c>
      <c r="BP58" s="112" t="s">
        <v>1293</v>
      </c>
      <c r="BQ58" s="112" t="s">
        <v>1293</v>
      </c>
      <c r="BR58" s="112" t="s">
        <v>1293</v>
      </c>
      <c r="BS58" s="112" t="s">
        <v>1293</v>
      </c>
      <c r="BT58" s="112" t="s">
        <v>1293</v>
      </c>
      <c r="BU58" s="112" t="s">
        <v>1293</v>
      </c>
      <c r="BV58" s="111">
        <f t="shared" si="198"/>
        <v>1</v>
      </c>
      <c r="BW58" s="113">
        <f t="shared" si="199"/>
        <v>35</v>
      </c>
      <c r="BX58" s="114">
        <f t="shared" si="200"/>
        <v>39</v>
      </c>
      <c r="BY58" s="113">
        <f t="shared" si="201"/>
        <v>70</v>
      </c>
      <c r="BZ58" s="114">
        <f t="shared" si="202"/>
        <v>73</v>
      </c>
      <c r="CA58" s="113">
        <f t="shared" si="203"/>
        <v>109</v>
      </c>
      <c r="CB58" s="114">
        <f t="shared" si="204"/>
        <v>117</v>
      </c>
      <c r="CC58" s="113">
        <f t="shared" si="205"/>
        <v>166</v>
      </c>
      <c r="CD58" s="114">
        <f t="shared" si="206"/>
        <v>173</v>
      </c>
      <c r="CE58" s="113">
        <f t="shared" si="207"/>
        <v>219</v>
      </c>
      <c r="CF58" s="114">
        <f t="shared" si="208"/>
        <v>266</v>
      </c>
      <c r="CG58" s="113">
        <f t="shared" si="209"/>
        <v>292</v>
      </c>
      <c r="CH58" s="111">
        <f t="shared" si="210"/>
        <v>34</v>
      </c>
      <c r="CI58" s="113">
        <f t="shared" si="211"/>
        <v>38</v>
      </c>
      <c r="CJ58" s="114">
        <f t="shared" si="212"/>
        <v>69</v>
      </c>
      <c r="CK58" s="114">
        <f t="shared" si="213"/>
        <v>72</v>
      </c>
      <c r="CL58" s="114">
        <f t="shared" si="214"/>
        <v>108</v>
      </c>
      <c r="CM58" s="114">
        <f t="shared" si="215"/>
        <v>116</v>
      </c>
      <c r="CN58" s="114">
        <f t="shared" si="216"/>
        <v>142</v>
      </c>
      <c r="CO58" s="114">
        <f t="shared" si="217"/>
        <v>168</v>
      </c>
      <c r="CP58" s="114">
        <f t="shared" si="218"/>
        <v>208</v>
      </c>
      <c r="CQ58" s="114">
        <f t="shared" si="219"/>
        <v>259</v>
      </c>
      <c r="CR58" s="114">
        <f t="shared" si="220"/>
        <v>291</v>
      </c>
      <c r="CS58" s="114">
        <f t="shared" si="221"/>
        <v>305</v>
      </c>
      <c r="CT58" s="109">
        <f t="shared" si="222"/>
        <v>1</v>
      </c>
    </row>
    <row r="59" spans="1:1029" s="12" customFormat="1" x14ac:dyDescent="0.2">
      <c r="A59" s="9" t="str">
        <f t="shared" si="195"/>
        <v>aa2ar_human_5OM4</v>
      </c>
      <c r="B59" s="9" t="s">
        <v>139</v>
      </c>
      <c r="C59" s="9" t="s">
        <v>1473</v>
      </c>
      <c r="D59" s="9" t="str">
        <f>IFERROR(MID(VLOOKUP($B59,Seqs!$A:$B,2,0),E59,1),"")</f>
        <v>M</v>
      </c>
      <c r="E59" s="9">
        <v>1</v>
      </c>
      <c r="F59" s="9" t="str">
        <f>IFERROR(MID(VLOOKUP($B59,Seqs!$A:$B,2,0),G59,1),"")</f>
        <v>N</v>
      </c>
      <c r="G59" s="9">
        <v>34</v>
      </c>
      <c r="H59" s="9" t="str">
        <f>IFERROR(MID(VLOOKUP($B59,Seqs!$A:$B,2,0),I59,1),"")</f>
        <v>S</v>
      </c>
      <c r="I59" s="109">
        <v>35</v>
      </c>
      <c r="J59" s="9" t="str">
        <f>IFERROR(MID(VLOOKUP($B59,Seqs!$A:$B,2,0),K59,1),"")</f>
        <v>Q</v>
      </c>
      <c r="K59" s="109">
        <v>38</v>
      </c>
      <c r="L59" s="9" t="str">
        <f>IFERROR(MID(VLOOKUP($B59,Seqs!$A:$B,2,0),M59,1),"")</f>
        <v>N</v>
      </c>
      <c r="M59" s="9">
        <v>39</v>
      </c>
      <c r="N59" s="9" t="str">
        <f>IFERROR(MID(VLOOKUP($B59,Seqs!$A:$B,2,0),O59,1),"")</f>
        <v>G</v>
      </c>
      <c r="O59" s="9">
        <v>69</v>
      </c>
      <c r="P59" s="9" t="str">
        <f>IFERROR(MID(VLOOKUP($B59,Seqs!$A:$B,2,0),Q59,1),"")</f>
        <v>F</v>
      </c>
      <c r="Q59" s="9">
        <v>70</v>
      </c>
      <c r="R59" s="9" t="str">
        <f>IFERROR(MID(VLOOKUP($B59,Seqs!$A:$B,2,0),S59,1),"")</f>
        <v>A</v>
      </c>
      <c r="S59" s="9">
        <v>72</v>
      </c>
      <c r="T59" s="9" t="str">
        <f>IFERROR(MID(VLOOKUP($B59,Seqs!$A:$B,2,0),U59,1),"")</f>
        <v>A</v>
      </c>
      <c r="U59" s="9">
        <v>73</v>
      </c>
      <c r="V59" s="9" t="str">
        <f>IFERROR(MID(VLOOKUP($B59,Seqs!$A:$B,2,0),W59,1),"")</f>
        <v>I</v>
      </c>
      <c r="W59" s="9">
        <v>108</v>
      </c>
      <c r="X59" s="9" t="str">
        <f>IFERROR(MID(VLOOKUP($B59,Seqs!$A:$B,2,0),Y59,1),"")</f>
        <v>P</v>
      </c>
      <c r="Y59" s="9">
        <v>109</v>
      </c>
      <c r="Z59" s="9" t="str">
        <f>IFERROR(MID(VLOOKUP($B59,Seqs!$A:$B,2,0),AA59,1),"")</f>
        <v>V</v>
      </c>
      <c r="AA59" s="9">
        <v>116</v>
      </c>
      <c r="AB59" s="9" t="str">
        <f>IFERROR(MID(VLOOKUP($B59,Seqs!$A:$B,2,0),AC59,1),"")</f>
        <v>T</v>
      </c>
      <c r="AC59" s="9">
        <v>117</v>
      </c>
      <c r="AD59" s="9" t="str">
        <f>IFERROR(MID(VLOOKUP($B59,Seqs!$A:$B,2,0),AE59,1),"")</f>
        <v>G</v>
      </c>
      <c r="AE59" s="9">
        <v>142</v>
      </c>
      <c r="AF59" s="9" t="str">
        <f>IFERROR(MID(VLOOKUP($B59,Seqs!$A:$B,2,0),AG59,1),"")</f>
        <v>C</v>
      </c>
      <c r="AG59" s="9">
        <v>166</v>
      </c>
      <c r="AH59" s="9" t="str">
        <f>IFERROR(MID(VLOOKUP($B59,Seqs!$A:$B,2,0),AI59,1),"")</f>
        <v>F</v>
      </c>
      <c r="AI59" s="9">
        <v>168</v>
      </c>
      <c r="AJ59" s="9" t="str">
        <f>IFERROR(MID(VLOOKUP($B59,Seqs!$A:$B,2,0),AK59,1),"")</f>
        <v>P</v>
      </c>
      <c r="AK59" s="9">
        <v>173</v>
      </c>
      <c r="AL59" s="9" t="str">
        <f>IFERROR(MID(VLOOKUP($B59,Seqs!$A:$B,2,0),AM59,1),"")</f>
        <v>L</v>
      </c>
      <c r="AM59" s="9">
        <v>208</v>
      </c>
      <c r="AN59" s="9" t="str">
        <f>IFERROR(MID(VLOOKUP($B59,Seqs!$A:$B,2,0),AO59,1),"")</f>
        <v>E</v>
      </c>
      <c r="AO59" s="9">
        <v>219</v>
      </c>
      <c r="AP59" s="9" t="str">
        <f>IFERROR(MID(VLOOKUP($B59,Seqs!$A:$B,2,0),AQ59,1),"")</f>
        <v>C</v>
      </c>
      <c r="AQ59" s="9">
        <v>259</v>
      </c>
      <c r="AR59" s="9" t="str">
        <f>IFERROR(MID(VLOOKUP($B59,Seqs!$A:$B,2,0),AS59,1),"")</f>
        <v>P</v>
      </c>
      <c r="AS59" s="9">
        <v>266</v>
      </c>
      <c r="AT59" s="9" t="str">
        <f>IFERROR(MID(VLOOKUP($B59,Seqs!$A:$B,2,0),AU59,1),"")</f>
        <v>R</v>
      </c>
      <c r="AU59" s="9">
        <v>291</v>
      </c>
      <c r="AV59" s="9" t="str">
        <f>IFERROR(MID(VLOOKUP($B59,Seqs!$A:$B,2,0),AW59,1),"")</f>
        <v>I</v>
      </c>
      <c r="AW59" s="9">
        <v>292</v>
      </c>
      <c r="AX59" s="9" t="str">
        <f>IFERROR(MID(VLOOKUP($B59,Seqs!$A:$B,2,0),AY59,1),"")</f>
        <v>V</v>
      </c>
      <c r="AY59" s="9">
        <v>307</v>
      </c>
      <c r="AZ59" s="110" t="str">
        <f>VLOOKUP(B59,Classification!A:D,2,0)</f>
        <v>A</v>
      </c>
      <c r="BA59" s="98" t="str">
        <f>VLOOKUP(B59,Classification!A:D,4,0)</f>
        <v>Adenosine</v>
      </c>
      <c r="BB59" s="36" t="b">
        <f t="shared" si="196"/>
        <v>1</v>
      </c>
      <c r="BC59" s="109">
        <f t="shared" si="197"/>
        <v>264</v>
      </c>
      <c r="BD59" s="13" t="s">
        <v>23</v>
      </c>
      <c r="BE59" s="9" t="s">
        <v>1381</v>
      </c>
      <c r="BF59" s="120">
        <v>2</v>
      </c>
      <c r="BG59" s="51" t="s">
        <v>1</v>
      </c>
      <c r="BH59" s="51" t="s">
        <v>1</v>
      </c>
      <c r="BJ59" s="111" t="s">
        <v>1293</v>
      </c>
      <c r="BK59" s="112" t="s">
        <v>1293</v>
      </c>
      <c r="BL59" s="112" t="s">
        <v>1293</v>
      </c>
      <c r="BM59" s="112" t="s">
        <v>1293</v>
      </c>
      <c r="BN59" s="112" t="s">
        <v>1293</v>
      </c>
      <c r="BO59" s="112" t="s">
        <v>1293</v>
      </c>
      <c r="BP59" s="112" t="s">
        <v>1293</v>
      </c>
      <c r="BQ59" s="112" t="s">
        <v>1293</v>
      </c>
      <c r="BR59" s="112" t="s">
        <v>1293</v>
      </c>
      <c r="BS59" s="112" t="s">
        <v>1293</v>
      </c>
      <c r="BT59" s="112" t="s">
        <v>1293</v>
      </c>
      <c r="BU59" s="112" t="s">
        <v>1293</v>
      </c>
      <c r="BV59" s="111">
        <f t="shared" si="198"/>
        <v>1</v>
      </c>
      <c r="BW59" s="113">
        <f t="shared" si="199"/>
        <v>35</v>
      </c>
      <c r="BX59" s="114">
        <f t="shared" si="200"/>
        <v>39</v>
      </c>
      <c r="BY59" s="113">
        <f t="shared" si="201"/>
        <v>70</v>
      </c>
      <c r="BZ59" s="114">
        <f t="shared" si="202"/>
        <v>73</v>
      </c>
      <c r="CA59" s="113">
        <f t="shared" si="203"/>
        <v>109</v>
      </c>
      <c r="CB59" s="114">
        <f t="shared" si="204"/>
        <v>117</v>
      </c>
      <c r="CC59" s="113">
        <f t="shared" si="205"/>
        <v>166</v>
      </c>
      <c r="CD59" s="114">
        <f t="shared" si="206"/>
        <v>173</v>
      </c>
      <c r="CE59" s="113">
        <f t="shared" si="207"/>
        <v>219</v>
      </c>
      <c r="CF59" s="114">
        <f t="shared" si="208"/>
        <v>266</v>
      </c>
      <c r="CG59" s="113">
        <f t="shared" si="209"/>
        <v>292</v>
      </c>
      <c r="CH59" s="111">
        <f t="shared" si="210"/>
        <v>34</v>
      </c>
      <c r="CI59" s="113">
        <f t="shared" si="211"/>
        <v>38</v>
      </c>
      <c r="CJ59" s="114">
        <f t="shared" si="212"/>
        <v>69</v>
      </c>
      <c r="CK59" s="114">
        <f t="shared" si="213"/>
        <v>72</v>
      </c>
      <c r="CL59" s="114">
        <f t="shared" si="214"/>
        <v>108</v>
      </c>
      <c r="CM59" s="114">
        <f t="shared" si="215"/>
        <v>116</v>
      </c>
      <c r="CN59" s="114">
        <f t="shared" si="216"/>
        <v>142</v>
      </c>
      <c r="CO59" s="114">
        <f t="shared" si="217"/>
        <v>168</v>
      </c>
      <c r="CP59" s="114">
        <f t="shared" si="218"/>
        <v>208</v>
      </c>
      <c r="CQ59" s="114">
        <f t="shared" si="219"/>
        <v>259</v>
      </c>
      <c r="CR59" s="114">
        <f t="shared" si="220"/>
        <v>291</v>
      </c>
      <c r="CS59" s="114">
        <f t="shared" si="221"/>
        <v>307</v>
      </c>
      <c r="CT59" s="109">
        <f t="shared" si="222"/>
        <v>1</v>
      </c>
    </row>
    <row r="60" spans="1:1029" s="12" customFormat="1" x14ac:dyDescent="0.2">
      <c r="A60" s="9" t="str">
        <f t="shared" si="195"/>
        <v>aa2ar_human_6AQF</v>
      </c>
      <c r="B60" s="9" t="s">
        <v>139</v>
      </c>
      <c r="C60" s="9" t="s">
        <v>1474</v>
      </c>
      <c r="D60" s="9" t="str">
        <f>IFERROR(MID(VLOOKUP($B60,Seqs!$A:$B,2,0),E60,1),"")</f>
        <v>M</v>
      </c>
      <c r="E60" s="9">
        <v>1</v>
      </c>
      <c r="F60" s="9" t="str">
        <f>IFERROR(MID(VLOOKUP($B60,Seqs!$A:$B,2,0),G60,1),"")</f>
        <v>N</v>
      </c>
      <c r="G60" s="9">
        <v>34</v>
      </c>
      <c r="H60" s="9" t="str">
        <f>IFERROR(MID(VLOOKUP($B60,Seqs!$A:$B,2,0),I60,1),"")</f>
        <v>S</v>
      </c>
      <c r="I60" s="109">
        <v>35</v>
      </c>
      <c r="J60" s="9" t="str">
        <f>IFERROR(MID(VLOOKUP($B60,Seqs!$A:$B,2,0),K60,1),"")</f>
        <v>Q</v>
      </c>
      <c r="K60" s="109">
        <v>38</v>
      </c>
      <c r="L60" s="9" t="str">
        <f>IFERROR(MID(VLOOKUP($B60,Seqs!$A:$B,2,0),M60,1),"")</f>
        <v>N</v>
      </c>
      <c r="M60" s="9">
        <v>39</v>
      </c>
      <c r="N60" s="9" t="str">
        <f>IFERROR(MID(VLOOKUP($B60,Seqs!$A:$B,2,0),O60,1),"")</f>
        <v>G</v>
      </c>
      <c r="O60" s="9">
        <v>69</v>
      </c>
      <c r="P60" s="9" t="str">
        <f>IFERROR(MID(VLOOKUP($B60,Seqs!$A:$B,2,0),Q60,1),"")</f>
        <v>F</v>
      </c>
      <c r="Q60" s="9">
        <v>70</v>
      </c>
      <c r="R60" s="9" t="str">
        <f>IFERROR(MID(VLOOKUP($B60,Seqs!$A:$B,2,0),S60,1),"")</f>
        <v>A</v>
      </c>
      <c r="S60" s="9">
        <v>72</v>
      </c>
      <c r="T60" s="9" t="str">
        <f>IFERROR(MID(VLOOKUP($B60,Seqs!$A:$B,2,0),U60,1),"")</f>
        <v>A</v>
      </c>
      <c r="U60" s="9">
        <v>73</v>
      </c>
      <c r="V60" s="9" t="str">
        <f>IFERROR(MID(VLOOKUP($B60,Seqs!$A:$B,2,0),W60,1),"")</f>
        <v>I</v>
      </c>
      <c r="W60" s="9">
        <v>108</v>
      </c>
      <c r="X60" s="9" t="str">
        <f>IFERROR(MID(VLOOKUP($B60,Seqs!$A:$B,2,0),Y60,1),"")</f>
        <v>P</v>
      </c>
      <c r="Y60" s="9">
        <v>109</v>
      </c>
      <c r="Z60" s="9" t="str">
        <f>IFERROR(MID(VLOOKUP($B60,Seqs!$A:$B,2,0),AA60,1),"")</f>
        <v>V</v>
      </c>
      <c r="AA60" s="9">
        <v>116</v>
      </c>
      <c r="AB60" s="9" t="str">
        <f>IFERROR(MID(VLOOKUP($B60,Seqs!$A:$B,2,0),AC60,1),"")</f>
        <v>T</v>
      </c>
      <c r="AC60" s="9">
        <v>117</v>
      </c>
      <c r="AD60" s="9" t="str">
        <f>IFERROR(MID(VLOOKUP($B60,Seqs!$A:$B,2,0),AE60,1),"")</f>
        <v>G</v>
      </c>
      <c r="AE60" s="9">
        <v>142</v>
      </c>
      <c r="AF60" s="9" t="str">
        <f>IFERROR(MID(VLOOKUP($B60,Seqs!$A:$B,2,0),AG60,1),"")</f>
        <v>C</v>
      </c>
      <c r="AG60" s="9">
        <v>166</v>
      </c>
      <c r="AH60" s="9" t="str">
        <f>IFERROR(MID(VLOOKUP($B60,Seqs!$A:$B,2,0),AI60,1),"")</f>
        <v>F</v>
      </c>
      <c r="AI60" s="9">
        <v>168</v>
      </c>
      <c r="AJ60" s="9" t="str">
        <f>IFERROR(MID(VLOOKUP($B60,Seqs!$A:$B,2,0),AK60,1),"")</f>
        <v>P</v>
      </c>
      <c r="AK60" s="9">
        <v>173</v>
      </c>
      <c r="AL60" s="9" t="str">
        <f>IFERROR(MID(VLOOKUP($B60,Seqs!$A:$B,2,0),AM60,1),"")</f>
        <v>L</v>
      </c>
      <c r="AM60" s="9">
        <v>208</v>
      </c>
      <c r="AN60" s="9" t="str">
        <f>IFERROR(MID(VLOOKUP($B60,Seqs!$A:$B,2,0),AO60,1),"")</f>
        <v>E</v>
      </c>
      <c r="AO60" s="9">
        <v>219</v>
      </c>
      <c r="AP60" s="9" t="str">
        <f>IFERROR(MID(VLOOKUP($B60,Seqs!$A:$B,2,0),AQ60,1),"")</f>
        <v>C</v>
      </c>
      <c r="AQ60" s="9">
        <v>259</v>
      </c>
      <c r="AR60" s="9" t="str">
        <f>IFERROR(MID(VLOOKUP($B60,Seqs!$A:$B,2,0),AS60,1),"")</f>
        <v>P</v>
      </c>
      <c r="AS60" s="9">
        <v>266</v>
      </c>
      <c r="AT60" s="9" t="str">
        <f>IFERROR(MID(VLOOKUP($B60,Seqs!$A:$B,2,0),AU60,1),"")</f>
        <v>R</v>
      </c>
      <c r="AU60" s="9">
        <v>291</v>
      </c>
      <c r="AV60" s="9" t="str">
        <f>IFERROR(MID(VLOOKUP($B60,Seqs!$A:$B,2,0),AW60,1),"")</f>
        <v>I</v>
      </c>
      <c r="AW60" s="9">
        <v>292</v>
      </c>
      <c r="AX60" s="9" t="str">
        <f>IFERROR(MID(VLOOKUP($B60,Seqs!$A:$B,2,0),AY60,1),"")</f>
        <v>H</v>
      </c>
      <c r="AY60" s="9">
        <v>306</v>
      </c>
      <c r="AZ60" s="110" t="str">
        <f>VLOOKUP(B60,Classification!A:D,2,0)</f>
        <v>A</v>
      </c>
      <c r="BA60" s="98" t="str">
        <f>VLOOKUP(B60,Classification!A:D,4,0)</f>
        <v>Adenosine</v>
      </c>
      <c r="BB60" s="36" t="b">
        <f t="shared" si="196"/>
        <v>1</v>
      </c>
      <c r="BC60" s="109">
        <f t="shared" si="197"/>
        <v>263</v>
      </c>
      <c r="BD60" s="13" t="s">
        <v>23</v>
      </c>
      <c r="BE60" s="9" t="s">
        <v>1381</v>
      </c>
      <c r="BF60" s="120">
        <v>2.5099999999999998</v>
      </c>
      <c r="BG60" s="51" t="s">
        <v>1</v>
      </c>
      <c r="BH60" s="51" t="s">
        <v>1</v>
      </c>
      <c r="BJ60" s="111" t="s">
        <v>1293</v>
      </c>
      <c r="BK60" s="112" t="s">
        <v>1293</v>
      </c>
      <c r="BL60" s="112" t="s">
        <v>1293</v>
      </c>
      <c r="BM60" s="112" t="s">
        <v>1293</v>
      </c>
      <c r="BN60" s="112" t="s">
        <v>1293</v>
      </c>
      <c r="BO60" s="112" t="s">
        <v>1293</v>
      </c>
      <c r="BP60" s="112" t="s">
        <v>1293</v>
      </c>
      <c r="BQ60" s="112" t="s">
        <v>1293</v>
      </c>
      <c r="BR60" s="112" t="s">
        <v>1293</v>
      </c>
      <c r="BS60" s="112" t="s">
        <v>1293</v>
      </c>
      <c r="BT60" s="112" t="s">
        <v>1293</v>
      </c>
      <c r="BU60" s="112" t="s">
        <v>1293</v>
      </c>
      <c r="BV60" s="111">
        <f t="shared" si="198"/>
        <v>1</v>
      </c>
      <c r="BW60" s="113">
        <f t="shared" si="199"/>
        <v>35</v>
      </c>
      <c r="BX60" s="114">
        <f t="shared" si="200"/>
        <v>39</v>
      </c>
      <c r="BY60" s="113">
        <f t="shared" si="201"/>
        <v>70</v>
      </c>
      <c r="BZ60" s="114">
        <f t="shared" si="202"/>
        <v>73</v>
      </c>
      <c r="CA60" s="113">
        <f t="shared" si="203"/>
        <v>109</v>
      </c>
      <c r="CB60" s="114">
        <f t="shared" si="204"/>
        <v>117</v>
      </c>
      <c r="CC60" s="113">
        <f t="shared" si="205"/>
        <v>166</v>
      </c>
      <c r="CD60" s="114">
        <f t="shared" si="206"/>
        <v>173</v>
      </c>
      <c r="CE60" s="113">
        <f t="shared" si="207"/>
        <v>219</v>
      </c>
      <c r="CF60" s="114">
        <f t="shared" si="208"/>
        <v>266</v>
      </c>
      <c r="CG60" s="113">
        <f t="shared" si="209"/>
        <v>292</v>
      </c>
      <c r="CH60" s="111">
        <f t="shared" si="210"/>
        <v>34</v>
      </c>
      <c r="CI60" s="113">
        <f t="shared" si="211"/>
        <v>38</v>
      </c>
      <c r="CJ60" s="114">
        <f t="shared" si="212"/>
        <v>69</v>
      </c>
      <c r="CK60" s="114">
        <f t="shared" si="213"/>
        <v>72</v>
      </c>
      <c r="CL60" s="114">
        <f t="shared" si="214"/>
        <v>108</v>
      </c>
      <c r="CM60" s="114">
        <f t="shared" si="215"/>
        <v>116</v>
      </c>
      <c r="CN60" s="114">
        <f t="shared" si="216"/>
        <v>142</v>
      </c>
      <c r="CO60" s="114">
        <f t="shared" si="217"/>
        <v>168</v>
      </c>
      <c r="CP60" s="114">
        <f t="shared" si="218"/>
        <v>208</v>
      </c>
      <c r="CQ60" s="114">
        <f t="shared" si="219"/>
        <v>259</v>
      </c>
      <c r="CR60" s="114">
        <f t="shared" si="220"/>
        <v>291</v>
      </c>
      <c r="CS60" s="114">
        <f t="shared" si="221"/>
        <v>306</v>
      </c>
      <c r="CT60" s="109">
        <f t="shared" si="222"/>
        <v>1</v>
      </c>
    </row>
    <row r="61" spans="1:1029" s="12" customFormat="1" x14ac:dyDescent="0.2">
      <c r="A61" s="9" t="str">
        <f t="shared" si="195"/>
        <v>aa2ar_human_5WF5</v>
      </c>
      <c r="B61" s="9" t="s">
        <v>139</v>
      </c>
      <c r="C61" s="9" t="s">
        <v>1483</v>
      </c>
      <c r="D61" s="9" t="str">
        <f>IFERROR(MID(VLOOKUP($B61,Seqs!$A:$B,2,0),E61,1),"")</f>
        <v>M</v>
      </c>
      <c r="E61" s="9">
        <v>4</v>
      </c>
      <c r="F61" s="9" t="str">
        <f>IFERROR(MID(VLOOKUP($B61,Seqs!$A:$B,2,0),G61,1),"")</f>
        <v>N</v>
      </c>
      <c r="G61" s="9">
        <v>34</v>
      </c>
      <c r="H61" s="9" t="str">
        <f>IFERROR(MID(VLOOKUP($B61,Seqs!$A:$B,2,0),I61,1),"")</f>
        <v>S</v>
      </c>
      <c r="I61" s="109">
        <v>35</v>
      </c>
      <c r="J61" s="9" t="str">
        <f>IFERROR(MID(VLOOKUP($B61,Seqs!$A:$B,2,0),K61,1),"")</f>
        <v>Q</v>
      </c>
      <c r="K61" s="109">
        <v>38</v>
      </c>
      <c r="L61" s="9" t="str">
        <f>IFERROR(MID(VLOOKUP($B61,Seqs!$A:$B,2,0),M61,1),"")</f>
        <v>N</v>
      </c>
      <c r="M61" s="9">
        <v>39</v>
      </c>
      <c r="N61" s="9" t="str">
        <f>IFERROR(MID(VLOOKUP($B61,Seqs!$A:$B,2,0),O61,1),"")</f>
        <v>A</v>
      </c>
      <c r="O61" s="9">
        <v>63</v>
      </c>
      <c r="P61" s="9" t="str">
        <f>IFERROR(MID(VLOOKUP($B61,Seqs!$A:$B,2,0),Q61,1),"")</f>
        <v>F</v>
      </c>
      <c r="Q61" s="9">
        <v>70</v>
      </c>
      <c r="R61" s="9" t="str">
        <f>IFERROR(MID(VLOOKUP($B61,Seqs!$A:$B,2,0),S61,1),"")</f>
        <v>A</v>
      </c>
      <c r="S61" s="9">
        <v>72</v>
      </c>
      <c r="T61" s="9" t="str">
        <f>IFERROR(MID(VLOOKUP($B61,Seqs!$A:$B,2,0),U61,1),"")</f>
        <v>A</v>
      </c>
      <c r="U61" s="9">
        <v>73</v>
      </c>
      <c r="V61" s="9" t="str">
        <f>IFERROR(MID(VLOOKUP($B61,Seqs!$A:$B,2,0),W61,1),"")</f>
        <v>I</v>
      </c>
      <c r="W61" s="9">
        <v>108</v>
      </c>
      <c r="X61" s="9" t="str">
        <f>IFERROR(MID(VLOOKUP($B61,Seqs!$A:$B,2,0),Y61,1),"")</f>
        <v>P</v>
      </c>
      <c r="Y61" s="9">
        <v>109</v>
      </c>
      <c r="Z61" s="9" t="str">
        <f>IFERROR(MID(VLOOKUP($B61,Seqs!$A:$B,2,0),AA61,1),"")</f>
        <v>V</v>
      </c>
      <c r="AA61" s="9">
        <v>116</v>
      </c>
      <c r="AB61" s="9" t="str">
        <f>IFERROR(MID(VLOOKUP($B61,Seqs!$A:$B,2,0),AC61,1),"")</f>
        <v>T</v>
      </c>
      <c r="AC61" s="9">
        <v>117</v>
      </c>
      <c r="AD61" s="9" t="str">
        <f>IFERROR(MID(VLOOKUP($B61,Seqs!$A:$B,2,0),AE61,1),"")</f>
        <v>G</v>
      </c>
      <c r="AE61" s="9">
        <v>142</v>
      </c>
      <c r="AF61" s="9" t="str">
        <f>IFERROR(MID(VLOOKUP($B61,Seqs!$A:$B,2,0),AG61,1),"")</f>
        <v>C</v>
      </c>
      <c r="AG61" s="9">
        <v>166</v>
      </c>
      <c r="AH61" s="9" t="str">
        <f>IFERROR(MID(VLOOKUP($B61,Seqs!$A:$B,2,0),AI61,1),"")</f>
        <v>F</v>
      </c>
      <c r="AI61" s="9">
        <v>168</v>
      </c>
      <c r="AJ61" s="9" t="str">
        <f>IFERROR(MID(VLOOKUP($B61,Seqs!$A:$B,2,0),AK61,1),"")</f>
        <v>P</v>
      </c>
      <c r="AK61" s="9">
        <v>173</v>
      </c>
      <c r="AL61" s="9" t="str">
        <f>IFERROR(MID(VLOOKUP($B61,Seqs!$A:$B,2,0),AM61,1),"")</f>
        <v>R</v>
      </c>
      <c r="AM61" s="9">
        <v>205</v>
      </c>
      <c r="AN61" s="9" t="str">
        <f>IFERROR(MID(VLOOKUP($B61,Seqs!$A:$B,2,0),AO61,1),"")</f>
        <v>L</v>
      </c>
      <c r="AO61" s="9">
        <v>225</v>
      </c>
      <c r="AP61" s="9" t="str">
        <f>IFERROR(MID(VLOOKUP($B61,Seqs!$A:$B,2,0),AQ61,1),"")</f>
        <v>C</v>
      </c>
      <c r="AQ61" s="9">
        <v>259</v>
      </c>
      <c r="AR61" s="9" t="str">
        <f>IFERROR(MID(VLOOKUP($B61,Seqs!$A:$B,2,0),AS61,1),"")</f>
        <v>P</v>
      </c>
      <c r="AS61" s="9">
        <v>266</v>
      </c>
      <c r="AT61" s="9" t="str">
        <f>IFERROR(MID(VLOOKUP($B61,Seqs!$A:$B,2,0),AU61,1),"")</f>
        <v>R</v>
      </c>
      <c r="AU61" s="9">
        <v>291</v>
      </c>
      <c r="AV61" s="9" t="str">
        <f>IFERROR(MID(VLOOKUP($B61,Seqs!$A:$B,2,0),AW61,1),"")</f>
        <v>I</v>
      </c>
      <c r="AW61" s="9">
        <v>292</v>
      </c>
      <c r="AX61" s="9" t="str">
        <f>IFERROR(MID(VLOOKUP($B61,Seqs!$A:$B,2,0),AY61,1),"")</f>
        <v>V</v>
      </c>
      <c r="AY61" s="9">
        <v>307</v>
      </c>
      <c r="AZ61" s="110" t="str">
        <f>VLOOKUP(B61,Classification!A:D,2,0)</f>
        <v>A</v>
      </c>
      <c r="BA61" s="98" t="str">
        <f>VLOOKUP(B61,Classification!A:D,4,0)</f>
        <v>Adenosine</v>
      </c>
      <c r="BB61" s="36" t="b">
        <f t="shared" si="196"/>
        <v>1</v>
      </c>
      <c r="BC61" s="109">
        <f t="shared" si="197"/>
        <v>246</v>
      </c>
      <c r="BD61" s="13" t="s">
        <v>23</v>
      </c>
      <c r="BE61" s="9" t="s">
        <v>1484</v>
      </c>
      <c r="BF61" s="120">
        <v>2.6</v>
      </c>
      <c r="BG61" s="51" t="s">
        <v>1</v>
      </c>
      <c r="BH61" s="51" t="s">
        <v>1</v>
      </c>
      <c r="BJ61" s="111" t="s">
        <v>1293</v>
      </c>
      <c r="BK61" s="112" t="s">
        <v>1293</v>
      </c>
      <c r="BL61" s="112" t="s">
        <v>1293</v>
      </c>
      <c r="BM61" s="112" t="s">
        <v>1293</v>
      </c>
      <c r="BN61" s="112" t="s">
        <v>1293</v>
      </c>
      <c r="BO61" s="112" t="s">
        <v>1293</v>
      </c>
      <c r="BP61" s="112" t="s">
        <v>1293</v>
      </c>
      <c r="BQ61" s="112" t="s">
        <v>1293</v>
      </c>
      <c r="BR61" s="112" t="s">
        <v>1293</v>
      </c>
      <c r="BS61" s="112" t="s">
        <v>1293</v>
      </c>
      <c r="BT61" s="112" t="s">
        <v>1293</v>
      </c>
      <c r="BU61" s="112" t="s">
        <v>1293</v>
      </c>
      <c r="BV61" s="111">
        <f t="shared" si="198"/>
        <v>4</v>
      </c>
      <c r="BW61" s="113">
        <f t="shared" si="199"/>
        <v>35</v>
      </c>
      <c r="BX61" s="114">
        <f t="shared" si="200"/>
        <v>39</v>
      </c>
      <c r="BY61" s="113">
        <f t="shared" si="201"/>
        <v>70</v>
      </c>
      <c r="BZ61" s="114">
        <f t="shared" si="202"/>
        <v>73</v>
      </c>
      <c r="CA61" s="113">
        <f t="shared" si="203"/>
        <v>109</v>
      </c>
      <c r="CB61" s="114">
        <f t="shared" si="204"/>
        <v>117</v>
      </c>
      <c r="CC61" s="113">
        <f t="shared" si="205"/>
        <v>166</v>
      </c>
      <c r="CD61" s="114">
        <f t="shared" si="206"/>
        <v>173</v>
      </c>
      <c r="CE61" s="113">
        <f t="shared" si="207"/>
        <v>225</v>
      </c>
      <c r="CF61" s="114">
        <f t="shared" si="208"/>
        <v>266</v>
      </c>
      <c r="CG61" s="113">
        <f t="shared" si="209"/>
        <v>292</v>
      </c>
      <c r="CH61" s="111">
        <f t="shared" si="210"/>
        <v>34</v>
      </c>
      <c r="CI61" s="113">
        <f t="shared" si="211"/>
        <v>38</v>
      </c>
      <c r="CJ61" s="114">
        <f t="shared" si="212"/>
        <v>63</v>
      </c>
      <c r="CK61" s="114">
        <f t="shared" si="213"/>
        <v>72</v>
      </c>
      <c r="CL61" s="114">
        <f t="shared" si="214"/>
        <v>108</v>
      </c>
      <c r="CM61" s="114">
        <f t="shared" si="215"/>
        <v>116</v>
      </c>
      <c r="CN61" s="114">
        <f t="shared" si="216"/>
        <v>142</v>
      </c>
      <c r="CO61" s="114">
        <f t="shared" si="217"/>
        <v>168</v>
      </c>
      <c r="CP61" s="114">
        <f t="shared" si="218"/>
        <v>205</v>
      </c>
      <c r="CQ61" s="114">
        <f t="shared" si="219"/>
        <v>259</v>
      </c>
      <c r="CR61" s="114">
        <f t="shared" si="220"/>
        <v>291</v>
      </c>
      <c r="CS61" s="114">
        <f t="shared" si="221"/>
        <v>307</v>
      </c>
      <c r="CT61" s="109">
        <f t="shared" si="222"/>
        <v>1</v>
      </c>
    </row>
    <row r="62" spans="1:1029" s="12" customFormat="1" x14ac:dyDescent="0.2">
      <c r="A62" s="9" t="str">
        <f t="shared" si="195"/>
        <v>aa2ar_human_5WF6</v>
      </c>
      <c r="B62" s="9" t="s">
        <v>139</v>
      </c>
      <c r="C62" s="9" t="s">
        <v>1485</v>
      </c>
      <c r="D62" s="9" t="str">
        <f>IFERROR(MID(VLOOKUP($B62,Seqs!$A:$B,2,0),E62,1),"")</f>
        <v>M</v>
      </c>
      <c r="E62" s="9">
        <v>4</v>
      </c>
      <c r="F62" s="9" t="str">
        <f>IFERROR(MID(VLOOKUP($B62,Seqs!$A:$B,2,0),G62,1),"")</f>
        <v>N</v>
      </c>
      <c r="G62" s="9">
        <v>34</v>
      </c>
      <c r="H62" s="9" t="str">
        <f>IFERROR(MID(VLOOKUP($B62,Seqs!$A:$B,2,0),I62,1),"")</f>
        <v>S</v>
      </c>
      <c r="I62" s="109">
        <v>35</v>
      </c>
      <c r="J62" s="9" t="str">
        <f>IFERROR(MID(VLOOKUP($B62,Seqs!$A:$B,2,0),K62,1),"")</f>
        <v>Q</v>
      </c>
      <c r="K62" s="109">
        <v>38</v>
      </c>
      <c r="L62" s="9" t="str">
        <f>IFERROR(MID(VLOOKUP($B62,Seqs!$A:$B,2,0),M62,1),"")</f>
        <v>N</v>
      </c>
      <c r="M62" s="9">
        <v>39</v>
      </c>
      <c r="N62" s="9" t="str">
        <f>IFERROR(MID(VLOOKUP($B62,Seqs!$A:$B,2,0),O62,1),"")</f>
        <v>A</v>
      </c>
      <c r="O62" s="9">
        <v>63</v>
      </c>
      <c r="P62" s="9" t="str">
        <f>IFERROR(MID(VLOOKUP($B62,Seqs!$A:$B,2,0),Q62,1),"")</f>
        <v>F</v>
      </c>
      <c r="Q62" s="9">
        <v>70</v>
      </c>
      <c r="R62" s="9" t="str">
        <f>IFERROR(MID(VLOOKUP($B62,Seqs!$A:$B,2,0),S62,1),"")</f>
        <v>A</v>
      </c>
      <c r="S62" s="9">
        <v>72</v>
      </c>
      <c r="T62" s="9" t="str">
        <f>IFERROR(MID(VLOOKUP($B62,Seqs!$A:$B,2,0),U62,1),"")</f>
        <v>A</v>
      </c>
      <c r="U62" s="9">
        <v>73</v>
      </c>
      <c r="V62" s="9" t="str">
        <f>IFERROR(MID(VLOOKUP($B62,Seqs!$A:$B,2,0),W62,1),"")</f>
        <v>I</v>
      </c>
      <c r="W62" s="9">
        <v>108</v>
      </c>
      <c r="X62" s="9" t="str">
        <f>IFERROR(MID(VLOOKUP($B62,Seqs!$A:$B,2,0),Y62,1),"")</f>
        <v>P</v>
      </c>
      <c r="Y62" s="9">
        <v>109</v>
      </c>
      <c r="Z62" s="9" t="str">
        <f>IFERROR(MID(VLOOKUP($B62,Seqs!$A:$B,2,0),AA62,1),"")</f>
        <v>V</v>
      </c>
      <c r="AA62" s="9">
        <v>116</v>
      </c>
      <c r="AB62" s="9" t="str">
        <f>IFERROR(MID(VLOOKUP($B62,Seqs!$A:$B,2,0),AC62,1),"")</f>
        <v>T</v>
      </c>
      <c r="AC62" s="9">
        <v>117</v>
      </c>
      <c r="AD62" s="9" t="str">
        <f>IFERROR(MID(VLOOKUP($B62,Seqs!$A:$B,2,0),AE62,1),"")</f>
        <v>G</v>
      </c>
      <c r="AE62" s="9">
        <v>142</v>
      </c>
      <c r="AF62" s="9" t="str">
        <f>IFERROR(MID(VLOOKUP($B62,Seqs!$A:$B,2,0),AG62,1),"")</f>
        <v>C</v>
      </c>
      <c r="AG62" s="9">
        <v>166</v>
      </c>
      <c r="AH62" s="9" t="str">
        <f>IFERROR(MID(VLOOKUP($B62,Seqs!$A:$B,2,0),AI62,1),"")</f>
        <v>F</v>
      </c>
      <c r="AI62" s="9">
        <v>168</v>
      </c>
      <c r="AJ62" s="9" t="str">
        <f>IFERROR(MID(VLOOKUP($B62,Seqs!$A:$B,2,0),AK62,1),"")</f>
        <v>P</v>
      </c>
      <c r="AK62" s="9">
        <v>173</v>
      </c>
      <c r="AL62" s="9" t="str">
        <f>IFERROR(MID(VLOOKUP($B62,Seqs!$A:$B,2,0),AM62,1),"")</f>
        <v>R</v>
      </c>
      <c r="AM62" s="9">
        <v>205</v>
      </c>
      <c r="AN62" s="9" t="str">
        <f>IFERROR(MID(VLOOKUP($B62,Seqs!$A:$B,2,0),AO62,1),"")</f>
        <v>L</v>
      </c>
      <c r="AO62" s="9">
        <v>225</v>
      </c>
      <c r="AP62" s="9" t="str">
        <f>IFERROR(MID(VLOOKUP($B62,Seqs!$A:$B,2,0),AQ62,1),"")</f>
        <v>C</v>
      </c>
      <c r="AQ62" s="9">
        <v>259</v>
      </c>
      <c r="AR62" s="9" t="str">
        <f>IFERROR(MID(VLOOKUP($B62,Seqs!$A:$B,2,0),AS62,1),"")</f>
        <v>P</v>
      </c>
      <c r="AS62" s="9">
        <v>266</v>
      </c>
      <c r="AT62" s="9" t="str">
        <f>IFERROR(MID(VLOOKUP($B62,Seqs!$A:$B,2,0),AU62,1),"")</f>
        <v>R</v>
      </c>
      <c r="AU62" s="9">
        <v>291</v>
      </c>
      <c r="AV62" s="9" t="str">
        <f>IFERROR(MID(VLOOKUP($B62,Seqs!$A:$B,2,0),AW62,1),"")</f>
        <v>I</v>
      </c>
      <c r="AW62" s="9">
        <v>292</v>
      </c>
      <c r="AX62" s="9" t="str">
        <f>IFERROR(MID(VLOOKUP($B62,Seqs!$A:$B,2,0),AY62,1),"")</f>
        <v>V</v>
      </c>
      <c r="AY62" s="9">
        <v>307</v>
      </c>
      <c r="AZ62" s="110" t="str">
        <f>VLOOKUP(B62,Classification!A:D,2,0)</f>
        <v>A</v>
      </c>
      <c r="BA62" s="98" t="str">
        <f>VLOOKUP(B62,Classification!A:D,4,0)</f>
        <v>Adenosine</v>
      </c>
      <c r="BB62" s="36" t="b">
        <f t="shared" si="196"/>
        <v>1</v>
      </c>
      <c r="BC62" s="109">
        <f t="shared" si="197"/>
        <v>246</v>
      </c>
      <c r="BD62" s="13" t="s">
        <v>23</v>
      </c>
      <c r="BE62" s="9" t="s">
        <v>1484</v>
      </c>
      <c r="BF62" s="120">
        <v>2.9</v>
      </c>
      <c r="BG62" s="51" t="s">
        <v>1</v>
      </c>
      <c r="BH62" s="51" t="s">
        <v>1</v>
      </c>
      <c r="BJ62" s="111" t="s">
        <v>1293</v>
      </c>
      <c r="BK62" s="112" t="s">
        <v>1293</v>
      </c>
      <c r="BL62" s="112" t="s">
        <v>1293</v>
      </c>
      <c r="BM62" s="112" t="s">
        <v>1293</v>
      </c>
      <c r="BN62" s="112" t="s">
        <v>1293</v>
      </c>
      <c r="BO62" s="112" t="s">
        <v>1293</v>
      </c>
      <c r="BP62" s="112" t="s">
        <v>1293</v>
      </c>
      <c r="BQ62" s="112" t="s">
        <v>1293</v>
      </c>
      <c r="BR62" s="112" t="s">
        <v>1293</v>
      </c>
      <c r="BS62" s="112" t="s">
        <v>1293</v>
      </c>
      <c r="BT62" s="112" t="s">
        <v>1293</v>
      </c>
      <c r="BU62" s="112" t="s">
        <v>1293</v>
      </c>
      <c r="BV62" s="111">
        <f t="shared" si="198"/>
        <v>4</v>
      </c>
      <c r="BW62" s="113">
        <f t="shared" si="199"/>
        <v>35</v>
      </c>
      <c r="BX62" s="114">
        <f t="shared" si="200"/>
        <v>39</v>
      </c>
      <c r="BY62" s="113">
        <f t="shared" si="201"/>
        <v>70</v>
      </c>
      <c r="BZ62" s="114">
        <f t="shared" si="202"/>
        <v>73</v>
      </c>
      <c r="CA62" s="113">
        <f t="shared" si="203"/>
        <v>109</v>
      </c>
      <c r="CB62" s="114">
        <f t="shared" si="204"/>
        <v>117</v>
      </c>
      <c r="CC62" s="113">
        <f t="shared" si="205"/>
        <v>166</v>
      </c>
      <c r="CD62" s="114">
        <f t="shared" si="206"/>
        <v>173</v>
      </c>
      <c r="CE62" s="113">
        <f t="shared" si="207"/>
        <v>225</v>
      </c>
      <c r="CF62" s="114">
        <f t="shared" si="208"/>
        <v>266</v>
      </c>
      <c r="CG62" s="113">
        <f t="shared" si="209"/>
        <v>292</v>
      </c>
      <c r="CH62" s="111">
        <f t="shared" si="210"/>
        <v>34</v>
      </c>
      <c r="CI62" s="113">
        <f t="shared" si="211"/>
        <v>38</v>
      </c>
      <c r="CJ62" s="114">
        <f t="shared" si="212"/>
        <v>63</v>
      </c>
      <c r="CK62" s="114">
        <f t="shared" si="213"/>
        <v>72</v>
      </c>
      <c r="CL62" s="114">
        <f t="shared" si="214"/>
        <v>108</v>
      </c>
      <c r="CM62" s="114">
        <f t="shared" si="215"/>
        <v>116</v>
      </c>
      <c r="CN62" s="114">
        <f t="shared" si="216"/>
        <v>142</v>
      </c>
      <c r="CO62" s="114">
        <f t="shared" si="217"/>
        <v>168</v>
      </c>
      <c r="CP62" s="114">
        <f t="shared" si="218"/>
        <v>205</v>
      </c>
      <c r="CQ62" s="114">
        <f t="shared" si="219"/>
        <v>259</v>
      </c>
      <c r="CR62" s="114">
        <f t="shared" si="220"/>
        <v>291</v>
      </c>
      <c r="CS62" s="114">
        <f t="shared" si="221"/>
        <v>307</v>
      </c>
      <c r="CT62" s="109">
        <f t="shared" si="222"/>
        <v>1</v>
      </c>
    </row>
    <row r="63" spans="1:1029" s="12" customFormat="1" x14ac:dyDescent="0.2">
      <c r="A63" s="9" t="str">
        <f t="shared" si="195"/>
        <v>aa2ar_human_6GDG</v>
      </c>
      <c r="B63" s="9" t="s">
        <v>139</v>
      </c>
      <c r="C63" s="9" t="s">
        <v>1507</v>
      </c>
      <c r="D63" s="9" t="str">
        <f>IFERROR(MID(VLOOKUP($B63,Seqs!$A:$B,2,0),E63,1),"")</f>
        <v>V</v>
      </c>
      <c r="E63" s="9">
        <v>8</v>
      </c>
      <c r="F63" s="9" t="str">
        <f>IFERROR(MID(VLOOKUP($B63,Seqs!$A:$B,2,0),G63,1),"")</f>
        <v>N</v>
      </c>
      <c r="G63" s="9">
        <v>34</v>
      </c>
      <c r="H63" s="9" t="str">
        <f>IFERROR(MID(VLOOKUP($B63,Seqs!$A:$B,2,0),I63,1),"")</f>
        <v>S</v>
      </c>
      <c r="I63" s="109">
        <v>35</v>
      </c>
      <c r="J63" s="9" t="str">
        <f>IFERROR(MID(VLOOKUP($B63,Seqs!$A:$B,2,0),K63,1),"")</f>
        <v>Q</v>
      </c>
      <c r="K63" s="109">
        <v>38</v>
      </c>
      <c r="L63" s="9" t="str">
        <f>IFERROR(MID(VLOOKUP($B63,Seqs!$A:$B,2,0),M63,1),"")</f>
        <v>N</v>
      </c>
      <c r="M63" s="9">
        <v>39</v>
      </c>
      <c r="N63" s="9" t="str">
        <f>IFERROR(MID(VLOOKUP($B63,Seqs!$A:$B,2,0),O63,1),"")</f>
        <v>G</v>
      </c>
      <c r="O63" s="9">
        <v>69</v>
      </c>
      <c r="P63" s="9" t="str">
        <f>IFERROR(MID(VLOOKUP($B63,Seqs!$A:$B,2,0),Q63,1),"")</f>
        <v>F</v>
      </c>
      <c r="Q63" s="9">
        <v>70</v>
      </c>
      <c r="R63" s="9" t="str">
        <f>IFERROR(MID(VLOOKUP($B63,Seqs!$A:$B,2,0),S63,1),"")</f>
        <v>A</v>
      </c>
      <c r="S63" s="9">
        <v>72</v>
      </c>
      <c r="T63" s="9" t="str">
        <f>IFERROR(MID(VLOOKUP($B63,Seqs!$A:$B,2,0),U63,1),"")</f>
        <v>A</v>
      </c>
      <c r="U63" s="9">
        <v>73</v>
      </c>
      <c r="V63" s="9" t="str">
        <f>IFERROR(MID(VLOOKUP($B63,Seqs!$A:$B,2,0),W63,1),"")</f>
        <v>I</v>
      </c>
      <c r="W63" s="9">
        <v>108</v>
      </c>
      <c r="X63" s="9" t="str">
        <f>IFERROR(MID(VLOOKUP($B63,Seqs!$A:$B,2,0),Y63,1),"")</f>
        <v>P</v>
      </c>
      <c r="Y63" s="9">
        <v>109</v>
      </c>
      <c r="Z63" s="9" t="str">
        <f>IFERROR(MID(VLOOKUP($B63,Seqs!$A:$B,2,0),AA63,1),"")</f>
        <v>V</v>
      </c>
      <c r="AA63" s="9">
        <v>116</v>
      </c>
      <c r="AB63" s="9" t="str">
        <f>IFERROR(MID(VLOOKUP($B63,Seqs!$A:$B,2,0),AC63,1),"")</f>
        <v>T</v>
      </c>
      <c r="AC63" s="9">
        <v>117</v>
      </c>
      <c r="AD63" s="9" t="str">
        <f>IFERROR(MID(VLOOKUP($B63,Seqs!$A:$B,2,0),AE63,1),"")</f>
        <v>L</v>
      </c>
      <c r="AE63" s="9">
        <v>141</v>
      </c>
      <c r="AF63" s="9" t="str">
        <f>IFERROR(MID(VLOOKUP($B63,Seqs!$A:$B,2,0),AG63,1),"")</f>
        <v>C</v>
      </c>
      <c r="AG63" s="9">
        <v>166</v>
      </c>
      <c r="AH63" s="9" t="str">
        <f>IFERROR(MID(VLOOKUP($B63,Seqs!$A:$B,2,0),AI63,1),"")</f>
        <v>F</v>
      </c>
      <c r="AI63" s="9">
        <v>168</v>
      </c>
      <c r="AJ63" s="9" t="str">
        <f>IFERROR(MID(VLOOKUP($B63,Seqs!$A:$B,2,0),AK63,1),"")</f>
        <v>P</v>
      </c>
      <c r="AK63" s="9">
        <v>173</v>
      </c>
      <c r="AL63" s="9" t="str">
        <f>IFERROR(MID(VLOOKUP($B63,Seqs!$A:$B,2,0),AM63,1),"")</f>
        <v>L</v>
      </c>
      <c r="AM63" s="9">
        <v>208</v>
      </c>
      <c r="AN63" s="9" t="str">
        <f>IFERROR(MID(VLOOKUP($B63,Seqs!$A:$B,2,0),AO63,1),"")</f>
        <v>T</v>
      </c>
      <c r="AO63" s="9">
        <v>224</v>
      </c>
      <c r="AP63" s="9" t="str">
        <f>IFERROR(MID(VLOOKUP($B63,Seqs!$A:$B,2,0),AQ63,1),"")</f>
        <v>C</v>
      </c>
      <c r="AQ63" s="9">
        <v>259</v>
      </c>
      <c r="AR63" s="9" t="str">
        <f>IFERROR(MID(VLOOKUP($B63,Seqs!$A:$B,2,0),AS63,1),"")</f>
        <v>P</v>
      </c>
      <c r="AS63" s="9">
        <v>266</v>
      </c>
      <c r="AT63" s="9" t="str">
        <f>IFERROR(MID(VLOOKUP($B63,Seqs!$A:$B,2,0),AU63,1),"")</f>
        <v>R</v>
      </c>
      <c r="AU63" s="9">
        <v>291</v>
      </c>
      <c r="AV63" s="9" t="str">
        <f>IFERROR(MID(VLOOKUP($B63,Seqs!$A:$B,2,0),AW63,1),"")</f>
        <v>I</v>
      </c>
      <c r="AW63" s="9">
        <v>292</v>
      </c>
      <c r="AX63" s="9" t="str">
        <f>IFERROR(MID(VLOOKUP($B63,Seqs!$A:$B,2,0),AY63,1),"")</f>
        <v>F</v>
      </c>
      <c r="AY63" s="9">
        <v>299</v>
      </c>
      <c r="AZ63" s="110" t="str">
        <f>VLOOKUP(B63,Classification!A:D,2,0)</f>
        <v>A</v>
      </c>
      <c r="BA63" s="98" t="str">
        <f>VLOOKUP(B63,Classification!A:D,4,0)</f>
        <v>Adenosine</v>
      </c>
      <c r="BB63" s="36" t="b">
        <f t="shared" si="196"/>
        <v>1</v>
      </c>
      <c r="BC63" s="109">
        <f t="shared" si="197"/>
        <v>243</v>
      </c>
      <c r="BD63" s="13" t="s">
        <v>23</v>
      </c>
      <c r="BE63" s="9" t="s">
        <v>1297</v>
      </c>
      <c r="BF63" s="120">
        <v>4.1100000000000003</v>
      </c>
      <c r="BG63" s="51" t="s">
        <v>1</v>
      </c>
      <c r="BH63" s="51" t="s">
        <v>1</v>
      </c>
      <c r="BJ63" s="111" t="s">
        <v>1293</v>
      </c>
      <c r="BK63" s="112" t="s">
        <v>1293</v>
      </c>
      <c r="BL63" s="112" t="s">
        <v>1293</v>
      </c>
      <c r="BM63" s="112" t="s">
        <v>1293</v>
      </c>
      <c r="BN63" s="112" t="s">
        <v>1293</v>
      </c>
      <c r="BO63" s="112" t="s">
        <v>1293</v>
      </c>
      <c r="BP63" s="112" t="s">
        <v>1293</v>
      </c>
      <c r="BQ63" s="112" t="s">
        <v>1293</v>
      </c>
      <c r="BR63" s="112" t="s">
        <v>1293</v>
      </c>
      <c r="BS63" s="112" t="s">
        <v>1293</v>
      </c>
      <c r="BT63" s="112" t="s">
        <v>1293</v>
      </c>
      <c r="BU63" s="112" t="s">
        <v>1293</v>
      </c>
      <c r="BV63" s="111">
        <f t="shared" si="198"/>
        <v>8</v>
      </c>
      <c r="BW63" s="113">
        <f t="shared" si="199"/>
        <v>35</v>
      </c>
      <c r="BX63" s="114">
        <f t="shared" si="200"/>
        <v>39</v>
      </c>
      <c r="BY63" s="113">
        <f t="shared" si="201"/>
        <v>70</v>
      </c>
      <c r="BZ63" s="114">
        <f t="shared" si="202"/>
        <v>73</v>
      </c>
      <c r="CA63" s="113">
        <f t="shared" si="203"/>
        <v>109</v>
      </c>
      <c r="CB63" s="114">
        <f t="shared" si="204"/>
        <v>117</v>
      </c>
      <c r="CC63" s="113">
        <f t="shared" si="205"/>
        <v>166</v>
      </c>
      <c r="CD63" s="114">
        <f t="shared" si="206"/>
        <v>173</v>
      </c>
      <c r="CE63" s="113">
        <f t="shared" si="207"/>
        <v>224</v>
      </c>
      <c r="CF63" s="114">
        <f t="shared" si="208"/>
        <v>266</v>
      </c>
      <c r="CG63" s="113">
        <f t="shared" si="209"/>
        <v>292</v>
      </c>
      <c r="CH63" s="111">
        <f t="shared" si="210"/>
        <v>34</v>
      </c>
      <c r="CI63" s="113">
        <f t="shared" si="211"/>
        <v>38</v>
      </c>
      <c r="CJ63" s="114">
        <f t="shared" si="212"/>
        <v>69</v>
      </c>
      <c r="CK63" s="114">
        <f t="shared" si="213"/>
        <v>72</v>
      </c>
      <c r="CL63" s="114">
        <f t="shared" si="214"/>
        <v>108</v>
      </c>
      <c r="CM63" s="114">
        <f t="shared" si="215"/>
        <v>116</v>
      </c>
      <c r="CN63" s="114">
        <f t="shared" si="216"/>
        <v>141</v>
      </c>
      <c r="CO63" s="114">
        <f t="shared" si="217"/>
        <v>168</v>
      </c>
      <c r="CP63" s="114">
        <f t="shared" si="218"/>
        <v>208</v>
      </c>
      <c r="CQ63" s="114">
        <f t="shared" si="219"/>
        <v>259</v>
      </c>
      <c r="CR63" s="114">
        <f t="shared" si="220"/>
        <v>291</v>
      </c>
      <c r="CS63" s="114">
        <f t="shared" si="221"/>
        <v>299</v>
      </c>
      <c r="CT63" s="109">
        <f t="shared" si="222"/>
        <v>1</v>
      </c>
    </row>
    <row r="64" spans="1:1029" x14ac:dyDescent="0.2">
      <c r="A64" s="3" t="str">
        <f t="shared" si="0"/>
        <v>acm1_human__wt</v>
      </c>
      <c r="B64" s="3" t="s">
        <v>146</v>
      </c>
      <c r="C64" s="3" t="s">
        <v>100</v>
      </c>
      <c r="D64" s="3" t="str">
        <f>IFERROR(MID(VLOOKUP($B64,Seqs!$A:$B,2,0),E64,1),"")</f>
        <v>P</v>
      </c>
      <c r="E64" s="3">
        <v>22</v>
      </c>
      <c r="F64" s="3" t="str">
        <f>IFERROR(MID(VLOOKUP($B64,Seqs!$A:$B,2,0),G64,1),"")</f>
        <v>N</v>
      </c>
      <c r="G64" s="3">
        <v>53</v>
      </c>
      <c r="H64" s="3" t="str">
        <f>IFERROR(MID(VLOOKUP($B64,Seqs!$A:$B,2,0),I64,1),"")</f>
        <v>T</v>
      </c>
      <c r="I64" s="23">
        <v>54</v>
      </c>
      <c r="J64" s="3" t="str">
        <f>IFERROR(MID(VLOOKUP($B64,Seqs!$A:$B,2,0),K64,1),"")</f>
        <v>K</v>
      </c>
      <c r="K64" s="23">
        <v>57</v>
      </c>
      <c r="L64" s="3" t="str">
        <f>IFERROR(MID(VLOOKUP($B64,Seqs!$A:$B,2,0),M64,1),"")</f>
        <v>T</v>
      </c>
      <c r="M64" s="3">
        <v>58</v>
      </c>
      <c r="N64" s="3" t="str">
        <f>IFERROR(MID(VLOOKUP($B64,Seqs!$A:$B,2,0),O64,1),"")</f>
        <v>G</v>
      </c>
      <c r="O64" s="105">
        <v>89</v>
      </c>
      <c r="P64" s="3" t="str">
        <f>IFERROR(MID(VLOOKUP($B64,Seqs!$A:$B,2,0),Q64,1),"")</f>
        <v>H</v>
      </c>
      <c r="Q64" s="3">
        <v>90</v>
      </c>
      <c r="R64" s="3" t="str">
        <f>IFERROR(MID(VLOOKUP($B64,Seqs!$A:$B,2,0),S64,1),"")</f>
        <v>L</v>
      </c>
      <c r="S64" s="3">
        <v>93</v>
      </c>
      <c r="T64" s="3" t="str">
        <f>IFERROR(MID(VLOOKUP($B64,Seqs!$A:$B,2,0),U64,1),"")</f>
        <v>G</v>
      </c>
      <c r="U64" s="3">
        <v>94</v>
      </c>
      <c r="V64" s="3" t="str">
        <f>IFERROR(MID(VLOOKUP($B64,Seqs!$A:$B,2,0),W64,1),"")</f>
        <v>R</v>
      </c>
      <c r="W64" s="3">
        <v>129</v>
      </c>
      <c r="X64" s="3" t="str">
        <f>IFERROR(MID(VLOOKUP($B64,Seqs!$A:$B,2,0),Y64,1),"")</f>
        <v>P</v>
      </c>
      <c r="Y64" s="3">
        <v>130</v>
      </c>
      <c r="Z64" s="3" t="str">
        <f>IFERROR(MID(VLOOKUP($B64,Seqs!$A:$B,2,0),AA64,1),"")</f>
        <v>R</v>
      </c>
      <c r="AA64" s="3">
        <v>137</v>
      </c>
      <c r="AB64" s="3" t="str">
        <f>IFERROR(MID(VLOOKUP($B64,Seqs!$A:$B,2,0),AC64,1),"")</f>
        <v>T</v>
      </c>
      <c r="AC64" s="9">
        <v>138</v>
      </c>
      <c r="AD64" s="3" t="str">
        <f>IFERROR(MID(VLOOKUP($B64,Seqs!$A:$B,2,0),AE64,1),"")</f>
        <v>G</v>
      </c>
      <c r="AE64" s="3">
        <v>169</v>
      </c>
      <c r="AF64" s="3" t="str">
        <f>IFERROR(MID(VLOOKUP($B64,Seqs!$A:$B,2,0),AG64,1),"")</f>
        <v>C</v>
      </c>
      <c r="AG64" s="3">
        <v>178</v>
      </c>
      <c r="AH64" s="3" t="str">
        <f>IFERROR(MID(VLOOKUP($B64,Seqs!$A:$B,2,0),AI64,1),"")</f>
        <v>I</v>
      </c>
      <c r="AI64" s="3">
        <v>180</v>
      </c>
      <c r="AJ64" s="3" t="str">
        <f>IFERROR(MID(VLOOKUP($B64,Seqs!$A:$B,2,0),AK64,1),"")</f>
        <v>Q</v>
      </c>
      <c r="AK64" s="3">
        <v>185</v>
      </c>
      <c r="AL64" s="3" t="str">
        <f>IFERROR(MID(VLOOKUP($B64,Seqs!$A:$B,2,0),AM64,1),"")</f>
        <v>L</v>
      </c>
      <c r="AM64" s="3">
        <v>225</v>
      </c>
      <c r="AN64" s="3" t="str">
        <f>IFERROR(MID(VLOOKUP($B64,Seqs!$A:$B,2,0),AO64,1),"")</f>
        <v>T</v>
      </c>
      <c r="AO64" s="3">
        <v>354</v>
      </c>
      <c r="AP64" s="3" t="str">
        <f>IFERROR(MID(VLOOKUP($B64,Seqs!$A:$B,2,0),AQ64,1),"")</f>
        <v>C</v>
      </c>
      <c r="AQ64" s="3">
        <v>391</v>
      </c>
      <c r="AR64" s="3" t="str">
        <f>IFERROR(MID(VLOOKUP($B64,Seqs!$A:$B,2,0),AS64,1),"")</f>
        <v>P</v>
      </c>
      <c r="AS64" s="3">
        <v>396</v>
      </c>
      <c r="AT64" s="3" t="str">
        <f>IFERROR(MID(VLOOKUP($B64,Seqs!$A:$B,2,0),AU64,1),"")</f>
        <v>C</v>
      </c>
      <c r="AU64" s="3">
        <v>421</v>
      </c>
      <c r="AV64" s="3" t="str">
        <f>IFERROR(MID(VLOOKUP($B64,Seqs!$A:$B,2,0),AW64,1),"")</f>
        <v>N</v>
      </c>
      <c r="AW64" s="3">
        <v>422</v>
      </c>
      <c r="AX64" s="3" t="str">
        <f>IFERROR(MID(VLOOKUP($B64,Seqs!$A:$B,2,0),AY64,1),"")</f>
        <v>L</v>
      </c>
      <c r="AY64" s="3">
        <v>434</v>
      </c>
      <c r="AZ64" s="77" t="str">
        <f>VLOOKUP(B64,Classification!A:D,2,0)</f>
        <v>A</v>
      </c>
      <c r="BA64" s="94" t="str">
        <f>VLOOKUP(B64,Classification!A:D,4,0)</f>
        <v>Acetylcholine(muscarinic)</v>
      </c>
      <c r="BB64" s="27" t="b">
        <f t="shared" si="1"/>
        <v>1</v>
      </c>
      <c r="BC64" s="23">
        <f t="shared" si="169"/>
        <v>269</v>
      </c>
      <c r="BD64" s="56" t="s">
        <v>1379</v>
      </c>
      <c r="BE64" s="3" t="s">
        <v>23</v>
      </c>
      <c r="BF64" s="119" t="s">
        <v>23</v>
      </c>
      <c r="BG64" s="49" t="s">
        <v>1379</v>
      </c>
      <c r="BH64" s="49" t="s">
        <v>1384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170"/>
        <v>22</v>
      </c>
      <c r="BW64" s="71">
        <f t="shared" si="171"/>
        <v>54</v>
      </c>
      <c r="BX64" s="72">
        <f t="shared" si="172"/>
        <v>58</v>
      </c>
      <c r="BY64" s="71">
        <f t="shared" si="173"/>
        <v>90</v>
      </c>
      <c r="BZ64" s="72">
        <f t="shared" si="174"/>
        <v>94</v>
      </c>
      <c r="CA64" s="71">
        <f t="shared" si="175"/>
        <v>130</v>
      </c>
      <c r="CB64" s="72">
        <f t="shared" si="176"/>
        <v>138</v>
      </c>
      <c r="CC64" s="71">
        <f t="shared" si="177"/>
        <v>178</v>
      </c>
      <c r="CD64" s="72">
        <f t="shared" si="178"/>
        <v>185</v>
      </c>
      <c r="CE64" s="71">
        <f t="shared" si="179"/>
        <v>354</v>
      </c>
      <c r="CF64" s="72">
        <f t="shared" si="180"/>
        <v>396</v>
      </c>
      <c r="CG64" s="71">
        <f t="shared" si="181"/>
        <v>422</v>
      </c>
      <c r="CH64" s="70">
        <f t="shared" si="182"/>
        <v>53</v>
      </c>
      <c r="CI64" s="71">
        <f t="shared" si="183"/>
        <v>57</v>
      </c>
      <c r="CJ64" s="72">
        <f t="shared" si="184"/>
        <v>89</v>
      </c>
      <c r="CK64" s="72">
        <f t="shared" si="185"/>
        <v>93</v>
      </c>
      <c r="CL64" s="72">
        <f t="shared" si="186"/>
        <v>129</v>
      </c>
      <c r="CM64" s="72">
        <f t="shared" si="187"/>
        <v>137</v>
      </c>
      <c r="CN64" s="72">
        <f t="shared" si="188"/>
        <v>169</v>
      </c>
      <c r="CO64" s="72">
        <f t="shared" si="189"/>
        <v>180</v>
      </c>
      <c r="CP64" s="72">
        <f t="shared" si="190"/>
        <v>225</v>
      </c>
      <c r="CQ64" s="72">
        <f t="shared" si="191"/>
        <v>391</v>
      </c>
      <c r="CR64" s="72">
        <f t="shared" si="192"/>
        <v>421</v>
      </c>
      <c r="CS64" s="72">
        <f t="shared" si="193"/>
        <v>434</v>
      </c>
      <c r="CT64" s="23">
        <f t="shared" si="194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0"/>
        <v>acm1_human_5CXV</v>
      </c>
      <c r="B65" s="3" t="s">
        <v>146</v>
      </c>
      <c r="C65" s="3" t="s">
        <v>62</v>
      </c>
      <c r="D65" s="3" t="str">
        <f>IFERROR(MID(VLOOKUP($B65,Seqs!$A:$B,2,0),E65,1),"")</f>
        <v>P</v>
      </c>
      <c r="E65" s="3">
        <v>22</v>
      </c>
      <c r="F65" s="3" t="str">
        <f>IFERROR(MID(VLOOKUP($B65,Seqs!$A:$B,2,0),G65,1),"")</f>
        <v>N</v>
      </c>
      <c r="G65" s="3">
        <v>53</v>
      </c>
      <c r="H65" s="3" t="str">
        <f>IFERROR(MID(VLOOKUP($B65,Seqs!$A:$B,2,0),I65,1),"")</f>
        <v>T</v>
      </c>
      <c r="I65" s="23">
        <v>54</v>
      </c>
      <c r="J65" s="3" t="str">
        <f>IFERROR(MID(VLOOKUP($B65,Seqs!$A:$B,2,0),K65,1),"")</f>
        <v>K</v>
      </c>
      <c r="K65" s="23">
        <v>57</v>
      </c>
      <c r="L65" s="3" t="str">
        <f>IFERROR(MID(VLOOKUP($B65,Seqs!$A:$B,2,0),M65,1),"")</f>
        <v>T</v>
      </c>
      <c r="M65" s="3">
        <v>58</v>
      </c>
      <c r="N65" s="3" t="str">
        <f>IFERROR(MID(VLOOKUP($B65,Seqs!$A:$B,2,0),O65,1),"")</f>
        <v>G</v>
      </c>
      <c r="O65" s="3">
        <v>89</v>
      </c>
      <c r="P65" s="3" t="str">
        <f>IFERROR(MID(VLOOKUP($B65,Seqs!$A:$B,2,0),Q65,1),"")</f>
        <v>H</v>
      </c>
      <c r="Q65" s="3">
        <v>90</v>
      </c>
      <c r="R65" s="3" t="str">
        <f>IFERROR(MID(VLOOKUP($B65,Seqs!$A:$B,2,0),S65,1),"")</f>
        <v>L</v>
      </c>
      <c r="S65" s="3">
        <v>93</v>
      </c>
      <c r="T65" s="3" t="str">
        <f>IFERROR(MID(VLOOKUP($B65,Seqs!$A:$B,2,0),U65,1),"")</f>
        <v>G</v>
      </c>
      <c r="U65" s="3">
        <v>94</v>
      </c>
      <c r="V65" s="3" t="str">
        <f>IFERROR(MID(VLOOKUP($B65,Seqs!$A:$B,2,0),W65,1),"")</f>
        <v>R</v>
      </c>
      <c r="W65" s="3">
        <v>129</v>
      </c>
      <c r="X65" s="3" t="str">
        <f>IFERROR(MID(VLOOKUP($B65,Seqs!$A:$B,2,0),Y65,1),"")</f>
        <v>P</v>
      </c>
      <c r="Y65" s="3">
        <v>130</v>
      </c>
      <c r="Z65" s="3" t="str">
        <f>IFERROR(MID(VLOOKUP($B65,Seqs!$A:$B,2,0),AA65,1),"")</f>
        <v>R</v>
      </c>
      <c r="AA65" s="3">
        <v>137</v>
      </c>
      <c r="AB65" s="3" t="str">
        <f>IFERROR(MID(VLOOKUP($B65,Seqs!$A:$B,2,0),AC65,1),"")</f>
        <v>T</v>
      </c>
      <c r="AC65" s="9">
        <v>138</v>
      </c>
      <c r="AD65" s="3" t="str">
        <f>IFERROR(MID(VLOOKUP($B65,Seqs!$A:$B,2,0),AE65,1),"")</f>
        <v>G</v>
      </c>
      <c r="AE65" s="3">
        <v>169</v>
      </c>
      <c r="AF65" s="3" t="str">
        <f>IFERROR(MID(VLOOKUP($B65,Seqs!$A:$B,2,0),AG65,1),"")</f>
        <v>C</v>
      </c>
      <c r="AG65" s="3">
        <v>178</v>
      </c>
      <c r="AH65" s="3" t="str">
        <f>IFERROR(MID(VLOOKUP($B65,Seqs!$A:$B,2,0),AI65,1),"")</f>
        <v>I</v>
      </c>
      <c r="AI65" s="3">
        <v>180</v>
      </c>
      <c r="AJ65" s="3" t="str">
        <f>IFERROR(MID(VLOOKUP($B65,Seqs!$A:$B,2,0),AK65,1),"")</f>
        <v>Q</v>
      </c>
      <c r="AK65" s="3">
        <v>185</v>
      </c>
      <c r="AL65" s="3" t="str">
        <f>IFERROR(MID(VLOOKUP($B65,Seqs!$A:$B,2,0),AM65,1),"")</f>
        <v>R</v>
      </c>
      <c r="AM65" s="3">
        <v>213</v>
      </c>
      <c r="AN65" s="3" t="str">
        <f>IFERROR(MID(VLOOKUP($B65,Seqs!$A:$B,2,0),AO65,1),"")</f>
        <v>L</v>
      </c>
      <c r="AO65" s="3">
        <v>357</v>
      </c>
      <c r="AP65" s="3" t="str">
        <f>IFERROR(MID(VLOOKUP($B65,Seqs!$A:$B,2,0),AQ65,1),"")</f>
        <v>C</v>
      </c>
      <c r="AQ65" s="3">
        <v>391</v>
      </c>
      <c r="AR65" s="3" t="str">
        <f>IFERROR(MID(VLOOKUP($B65,Seqs!$A:$B,2,0),AS65,1),"")</f>
        <v>P</v>
      </c>
      <c r="AS65" s="3">
        <v>396</v>
      </c>
      <c r="AT65" s="3" t="str">
        <f>IFERROR(MID(VLOOKUP($B65,Seqs!$A:$B,2,0),AU65,1),"")</f>
        <v>C</v>
      </c>
      <c r="AU65" s="3">
        <v>421</v>
      </c>
      <c r="AV65" s="3" t="str">
        <f>IFERROR(MID(VLOOKUP($B65,Seqs!$A:$B,2,0),AW65,1),"")</f>
        <v>N</v>
      </c>
      <c r="AW65" s="3">
        <v>422</v>
      </c>
      <c r="AX65" s="3" t="str">
        <f>IFERROR(MID(VLOOKUP($B65,Seqs!$A:$B,2,0),AY65,1),"")</f>
        <v>L</v>
      </c>
      <c r="AY65" s="3">
        <v>434</v>
      </c>
      <c r="AZ65" s="77" t="str">
        <f>VLOOKUP(B65,Classification!A:D,2,0)</f>
        <v>A</v>
      </c>
      <c r="BA65" s="94" t="str">
        <f>VLOOKUP(B65,Classification!A:D,4,0)</f>
        <v>Acetylcholine(muscarinic)</v>
      </c>
      <c r="BB65" s="27" t="b">
        <f t="shared" si="1"/>
        <v>1</v>
      </c>
      <c r="BC65" s="23">
        <f t="shared" si="169"/>
        <v>254</v>
      </c>
      <c r="BD65" s="16" t="s">
        <v>1383</v>
      </c>
      <c r="BE65" s="3" t="s">
        <v>1381</v>
      </c>
      <c r="BF65" s="119">
        <v>2.7</v>
      </c>
      <c r="BG65" s="49" t="s">
        <v>1384</v>
      </c>
      <c r="BH65" s="49" t="s">
        <v>1384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170"/>
        <v>22</v>
      </c>
      <c r="BW65" s="71">
        <f t="shared" si="171"/>
        <v>54</v>
      </c>
      <c r="BX65" s="72">
        <f t="shared" si="172"/>
        <v>58</v>
      </c>
      <c r="BY65" s="71">
        <f t="shared" si="173"/>
        <v>90</v>
      </c>
      <c r="BZ65" s="72">
        <f t="shared" si="174"/>
        <v>94</v>
      </c>
      <c r="CA65" s="71">
        <f t="shared" si="175"/>
        <v>130</v>
      </c>
      <c r="CB65" s="72">
        <f t="shared" si="176"/>
        <v>138</v>
      </c>
      <c r="CC65" s="71">
        <f t="shared" si="177"/>
        <v>178</v>
      </c>
      <c r="CD65" s="72">
        <f t="shared" si="178"/>
        <v>185</v>
      </c>
      <c r="CE65" s="71">
        <f t="shared" si="179"/>
        <v>357</v>
      </c>
      <c r="CF65" s="72">
        <f t="shared" si="180"/>
        <v>396</v>
      </c>
      <c r="CG65" s="71">
        <f t="shared" si="181"/>
        <v>422</v>
      </c>
      <c r="CH65" s="70">
        <f t="shared" si="182"/>
        <v>53</v>
      </c>
      <c r="CI65" s="71">
        <f t="shared" si="183"/>
        <v>57</v>
      </c>
      <c r="CJ65" s="72">
        <f t="shared" si="184"/>
        <v>89</v>
      </c>
      <c r="CK65" s="72">
        <f t="shared" si="185"/>
        <v>93</v>
      </c>
      <c r="CL65" s="72">
        <f t="shared" si="186"/>
        <v>129</v>
      </c>
      <c r="CM65" s="72">
        <f t="shared" si="187"/>
        <v>137</v>
      </c>
      <c r="CN65" s="72">
        <f t="shared" si="188"/>
        <v>169</v>
      </c>
      <c r="CO65" s="72">
        <f t="shared" si="189"/>
        <v>180</v>
      </c>
      <c r="CP65" s="72">
        <f t="shared" si="190"/>
        <v>213</v>
      </c>
      <c r="CQ65" s="72">
        <f t="shared" si="191"/>
        <v>391</v>
      </c>
      <c r="CR65" s="72">
        <f t="shared" si="192"/>
        <v>421</v>
      </c>
      <c r="CS65" s="72">
        <f t="shared" si="193"/>
        <v>434</v>
      </c>
      <c r="CT65" s="23">
        <f t="shared" si="194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0"/>
        <v>acm2_human__wt</v>
      </c>
      <c r="B66" s="3" t="s">
        <v>147</v>
      </c>
      <c r="C66" s="3" t="s">
        <v>100</v>
      </c>
      <c r="D66" s="3" t="str">
        <f>IFERROR(MID(VLOOKUP($B66,Seqs!$A:$B,2,0),E66,1),"")</f>
        <v>K</v>
      </c>
      <c r="E66" s="3">
        <v>19</v>
      </c>
      <c r="F66" s="3" t="str">
        <f>IFERROR(MID(VLOOKUP($B66,Seqs!$A:$B,2,0),G66,1),"")</f>
        <v>N</v>
      </c>
      <c r="G66" s="3">
        <v>51</v>
      </c>
      <c r="H66" s="3" t="str">
        <f>IFERROR(MID(VLOOKUP($B66,Seqs!$A:$B,2,0),I66,1),"")</f>
        <v>R</v>
      </c>
      <c r="I66" s="23">
        <v>52</v>
      </c>
      <c r="J66" s="3" t="str">
        <f>IFERROR(MID(VLOOKUP($B66,Seqs!$A:$B,2,0),K66,1),"")</f>
        <v>Q</v>
      </c>
      <c r="K66" s="23">
        <v>55</v>
      </c>
      <c r="L66" s="3" t="str">
        <f>IFERROR(MID(VLOOKUP($B66,Seqs!$A:$B,2,0),M66,1),"")</f>
        <v>T</v>
      </c>
      <c r="M66" s="3">
        <v>56</v>
      </c>
      <c r="N66" s="3" t="str">
        <f>IFERROR(MID(VLOOKUP($B66,Seqs!$A:$B,2,0),O66,1),"")</f>
        <v>G</v>
      </c>
      <c r="O66" s="105">
        <v>87</v>
      </c>
      <c r="P66" s="3" t="str">
        <f>IFERROR(MID(VLOOKUP($B66,Seqs!$A:$B,2,0),Q66,1),"")</f>
        <v>Y</v>
      </c>
      <c r="Q66" s="3">
        <v>88</v>
      </c>
      <c r="R66" s="3" t="str">
        <f>IFERROR(MID(VLOOKUP($B66,Seqs!$A:$B,2,0),S66,1),"")</f>
        <v>L</v>
      </c>
      <c r="S66" s="3">
        <v>91</v>
      </c>
      <c r="T66" s="3" t="str">
        <f>IFERROR(MID(VLOOKUP($B66,Seqs!$A:$B,2,0),U66,1),"")</f>
        <v>G</v>
      </c>
      <c r="U66" s="3">
        <v>92</v>
      </c>
      <c r="V66" s="3" t="str">
        <f>IFERROR(MID(VLOOKUP($B66,Seqs!$A:$B,2,0),W66,1),"")</f>
        <v>K</v>
      </c>
      <c r="W66" s="3">
        <v>127</v>
      </c>
      <c r="X66" s="3" t="str">
        <f>IFERROR(MID(VLOOKUP($B66,Seqs!$A:$B,2,0),Y66,1),"")</f>
        <v>P</v>
      </c>
      <c r="Y66" s="3">
        <v>128</v>
      </c>
      <c r="Z66" s="3" t="str">
        <f>IFERROR(MID(VLOOKUP($B66,Seqs!$A:$B,2,0),AA66,1),"")</f>
        <v>R</v>
      </c>
      <c r="AA66" s="3">
        <v>135</v>
      </c>
      <c r="AB66" s="3" t="str">
        <f>IFERROR(MID(VLOOKUP($B66,Seqs!$A:$B,2,0),AC66,1),"")</f>
        <v>T</v>
      </c>
      <c r="AC66" s="9">
        <v>136</v>
      </c>
      <c r="AD66" s="3" t="str">
        <f>IFERROR(MID(VLOOKUP($B66,Seqs!$A:$B,2,0),AE66,1),"")</f>
        <v>G</v>
      </c>
      <c r="AE66" s="3">
        <v>167</v>
      </c>
      <c r="AF66" s="3" t="str">
        <f>IFERROR(MID(VLOOKUP($B66,Seqs!$A:$B,2,0),AG66,1),"")</f>
        <v>C</v>
      </c>
      <c r="AG66" s="3">
        <v>176</v>
      </c>
      <c r="AH66" s="3" t="str">
        <f>IFERROR(MID(VLOOKUP($B66,Seqs!$A:$B,2,0),AI66,1),"")</f>
        <v>I</v>
      </c>
      <c r="AI66" s="3">
        <v>178</v>
      </c>
      <c r="AJ66" s="3" t="str">
        <f>IFERROR(MID(VLOOKUP($B66,Seqs!$A:$B,2,0),AK66,1),"")</f>
        <v>N</v>
      </c>
      <c r="AK66" s="3">
        <v>183</v>
      </c>
      <c r="AL66" s="3" t="str">
        <f>IFERROR(MID(VLOOKUP($B66,Seqs!$A:$B,2,0),AM66,1),"")</f>
        <v>E</v>
      </c>
      <c r="AM66" s="3">
        <v>223</v>
      </c>
      <c r="AN66" s="3" t="str">
        <f>IFERROR(MID(VLOOKUP($B66,Seqs!$A:$B,2,0),AO66,1),"")</f>
        <v>K</v>
      </c>
      <c r="AO66" s="3">
        <v>376</v>
      </c>
      <c r="AP66" s="3" t="str">
        <f>IFERROR(MID(VLOOKUP($B66,Seqs!$A:$B,2,0),AQ66,1),"")</f>
        <v>C</v>
      </c>
      <c r="AQ66" s="3">
        <v>413</v>
      </c>
      <c r="AR66" s="3" t="str">
        <f>IFERROR(MID(VLOOKUP($B66,Seqs!$A:$B,2,0),AS66,1),"")</f>
        <v>P</v>
      </c>
      <c r="AS66" s="3">
        <v>418</v>
      </c>
      <c r="AT66" s="3" t="str">
        <f>IFERROR(MID(VLOOKUP($B66,Seqs!$A:$B,2,0),AU66,1),"")</f>
        <v>C</v>
      </c>
      <c r="AU66" s="3">
        <v>443</v>
      </c>
      <c r="AV66" s="3" t="str">
        <f>IFERROR(MID(VLOOKUP($B66,Seqs!$A:$B,2,0),AW66,1),"")</f>
        <v>N</v>
      </c>
      <c r="AW66" s="3">
        <v>444</v>
      </c>
      <c r="AX66" s="3" t="str">
        <f>IFERROR(MID(VLOOKUP($B66,Seqs!$A:$B,2,0),AY66,1),"")</f>
        <v>M</v>
      </c>
      <c r="AY66" s="3">
        <v>456</v>
      </c>
      <c r="AZ66" s="77" t="str">
        <f>VLOOKUP(B66,Classification!A:D,2,0)</f>
        <v>A</v>
      </c>
      <c r="BA66" s="94" t="str">
        <f>VLOOKUP(B66,Classification!A:D,4,0)</f>
        <v>Acetylcholine(muscarinic)</v>
      </c>
      <c r="BB66" s="27" t="b">
        <f t="shared" si="1"/>
        <v>1</v>
      </c>
      <c r="BC66" s="23">
        <f t="shared" si="169"/>
        <v>270</v>
      </c>
      <c r="BD66" s="56" t="s">
        <v>1379</v>
      </c>
      <c r="BE66" s="3" t="s">
        <v>23</v>
      </c>
      <c r="BF66" s="119" t="s">
        <v>23</v>
      </c>
      <c r="BG66" s="49" t="s">
        <v>1379</v>
      </c>
      <c r="BH66" s="49" t="s">
        <v>1384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170"/>
        <v>19</v>
      </c>
      <c r="BW66" s="71">
        <f t="shared" si="171"/>
        <v>52</v>
      </c>
      <c r="BX66" s="72">
        <f t="shared" si="172"/>
        <v>56</v>
      </c>
      <c r="BY66" s="71">
        <f t="shared" si="173"/>
        <v>88</v>
      </c>
      <c r="BZ66" s="72">
        <f t="shared" si="174"/>
        <v>92</v>
      </c>
      <c r="CA66" s="71">
        <f t="shared" si="175"/>
        <v>128</v>
      </c>
      <c r="CB66" s="72">
        <f t="shared" si="176"/>
        <v>136</v>
      </c>
      <c r="CC66" s="71">
        <f t="shared" si="177"/>
        <v>176</v>
      </c>
      <c r="CD66" s="72">
        <f t="shared" si="178"/>
        <v>183</v>
      </c>
      <c r="CE66" s="71">
        <f t="shared" si="179"/>
        <v>376</v>
      </c>
      <c r="CF66" s="72">
        <f t="shared" si="180"/>
        <v>418</v>
      </c>
      <c r="CG66" s="71">
        <f t="shared" si="181"/>
        <v>444</v>
      </c>
      <c r="CH66" s="70">
        <f t="shared" si="182"/>
        <v>51</v>
      </c>
      <c r="CI66" s="71">
        <f t="shared" si="183"/>
        <v>55</v>
      </c>
      <c r="CJ66" s="72">
        <f t="shared" si="184"/>
        <v>87</v>
      </c>
      <c r="CK66" s="72">
        <f t="shared" si="185"/>
        <v>91</v>
      </c>
      <c r="CL66" s="72">
        <f t="shared" si="186"/>
        <v>127</v>
      </c>
      <c r="CM66" s="72">
        <f t="shared" si="187"/>
        <v>135</v>
      </c>
      <c r="CN66" s="72">
        <f t="shared" si="188"/>
        <v>167</v>
      </c>
      <c r="CO66" s="72">
        <f t="shared" si="189"/>
        <v>178</v>
      </c>
      <c r="CP66" s="72">
        <f t="shared" si="190"/>
        <v>223</v>
      </c>
      <c r="CQ66" s="72">
        <f t="shared" si="191"/>
        <v>413</v>
      </c>
      <c r="CR66" s="72">
        <f t="shared" si="192"/>
        <v>443</v>
      </c>
      <c r="CS66" s="72">
        <f t="shared" si="193"/>
        <v>456</v>
      </c>
      <c r="CT66" s="23">
        <f t="shared" si="194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ref="A67:A109" si="223">CONCATENATE(B67,"_",C67)</f>
        <v>acm2_human_3UON</v>
      </c>
      <c r="B67" s="3" t="s">
        <v>147</v>
      </c>
      <c r="C67" s="3" t="s">
        <v>79</v>
      </c>
      <c r="D67" s="3" t="str">
        <f>IFERROR(MID(VLOOKUP($B67,Seqs!$A:$B,2,0),E67,1),"")</f>
        <v>V</v>
      </c>
      <c r="E67" s="3">
        <v>23</v>
      </c>
      <c r="F67" s="3" t="str">
        <f>IFERROR(MID(VLOOKUP($B67,Seqs!$A:$B,2,0),G67,1),"")</f>
        <v>N</v>
      </c>
      <c r="G67" s="3">
        <v>51</v>
      </c>
      <c r="H67" s="3" t="str">
        <f>IFERROR(MID(VLOOKUP($B67,Seqs!$A:$B,2,0),I67,1),"")</f>
        <v>R</v>
      </c>
      <c r="I67" s="23">
        <v>52</v>
      </c>
      <c r="J67" s="3" t="str">
        <f>IFERROR(MID(VLOOKUP($B67,Seqs!$A:$B,2,0),K67,1),"")</f>
        <v>Q</v>
      </c>
      <c r="K67" s="23">
        <v>55</v>
      </c>
      <c r="L67" s="3" t="str">
        <f>IFERROR(MID(VLOOKUP($B67,Seqs!$A:$B,2,0),M67,1),"")</f>
        <v>T</v>
      </c>
      <c r="M67" s="3">
        <v>56</v>
      </c>
      <c r="N67" s="3" t="str">
        <f>IFERROR(MID(VLOOKUP($B67,Seqs!$A:$B,2,0),O67,1),"")</f>
        <v>I</v>
      </c>
      <c r="O67" s="3">
        <v>86</v>
      </c>
      <c r="P67" s="3" t="str">
        <f>IFERROR(MID(VLOOKUP($B67,Seqs!$A:$B,2,0),Q67,1),"")</f>
        <v>Y</v>
      </c>
      <c r="Q67" s="3">
        <v>88</v>
      </c>
      <c r="R67" s="3" t="str">
        <f>IFERROR(MID(VLOOKUP($B67,Seqs!$A:$B,2,0),S67,1),"")</f>
        <v>L</v>
      </c>
      <c r="S67" s="3">
        <v>91</v>
      </c>
      <c r="T67" s="3" t="str">
        <f>IFERROR(MID(VLOOKUP($B67,Seqs!$A:$B,2,0),U67,1),"")</f>
        <v>G</v>
      </c>
      <c r="U67" s="3">
        <v>92</v>
      </c>
      <c r="V67" s="3" t="str">
        <f>IFERROR(MID(VLOOKUP($B67,Seqs!$A:$B,2,0),W67,1),"")</f>
        <v>K</v>
      </c>
      <c r="W67" s="3">
        <v>127</v>
      </c>
      <c r="X67" s="3" t="str">
        <f>IFERROR(MID(VLOOKUP($B67,Seqs!$A:$B,2,0),Y67,1),"")</f>
        <v>P</v>
      </c>
      <c r="Y67" s="3">
        <v>128</v>
      </c>
      <c r="Z67" s="3" t="str">
        <f>IFERROR(MID(VLOOKUP($B67,Seqs!$A:$B,2,0),AA67,1),"")</f>
        <v>R</v>
      </c>
      <c r="AA67" s="3">
        <v>135</v>
      </c>
      <c r="AB67" s="3" t="str">
        <f>IFERROR(MID(VLOOKUP($B67,Seqs!$A:$B,2,0),AC67,1),"")</f>
        <v>T</v>
      </c>
      <c r="AC67" s="9">
        <v>136</v>
      </c>
      <c r="AD67" s="3" t="str">
        <f>IFERROR(MID(VLOOKUP($B67,Seqs!$A:$B,2,0),AE67,1),"")</f>
        <v>G</v>
      </c>
      <c r="AE67" s="3">
        <v>167</v>
      </c>
      <c r="AF67" s="3" t="str">
        <f>IFERROR(MID(VLOOKUP($B67,Seqs!$A:$B,2,0),AG67,1),"")</f>
        <v>C</v>
      </c>
      <c r="AG67" s="3">
        <v>176</v>
      </c>
      <c r="AH67" s="3" t="str">
        <f>IFERROR(MID(VLOOKUP($B67,Seqs!$A:$B,2,0),AI67,1),"")</f>
        <v>I</v>
      </c>
      <c r="AI67" s="3">
        <v>178</v>
      </c>
      <c r="AJ67" s="3" t="str">
        <f>IFERROR(MID(VLOOKUP($B67,Seqs!$A:$B,2,0),AK67,1),"")</f>
        <v>N</v>
      </c>
      <c r="AK67" s="3">
        <v>183</v>
      </c>
      <c r="AL67" s="3" t="str">
        <f>IFERROR(MID(VLOOKUP($B67,Seqs!$A:$B,2,0),AM67,1),"")</f>
        <v>S</v>
      </c>
      <c r="AM67" s="3">
        <v>213</v>
      </c>
      <c r="AN67" s="3" t="str">
        <f>IFERROR(MID(VLOOKUP($B67,Seqs!$A:$B,2,0),AO67,1),"")</f>
        <v>K</v>
      </c>
      <c r="AO67" s="3">
        <v>384</v>
      </c>
      <c r="AP67" s="3" t="str">
        <f>IFERROR(MID(VLOOKUP($B67,Seqs!$A:$B,2,0),AQ67,1),"")</f>
        <v>C</v>
      </c>
      <c r="AQ67" s="3">
        <v>413</v>
      </c>
      <c r="AR67" s="3" t="str">
        <f>IFERROR(MID(VLOOKUP($B67,Seqs!$A:$B,2,0),AS67,1),"")</f>
        <v>P</v>
      </c>
      <c r="AS67" s="3">
        <v>418</v>
      </c>
      <c r="AT67" s="3" t="str">
        <f>IFERROR(MID(VLOOKUP($B67,Seqs!$A:$B,2,0),AU67,1),"")</f>
        <v>C</v>
      </c>
      <c r="AU67" s="3">
        <v>443</v>
      </c>
      <c r="AV67" s="3" t="str">
        <f>IFERROR(MID(VLOOKUP($B67,Seqs!$A:$B,2,0),AW67,1),"")</f>
        <v>N</v>
      </c>
      <c r="AW67" s="3">
        <v>444</v>
      </c>
      <c r="AX67" s="3" t="str">
        <f>IFERROR(MID(VLOOKUP($B67,Seqs!$A:$B,2,0),AY67,1),"")</f>
        <v>M</v>
      </c>
      <c r="AY67" s="3">
        <v>456</v>
      </c>
      <c r="AZ67" s="77" t="str">
        <f>VLOOKUP(B67,Classification!A:D,2,0)</f>
        <v>A</v>
      </c>
      <c r="BA67" s="94" t="str">
        <f>VLOOKUP(B67,Classification!A:D,4,0)</f>
        <v>Acetylcholine(muscarinic)</v>
      </c>
      <c r="BB67" s="27" t="b">
        <f t="shared" ref="BB67:BB109" si="224">AND(E67&lt;G67,OR(G67&lt;I67,I67="-"),OR(I67&lt;K67,I67="-"),OR(K67&lt;M67,K67="-"),M67&lt;O67,OR(O67&lt;Q67,Q67="-"),OR(Q67&lt;S67,Q67="-"),OR(S67&lt;U67,S67="-"),U67&lt;W67,OR(W67&lt;Y67,Y67="-"),OR(Y67&lt;AA67,Y67="-"),OR(AA67&lt;AC67,AA67="-"),AC67&lt;AE67,OR(AE67&lt;AG67,AG67="-"),OR(AG67&lt;AI67,AG67="-"),OR(AI67&lt;AK67,AI67="-"),AK67&lt;AM67,AM67&lt;AO67,AO67&lt;AQ67,AQ67&lt;AS67,AS67&lt;AU67,OR(AU67&lt;AW67,AW67="-"),OR(AW67&lt;AY67,AW67="-"))</f>
        <v>1</v>
      </c>
      <c r="BC67" s="23">
        <f t="shared" si="169"/>
        <v>247</v>
      </c>
      <c r="BD67" s="16" t="s">
        <v>23</v>
      </c>
      <c r="BE67" s="3" t="s">
        <v>1381</v>
      </c>
      <c r="BF67" s="119">
        <v>3</v>
      </c>
      <c r="BG67" s="49" t="s">
        <v>1384</v>
      </c>
      <c r="BH67" s="49" t="s">
        <v>1384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170"/>
        <v>23</v>
      </c>
      <c r="BW67" s="71">
        <f t="shared" si="171"/>
        <v>52</v>
      </c>
      <c r="BX67" s="72">
        <f t="shared" si="172"/>
        <v>56</v>
      </c>
      <c r="BY67" s="71">
        <f t="shared" si="173"/>
        <v>88</v>
      </c>
      <c r="BZ67" s="72">
        <f t="shared" si="174"/>
        <v>92</v>
      </c>
      <c r="CA67" s="71">
        <f t="shared" si="175"/>
        <v>128</v>
      </c>
      <c r="CB67" s="72">
        <f t="shared" si="176"/>
        <v>136</v>
      </c>
      <c r="CC67" s="71">
        <f t="shared" si="177"/>
        <v>176</v>
      </c>
      <c r="CD67" s="72">
        <f t="shared" si="178"/>
        <v>183</v>
      </c>
      <c r="CE67" s="71">
        <f t="shared" si="179"/>
        <v>384</v>
      </c>
      <c r="CF67" s="72">
        <f t="shared" si="180"/>
        <v>418</v>
      </c>
      <c r="CG67" s="71">
        <f t="shared" si="181"/>
        <v>444</v>
      </c>
      <c r="CH67" s="70">
        <f t="shared" si="182"/>
        <v>51</v>
      </c>
      <c r="CI67" s="71">
        <f t="shared" si="183"/>
        <v>55</v>
      </c>
      <c r="CJ67" s="72">
        <f t="shared" si="184"/>
        <v>86</v>
      </c>
      <c r="CK67" s="72">
        <f t="shared" si="185"/>
        <v>91</v>
      </c>
      <c r="CL67" s="72">
        <f t="shared" si="186"/>
        <v>127</v>
      </c>
      <c r="CM67" s="72">
        <f t="shared" si="187"/>
        <v>135</v>
      </c>
      <c r="CN67" s="72">
        <f t="shared" si="188"/>
        <v>167</v>
      </c>
      <c r="CO67" s="72">
        <f t="shared" si="189"/>
        <v>178</v>
      </c>
      <c r="CP67" s="72">
        <f t="shared" si="190"/>
        <v>213</v>
      </c>
      <c r="CQ67" s="72">
        <f t="shared" si="191"/>
        <v>413</v>
      </c>
      <c r="CR67" s="72">
        <f t="shared" si="192"/>
        <v>443</v>
      </c>
      <c r="CS67" s="72">
        <f t="shared" si="193"/>
        <v>456</v>
      </c>
      <c r="CT67" s="23">
        <f t="shared" si="194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23"/>
        <v>acm2_human_4MQS</v>
      </c>
      <c r="B68" s="3" t="s">
        <v>147</v>
      </c>
      <c r="C68" s="3" t="s">
        <v>68</v>
      </c>
      <c r="D68" s="3" t="str">
        <f>IFERROR(MID(VLOOKUP($B68,Seqs!$A:$B,2,0),E68,1),"")</f>
        <v>K</v>
      </c>
      <c r="E68" s="3">
        <v>19</v>
      </c>
      <c r="F68" s="3" t="str">
        <f>IFERROR(MID(VLOOKUP($B68,Seqs!$A:$B,2,0),G68,1),"")</f>
        <v>N</v>
      </c>
      <c r="G68" s="3">
        <v>51</v>
      </c>
      <c r="H68" s="3" t="str">
        <f>IFERROR(MID(VLOOKUP($B68,Seqs!$A:$B,2,0),I68,1),"")</f>
        <v>R</v>
      </c>
      <c r="I68" s="23">
        <v>52</v>
      </c>
      <c r="J68" s="3" t="str">
        <f>IFERROR(MID(VLOOKUP($B68,Seqs!$A:$B,2,0),K68,1),"")</f>
        <v>Q</v>
      </c>
      <c r="K68" s="23">
        <v>55</v>
      </c>
      <c r="L68" s="3" t="str">
        <f>IFERROR(MID(VLOOKUP($B68,Seqs!$A:$B,2,0),M68,1),"")</f>
        <v>T</v>
      </c>
      <c r="M68" s="3">
        <v>56</v>
      </c>
      <c r="N68" s="3" t="str">
        <f>IFERROR(MID(VLOOKUP($B68,Seqs!$A:$B,2,0),O68,1),"")</f>
        <v>G</v>
      </c>
      <c r="O68" s="3">
        <v>87</v>
      </c>
      <c r="P68" s="3" t="str">
        <f>IFERROR(MID(VLOOKUP($B68,Seqs!$A:$B,2,0),Q68,1),"")</f>
        <v>Y</v>
      </c>
      <c r="Q68" s="3">
        <v>88</v>
      </c>
      <c r="R68" s="3" t="str">
        <f>IFERROR(MID(VLOOKUP($B68,Seqs!$A:$B,2,0),S68,1),"")</f>
        <v>L</v>
      </c>
      <c r="S68" s="3">
        <v>91</v>
      </c>
      <c r="T68" s="3" t="str">
        <f>IFERROR(MID(VLOOKUP($B68,Seqs!$A:$B,2,0),U68,1),"")</f>
        <v>G</v>
      </c>
      <c r="U68" s="3">
        <v>92</v>
      </c>
      <c r="V68" s="3" t="str">
        <f>IFERROR(MID(VLOOKUP($B68,Seqs!$A:$B,2,0),W68,1),"")</f>
        <v>K</v>
      </c>
      <c r="W68" s="3">
        <v>127</v>
      </c>
      <c r="X68" s="3" t="str">
        <f>IFERROR(MID(VLOOKUP($B68,Seqs!$A:$B,2,0),Y68,1),"")</f>
        <v>P</v>
      </c>
      <c r="Y68" s="3">
        <v>128</v>
      </c>
      <c r="Z68" s="3" t="str">
        <f>IFERROR(MID(VLOOKUP($B68,Seqs!$A:$B,2,0),AA68,1),"")</f>
        <v>R</v>
      </c>
      <c r="AA68" s="3">
        <v>135</v>
      </c>
      <c r="AB68" s="3" t="str">
        <f>IFERROR(MID(VLOOKUP($B68,Seqs!$A:$B,2,0),AC68,1),"")</f>
        <v>T</v>
      </c>
      <c r="AC68" s="9">
        <v>136</v>
      </c>
      <c r="AD68" s="3" t="str">
        <f>IFERROR(MID(VLOOKUP($B68,Seqs!$A:$B,2,0),AE68,1),"")</f>
        <v>G</v>
      </c>
      <c r="AE68" s="3">
        <v>167</v>
      </c>
      <c r="AF68" s="3" t="str">
        <f>IFERROR(MID(VLOOKUP($B68,Seqs!$A:$B,2,0),AG68,1),"")</f>
        <v>C</v>
      </c>
      <c r="AG68" s="3">
        <v>176</v>
      </c>
      <c r="AH68" s="3" t="str">
        <f>IFERROR(MID(VLOOKUP($B68,Seqs!$A:$B,2,0),AI68,1),"")</f>
        <v>I</v>
      </c>
      <c r="AI68" s="3">
        <v>178</v>
      </c>
      <c r="AJ68" s="3" t="str">
        <f>IFERROR(MID(VLOOKUP($B68,Seqs!$A:$B,2,0),AK68,1),"")</f>
        <v>N</v>
      </c>
      <c r="AK68" s="3">
        <v>183</v>
      </c>
      <c r="AL68" s="3" t="str">
        <f>IFERROR(MID(VLOOKUP($B68,Seqs!$A:$B,2,0),AM68,1),"")</f>
        <v>K</v>
      </c>
      <c r="AM68" s="3">
        <v>214</v>
      </c>
      <c r="AN68" s="3" t="str">
        <f>IFERROR(MID(VLOOKUP($B68,Seqs!$A:$B,2,0),AO68,1),"")</f>
        <v>S</v>
      </c>
      <c r="AO68" s="3">
        <v>380</v>
      </c>
      <c r="AP68" s="3" t="str">
        <f>IFERROR(MID(VLOOKUP($B68,Seqs!$A:$B,2,0),AQ68,1),"")</f>
        <v>C</v>
      </c>
      <c r="AQ68" s="3">
        <v>413</v>
      </c>
      <c r="AR68" s="3" t="str">
        <f>IFERROR(MID(VLOOKUP($B68,Seqs!$A:$B,2,0),AS68,1),"")</f>
        <v>P</v>
      </c>
      <c r="AS68" s="3">
        <v>418</v>
      </c>
      <c r="AT68" s="3" t="str">
        <f>IFERROR(MID(VLOOKUP($B68,Seqs!$A:$B,2,0),AU68,1),"")</f>
        <v>C</v>
      </c>
      <c r="AU68" s="3">
        <v>443</v>
      </c>
      <c r="AV68" s="3" t="str">
        <f>IFERROR(MID(VLOOKUP($B68,Seqs!$A:$B,2,0),AW68,1),"")</f>
        <v>N</v>
      </c>
      <c r="AW68" s="3">
        <v>444</v>
      </c>
      <c r="AX68" s="3" t="str">
        <f>IFERROR(MID(VLOOKUP($B68,Seqs!$A:$B,2,0),AY68,1),"")</f>
        <v>M</v>
      </c>
      <c r="AY68" s="3">
        <v>456</v>
      </c>
      <c r="AZ68" s="77" t="str">
        <f>VLOOKUP(B68,Classification!A:D,2,0)</f>
        <v>A</v>
      </c>
      <c r="BA68" s="94" t="str">
        <f>VLOOKUP(B68,Classification!A:D,4,0)</f>
        <v>Acetylcholine(muscarinic)</v>
      </c>
      <c r="BB68" s="27" t="b">
        <f t="shared" si="224"/>
        <v>1</v>
      </c>
      <c r="BC68" s="23">
        <f t="shared" si="169"/>
        <v>257</v>
      </c>
      <c r="BD68" s="4" t="s">
        <v>23</v>
      </c>
      <c r="BE68" s="3" t="s">
        <v>1297</v>
      </c>
      <c r="BF68" s="119">
        <v>3.5</v>
      </c>
      <c r="BG68" s="49" t="s">
        <v>1384</v>
      </c>
      <c r="BH68" s="49" t="s">
        <v>1384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170"/>
        <v>19</v>
      </c>
      <c r="BW68" s="71">
        <f t="shared" si="171"/>
        <v>52</v>
      </c>
      <c r="BX68" s="72">
        <f t="shared" si="172"/>
        <v>56</v>
      </c>
      <c r="BY68" s="71">
        <f t="shared" si="173"/>
        <v>88</v>
      </c>
      <c r="BZ68" s="72">
        <f t="shared" si="174"/>
        <v>92</v>
      </c>
      <c r="CA68" s="71">
        <f t="shared" si="175"/>
        <v>128</v>
      </c>
      <c r="CB68" s="72">
        <f t="shared" si="176"/>
        <v>136</v>
      </c>
      <c r="CC68" s="71">
        <f t="shared" si="177"/>
        <v>176</v>
      </c>
      <c r="CD68" s="72">
        <f t="shared" si="178"/>
        <v>183</v>
      </c>
      <c r="CE68" s="71">
        <f t="shared" si="179"/>
        <v>380</v>
      </c>
      <c r="CF68" s="72">
        <f t="shared" si="180"/>
        <v>418</v>
      </c>
      <c r="CG68" s="71">
        <f t="shared" si="181"/>
        <v>444</v>
      </c>
      <c r="CH68" s="70">
        <f t="shared" si="182"/>
        <v>51</v>
      </c>
      <c r="CI68" s="71">
        <f t="shared" si="183"/>
        <v>55</v>
      </c>
      <c r="CJ68" s="72">
        <f t="shared" si="184"/>
        <v>87</v>
      </c>
      <c r="CK68" s="72">
        <f t="shared" si="185"/>
        <v>91</v>
      </c>
      <c r="CL68" s="72">
        <f t="shared" si="186"/>
        <v>127</v>
      </c>
      <c r="CM68" s="72">
        <f t="shared" si="187"/>
        <v>135</v>
      </c>
      <c r="CN68" s="72">
        <f t="shared" si="188"/>
        <v>167</v>
      </c>
      <c r="CO68" s="72">
        <f t="shared" si="189"/>
        <v>178</v>
      </c>
      <c r="CP68" s="72">
        <f t="shared" si="190"/>
        <v>214</v>
      </c>
      <c r="CQ68" s="72">
        <f t="shared" si="191"/>
        <v>413</v>
      </c>
      <c r="CR68" s="72">
        <f t="shared" si="192"/>
        <v>443</v>
      </c>
      <c r="CS68" s="72">
        <f t="shared" si="193"/>
        <v>456</v>
      </c>
      <c r="CT68" s="23">
        <f t="shared" si="194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23"/>
        <v>acm2_human_4MQT</v>
      </c>
      <c r="B69" s="3" t="s">
        <v>147</v>
      </c>
      <c r="C69" s="3" t="s">
        <v>1047</v>
      </c>
      <c r="D69" s="3" t="str">
        <f>IFERROR(MID(VLOOKUP($B69,Seqs!$A:$B,2,0),E69,1),"")</f>
        <v>K</v>
      </c>
      <c r="E69" s="3">
        <v>19</v>
      </c>
      <c r="F69" s="3" t="str">
        <f>IFERROR(MID(VLOOKUP($B69,Seqs!$A:$B,2,0),G69,1),"")</f>
        <v>N</v>
      </c>
      <c r="G69" s="3">
        <v>51</v>
      </c>
      <c r="H69" s="3" t="str">
        <f>IFERROR(MID(VLOOKUP($B69,Seqs!$A:$B,2,0),I69,1),"")</f>
        <v>R</v>
      </c>
      <c r="I69" s="23">
        <v>52</v>
      </c>
      <c r="J69" s="3" t="str">
        <f>IFERROR(MID(VLOOKUP($B69,Seqs!$A:$B,2,0),K69,1),"")</f>
        <v>Q</v>
      </c>
      <c r="K69" s="23">
        <v>55</v>
      </c>
      <c r="L69" s="3" t="str">
        <f>IFERROR(MID(VLOOKUP($B69,Seqs!$A:$B,2,0),M69,1),"")</f>
        <v>T</v>
      </c>
      <c r="M69" s="3">
        <v>56</v>
      </c>
      <c r="N69" s="3" t="str">
        <f>IFERROR(MID(VLOOKUP($B69,Seqs!$A:$B,2,0),O69,1),"")</f>
        <v>G</v>
      </c>
      <c r="O69" s="3">
        <v>87</v>
      </c>
      <c r="P69" s="3" t="str">
        <f>IFERROR(MID(VLOOKUP($B69,Seqs!$A:$B,2,0),Q69,1),"")</f>
        <v>Y</v>
      </c>
      <c r="Q69" s="3">
        <v>88</v>
      </c>
      <c r="R69" s="3" t="str">
        <f>IFERROR(MID(VLOOKUP($B69,Seqs!$A:$B,2,0),S69,1),"")</f>
        <v>L</v>
      </c>
      <c r="S69" s="3">
        <v>91</v>
      </c>
      <c r="T69" s="3" t="str">
        <f>IFERROR(MID(VLOOKUP($B69,Seqs!$A:$B,2,0),U69,1),"")</f>
        <v>G</v>
      </c>
      <c r="U69" s="3">
        <v>92</v>
      </c>
      <c r="V69" s="3" t="str">
        <f>IFERROR(MID(VLOOKUP($B69,Seqs!$A:$B,2,0),W69,1),"")</f>
        <v>K</v>
      </c>
      <c r="W69" s="3">
        <v>127</v>
      </c>
      <c r="X69" s="3" t="str">
        <f>IFERROR(MID(VLOOKUP($B69,Seqs!$A:$B,2,0),Y69,1),"")</f>
        <v>P</v>
      </c>
      <c r="Y69" s="3">
        <v>128</v>
      </c>
      <c r="Z69" s="3" t="str">
        <f>IFERROR(MID(VLOOKUP($B69,Seqs!$A:$B,2,0),AA69,1),"")</f>
        <v>R</v>
      </c>
      <c r="AA69" s="3">
        <v>135</v>
      </c>
      <c r="AB69" s="3" t="str">
        <f>IFERROR(MID(VLOOKUP($B69,Seqs!$A:$B,2,0),AC69,1),"")</f>
        <v>T</v>
      </c>
      <c r="AC69" s="9">
        <v>136</v>
      </c>
      <c r="AD69" s="3" t="str">
        <f>IFERROR(MID(VLOOKUP($B69,Seqs!$A:$B,2,0),AE69,1),"")</f>
        <v>G</v>
      </c>
      <c r="AE69" s="3">
        <v>167</v>
      </c>
      <c r="AF69" s="3" t="str">
        <f>IFERROR(MID(VLOOKUP($B69,Seqs!$A:$B,2,0),AG69,1),"")</f>
        <v>C</v>
      </c>
      <c r="AG69" s="3">
        <v>176</v>
      </c>
      <c r="AH69" s="3" t="str">
        <f>IFERROR(MID(VLOOKUP($B69,Seqs!$A:$B,2,0),AI69,1),"")</f>
        <v>I</v>
      </c>
      <c r="AI69" s="3">
        <v>178</v>
      </c>
      <c r="AJ69" s="3" t="str">
        <f>IFERROR(MID(VLOOKUP($B69,Seqs!$A:$B,2,0),AK69,1),"")</f>
        <v>N</v>
      </c>
      <c r="AK69" s="3">
        <v>183</v>
      </c>
      <c r="AL69" s="3" t="str">
        <f>IFERROR(MID(VLOOKUP($B69,Seqs!$A:$B,2,0),AM69,1),"")</f>
        <v>S</v>
      </c>
      <c r="AM69" s="3">
        <v>215</v>
      </c>
      <c r="AN69" s="3" t="str">
        <f>IFERROR(MID(VLOOKUP($B69,Seqs!$A:$B,2,0),AO69,1),"")</f>
        <v>P</v>
      </c>
      <c r="AO69" s="3">
        <v>379</v>
      </c>
      <c r="AP69" s="3" t="str">
        <f>IFERROR(MID(VLOOKUP($B69,Seqs!$A:$B,2,0),AQ69,1),"")</f>
        <v>C</v>
      </c>
      <c r="AQ69" s="3">
        <v>413</v>
      </c>
      <c r="AR69" s="3" t="str">
        <f>IFERROR(MID(VLOOKUP($B69,Seqs!$A:$B,2,0),AS69,1),"")</f>
        <v>P</v>
      </c>
      <c r="AS69" s="3">
        <v>418</v>
      </c>
      <c r="AT69" s="3" t="str">
        <f>IFERROR(MID(VLOOKUP($B69,Seqs!$A:$B,2,0),AU69,1),"")</f>
        <v>C</v>
      </c>
      <c r="AU69" s="3">
        <v>443</v>
      </c>
      <c r="AV69" s="3" t="str">
        <f>IFERROR(MID(VLOOKUP($B69,Seqs!$A:$B,2,0),AW69,1),"")</f>
        <v>N</v>
      </c>
      <c r="AW69" s="3">
        <v>444</v>
      </c>
      <c r="AX69" s="3" t="str">
        <f>IFERROR(MID(VLOOKUP($B69,Seqs!$A:$B,2,0),AY69,1),"")</f>
        <v>C</v>
      </c>
      <c r="AY69" s="3">
        <v>457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224"/>
        <v>1</v>
      </c>
      <c r="BC69" s="23">
        <f t="shared" si="169"/>
        <v>260</v>
      </c>
      <c r="BD69" s="4" t="s">
        <v>1382</v>
      </c>
      <c r="BE69" s="3" t="s">
        <v>1297</v>
      </c>
      <c r="BF69" s="119">
        <v>3.7</v>
      </c>
      <c r="BG69" s="49" t="s">
        <v>1384</v>
      </c>
      <c r="BH69" s="49" t="s">
        <v>1384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170"/>
        <v>19</v>
      </c>
      <c r="BW69" s="71">
        <f t="shared" si="171"/>
        <v>52</v>
      </c>
      <c r="BX69" s="72">
        <f t="shared" si="172"/>
        <v>56</v>
      </c>
      <c r="BY69" s="71">
        <f t="shared" si="173"/>
        <v>88</v>
      </c>
      <c r="BZ69" s="72">
        <f t="shared" si="174"/>
        <v>92</v>
      </c>
      <c r="CA69" s="71">
        <f t="shared" si="175"/>
        <v>128</v>
      </c>
      <c r="CB69" s="72">
        <f t="shared" si="176"/>
        <v>136</v>
      </c>
      <c r="CC69" s="71">
        <f t="shared" si="177"/>
        <v>176</v>
      </c>
      <c r="CD69" s="72">
        <f t="shared" si="178"/>
        <v>183</v>
      </c>
      <c r="CE69" s="71">
        <f t="shared" si="179"/>
        <v>379</v>
      </c>
      <c r="CF69" s="72">
        <f t="shared" si="180"/>
        <v>418</v>
      </c>
      <c r="CG69" s="71">
        <f t="shared" si="181"/>
        <v>444</v>
      </c>
      <c r="CH69" s="70">
        <f t="shared" si="182"/>
        <v>51</v>
      </c>
      <c r="CI69" s="71">
        <f t="shared" si="183"/>
        <v>55</v>
      </c>
      <c r="CJ69" s="72">
        <f t="shared" si="184"/>
        <v>87</v>
      </c>
      <c r="CK69" s="72">
        <f t="shared" si="185"/>
        <v>91</v>
      </c>
      <c r="CL69" s="72">
        <f t="shared" si="186"/>
        <v>127</v>
      </c>
      <c r="CM69" s="72">
        <f t="shared" si="187"/>
        <v>135</v>
      </c>
      <c r="CN69" s="72">
        <f t="shared" si="188"/>
        <v>167</v>
      </c>
      <c r="CO69" s="72">
        <f t="shared" si="189"/>
        <v>178</v>
      </c>
      <c r="CP69" s="72">
        <f t="shared" si="190"/>
        <v>215</v>
      </c>
      <c r="CQ69" s="72">
        <f t="shared" si="191"/>
        <v>413</v>
      </c>
      <c r="CR69" s="72">
        <f t="shared" si="192"/>
        <v>443</v>
      </c>
      <c r="CS69" s="72">
        <f t="shared" si="193"/>
        <v>457</v>
      </c>
      <c r="CT69" s="23">
        <f t="shared" si="194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s="12" customFormat="1" x14ac:dyDescent="0.2">
      <c r="A70" s="9" t="str">
        <f t="shared" ref="A70" si="225">CONCATENATE(B70,"_",C70)</f>
        <v>acm2_human_5ZKC</v>
      </c>
      <c r="B70" s="9" t="s">
        <v>147</v>
      </c>
      <c r="C70" s="9" t="s">
        <v>1552</v>
      </c>
      <c r="D70" s="9" t="str">
        <f>IFERROR(MID(VLOOKUP($B70,Seqs!$A:$B,2,0),E70,1),"")</f>
        <v>P</v>
      </c>
      <c r="E70" s="9">
        <v>17</v>
      </c>
      <c r="F70" s="9" t="str">
        <f>IFERROR(MID(VLOOKUP($B70,Seqs!$A:$B,2,0),G70,1),"")</f>
        <v>N</v>
      </c>
      <c r="G70" s="9">
        <v>51</v>
      </c>
      <c r="H70" s="9" t="str">
        <f>IFERROR(MID(VLOOKUP($B70,Seqs!$A:$B,2,0),I70,1),"")</f>
        <v>R</v>
      </c>
      <c r="I70" s="109">
        <v>52</v>
      </c>
      <c r="J70" s="9" t="str">
        <f>IFERROR(MID(VLOOKUP($B70,Seqs!$A:$B,2,0),K70,1),"")</f>
        <v>Q</v>
      </c>
      <c r="K70" s="109">
        <v>55</v>
      </c>
      <c r="L70" s="9" t="str">
        <f>IFERROR(MID(VLOOKUP($B70,Seqs!$A:$B,2,0),M70,1),"")</f>
        <v>T</v>
      </c>
      <c r="M70" s="9">
        <v>56</v>
      </c>
      <c r="N70" s="9" t="str">
        <f>IFERROR(MID(VLOOKUP($B70,Seqs!$A:$B,2,0),O70,1),"")</f>
        <v>G</v>
      </c>
      <c r="O70" s="9">
        <v>87</v>
      </c>
      <c r="P70" s="9" t="str">
        <f>IFERROR(MID(VLOOKUP($B70,Seqs!$A:$B,2,0),Q70,1),"")</f>
        <v>Y</v>
      </c>
      <c r="Q70" s="9">
        <v>88</v>
      </c>
      <c r="R70" s="9" t="str">
        <f>IFERROR(MID(VLOOKUP($B70,Seqs!$A:$B,2,0),S70,1),"")</f>
        <v>L</v>
      </c>
      <c r="S70" s="9">
        <v>91</v>
      </c>
      <c r="T70" s="9" t="str">
        <f>IFERROR(MID(VLOOKUP($B70,Seqs!$A:$B,2,0),U70,1),"")</f>
        <v>G</v>
      </c>
      <c r="U70" s="9">
        <v>92</v>
      </c>
      <c r="V70" s="9" t="str">
        <f>IFERROR(MID(VLOOKUP($B70,Seqs!$A:$B,2,0),W70,1),"")</f>
        <v>K</v>
      </c>
      <c r="W70" s="9">
        <v>127</v>
      </c>
      <c r="X70" s="9" t="str">
        <f>IFERROR(MID(VLOOKUP($B70,Seqs!$A:$B,2,0),Y70,1),"")</f>
        <v>P</v>
      </c>
      <c r="Y70" s="9">
        <v>128</v>
      </c>
      <c r="Z70" s="9" t="str">
        <f>IFERROR(MID(VLOOKUP($B70,Seqs!$A:$B,2,0),AA70,1),"")</f>
        <v>R</v>
      </c>
      <c r="AA70" s="9">
        <v>135</v>
      </c>
      <c r="AB70" s="9" t="str">
        <f>IFERROR(MID(VLOOKUP($B70,Seqs!$A:$B,2,0),AC70,1),"")</f>
        <v>T</v>
      </c>
      <c r="AC70" s="9">
        <v>136</v>
      </c>
      <c r="AD70" s="9" t="str">
        <f>IFERROR(MID(VLOOKUP($B70,Seqs!$A:$B,2,0),AE70,1),"")</f>
        <v>V</v>
      </c>
      <c r="AE70" s="9">
        <v>166</v>
      </c>
      <c r="AF70" s="9" t="str">
        <f>IFERROR(MID(VLOOKUP($B70,Seqs!$A:$B,2,0),AG70,1),"")</f>
        <v>C</v>
      </c>
      <c r="AG70" s="9">
        <v>176</v>
      </c>
      <c r="AH70" s="9" t="str">
        <f>IFERROR(MID(VLOOKUP($B70,Seqs!$A:$B,2,0),AI70,1),"")</f>
        <v>I</v>
      </c>
      <c r="AI70" s="9">
        <v>178</v>
      </c>
      <c r="AJ70" s="9" t="str">
        <f>IFERROR(MID(VLOOKUP($B70,Seqs!$A:$B,2,0),AK70,1),"")</f>
        <v>N</v>
      </c>
      <c r="AK70" s="9">
        <v>183</v>
      </c>
      <c r="AL70" s="9" t="str">
        <f>IFERROR(MID(VLOOKUP($B70,Seqs!$A:$B,2,0),AM70,1),"")</f>
        <v>K</v>
      </c>
      <c r="AM70" s="9">
        <v>214</v>
      </c>
      <c r="AN70" s="9" t="str">
        <f>IFERROR(MID(VLOOKUP($B70,Seqs!$A:$B,2,0),AO70,1),"")</f>
        <v>R</v>
      </c>
      <c r="AO70" s="9">
        <v>381</v>
      </c>
      <c r="AP70" s="9" t="str">
        <f>IFERROR(MID(VLOOKUP($B70,Seqs!$A:$B,2,0),AQ70,1),"")</f>
        <v>C</v>
      </c>
      <c r="AQ70" s="9">
        <v>413</v>
      </c>
      <c r="AR70" s="9" t="str">
        <f>IFERROR(MID(VLOOKUP($B70,Seqs!$A:$B,2,0),AS70,1),"")</f>
        <v>P</v>
      </c>
      <c r="AS70" s="9">
        <v>418</v>
      </c>
      <c r="AT70" s="9" t="str">
        <f>IFERROR(MID(VLOOKUP($B70,Seqs!$A:$B,2,0),AU70,1),"")</f>
        <v>A</v>
      </c>
      <c r="AU70" s="9">
        <v>441</v>
      </c>
      <c r="AV70" s="9" t="str">
        <f>IFERROR(MID(VLOOKUP($B70,Seqs!$A:$B,2,0),AW70,1),"")</f>
        <v>N</v>
      </c>
      <c r="AW70" s="9">
        <v>444</v>
      </c>
      <c r="AX70" s="9" t="str">
        <f>IFERROR(MID(VLOOKUP($B70,Seqs!$A:$B,2,0),AY70,1),"")</f>
        <v>M</v>
      </c>
      <c r="AY70" s="9">
        <v>456</v>
      </c>
      <c r="AZ70" s="110" t="str">
        <f>VLOOKUP(B70,Classification!A:D,2,0)</f>
        <v>A</v>
      </c>
      <c r="BA70" s="98" t="str">
        <f>VLOOKUP(B70,Classification!A:D,4,0)</f>
        <v>Acetylcholine(muscarinic)</v>
      </c>
      <c r="BB70" s="36" t="b">
        <f t="shared" ref="BB70" si="226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227">_xlfn.AGGREGATE(9,6,CH70:CS70)-_xlfn.AGGREGATE(9,6,BV70:CG70)+12</f>
        <v>255</v>
      </c>
      <c r="BD70" s="11" t="s">
        <v>1383</v>
      </c>
      <c r="BE70" s="9" t="s">
        <v>1381</v>
      </c>
      <c r="BF70" s="120">
        <v>2.2999999999999998</v>
      </c>
      <c r="BG70" s="51" t="s">
        <v>1</v>
      </c>
      <c r="BH70" s="51" t="s">
        <v>1</v>
      </c>
      <c r="BJ70" s="111" t="s">
        <v>1293</v>
      </c>
      <c r="BK70" s="112" t="s">
        <v>1293</v>
      </c>
      <c r="BL70" s="112" t="s">
        <v>1293</v>
      </c>
      <c r="BM70" s="112" t="s">
        <v>1293</v>
      </c>
      <c r="BN70" s="112" t="s">
        <v>1293</v>
      </c>
      <c r="BO70" s="112" t="s">
        <v>1293</v>
      </c>
      <c r="BP70" s="112" t="s">
        <v>1293</v>
      </c>
      <c r="BQ70" s="112" t="s">
        <v>1293</v>
      </c>
      <c r="BR70" s="112" t="s">
        <v>1293</v>
      </c>
      <c r="BS70" s="112" t="s">
        <v>1293</v>
      </c>
      <c r="BT70" s="112" t="s">
        <v>1293</v>
      </c>
      <c r="BU70" s="112" t="s">
        <v>1293</v>
      </c>
      <c r="BV70" s="111">
        <f t="shared" ref="BV70" si="228">E70</f>
        <v>17</v>
      </c>
      <c r="BW70" s="113">
        <f t="shared" ref="BW70" si="229">I70</f>
        <v>52</v>
      </c>
      <c r="BX70" s="114">
        <f t="shared" ref="BX70" si="230">M70</f>
        <v>56</v>
      </c>
      <c r="BY70" s="113">
        <f t="shared" ref="BY70" si="231">Q70</f>
        <v>88</v>
      </c>
      <c r="BZ70" s="114">
        <f t="shared" ref="BZ70" si="232">U70</f>
        <v>92</v>
      </c>
      <c r="CA70" s="113">
        <f t="shared" ref="CA70" si="233">Y70</f>
        <v>128</v>
      </c>
      <c r="CB70" s="114">
        <f t="shared" ref="CB70" si="234">AC70</f>
        <v>136</v>
      </c>
      <c r="CC70" s="113">
        <f t="shared" ref="CC70" si="235">AG70</f>
        <v>176</v>
      </c>
      <c r="CD70" s="114">
        <f t="shared" ref="CD70" si="236">AK70</f>
        <v>183</v>
      </c>
      <c r="CE70" s="113">
        <f t="shared" ref="CE70" si="237">AO70</f>
        <v>381</v>
      </c>
      <c r="CF70" s="114">
        <f t="shared" ref="CF70" si="238">AS70</f>
        <v>418</v>
      </c>
      <c r="CG70" s="113">
        <f t="shared" ref="CG70" si="239">AW70</f>
        <v>444</v>
      </c>
      <c r="CH70" s="111">
        <f t="shared" ref="CH70" si="240">G70</f>
        <v>51</v>
      </c>
      <c r="CI70" s="113">
        <f t="shared" ref="CI70" si="241">K70</f>
        <v>55</v>
      </c>
      <c r="CJ70" s="114">
        <f t="shared" ref="CJ70" si="242">O70</f>
        <v>87</v>
      </c>
      <c r="CK70" s="114">
        <f t="shared" ref="CK70" si="243">S70</f>
        <v>91</v>
      </c>
      <c r="CL70" s="114">
        <f t="shared" ref="CL70" si="244">W70</f>
        <v>127</v>
      </c>
      <c r="CM70" s="114">
        <f t="shared" ref="CM70" si="245">AA70</f>
        <v>135</v>
      </c>
      <c r="CN70" s="114">
        <f t="shared" ref="CN70" si="246">AE70</f>
        <v>166</v>
      </c>
      <c r="CO70" s="114">
        <f t="shared" ref="CO70" si="247">AI70</f>
        <v>178</v>
      </c>
      <c r="CP70" s="114">
        <f t="shared" ref="CP70" si="248">AM70</f>
        <v>214</v>
      </c>
      <c r="CQ70" s="114">
        <f t="shared" ref="CQ70" si="249">AQ70</f>
        <v>413</v>
      </c>
      <c r="CR70" s="114">
        <f t="shared" ref="CR70" si="250">AU70</f>
        <v>441</v>
      </c>
      <c r="CS70" s="114">
        <f t="shared" ref="CS70" si="251">AY70</f>
        <v>456</v>
      </c>
      <c r="CT70" s="109">
        <f t="shared" ref="CT70" si="252">M70-K70</f>
        <v>1</v>
      </c>
    </row>
    <row r="71" spans="1:1029" s="12" customFormat="1" x14ac:dyDescent="0.2">
      <c r="A71" s="9" t="str">
        <f t="shared" ref="A71" si="253">CONCATENATE(B71,"_",C71)</f>
        <v>acm2_human_5ZKB</v>
      </c>
      <c r="B71" s="9" t="s">
        <v>147</v>
      </c>
      <c r="C71" s="9" t="s">
        <v>1553</v>
      </c>
      <c r="D71" s="9" t="str">
        <f>IFERROR(MID(VLOOKUP($B71,Seqs!$A:$B,2,0),E71,1),"")</f>
        <v>Y</v>
      </c>
      <c r="E71" s="9">
        <v>18</v>
      </c>
      <c r="F71" s="9" t="str">
        <f>IFERROR(MID(VLOOKUP($B71,Seqs!$A:$B,2,0),G71,1),"")</f>
        <v>N</v>
      </c>
      <c r="G71" s="9">
        <v>51</v>
      </c>
      <c r="H71" s="9" t="str">
        <f>IFERROR(MID(VLOOKUP($B71,Seqs!$A:$B,2,0),I71,1),"")</f>
        <v>R</v>
      </c>
      <c r="I71" s="109">
        <v>52</v>
      </c>
      <c r="J71" s="9" t="str">
        <f>IFERROR(MID(VLOOKUP($B71,Seqs!$A:$B,2,0),K71,1),"")</f>
        <v>Q</v>
      </c>
      <c r="K71" s="109">
        <v>55</v>
      </c>
      <c r="L71" s="9" t="str">
        <f>IFERROR(MID(VLOOKUP($B71,Seqs!$A:$B,2,0),M71,1),"")</f>
        <v>T</v>
      </c>
      <c r="M71" s="9">
        <v>56</v>
      </c>
      <c r="N71" s="9" t="str">
        <f>IFERROR(MID(VLOOKUP($B71,Seqs!$A:$B,2,0),O71,1),"")</f>
        <v>G</v>
      </c>
      <c r="O71" s="9">
        <v>87</v>
      </c>
      <c r="P71" s="9" t="str">
        <f>IFERROR(MID(VLOOKUP($B71,Seqs!$A:$B,2,0),Q71,1),"")</f>
        <v>Y</v>
      </c>
      <c r="Q71" s="9">
        <v>88</v>
      </c>
      <c r="R71" s="9" t="str">
        <f>IFERROR(MID(VLOOKUP($B71,Seqs!$A:$B,2,0),S71,1),"")</f>
        <v>L</v>
      </c>
      <c r="S71" s="9">
        <v>91</v>
      </c>
      <c r="T71" s="9" t="str">
        <f>IFERROR(MID(VLOOKUP($B71,Seqs!$A:$B,2,0),U71,1),"")</f>
        <v>G</v>
      </c>
      <c r="U71" s="9">
        <v>92</v>
      </c>
      <c r="V71" s="9" t="str">
        <f>IFERROR(MID(VLOOKUP($B71,Seqs!$A:$B,2,0),W71,1),"")</f>
        <v>K</v>
      </c>
      <c r="W71" s="9">
        <v>127</v>
      </c>
      <c r="X71" s="9" t="str">
        <f>IFERROR(MID(VLOOKUP($B71,Seqs!$A:$B,2,0),Y71,1),"")</f>
        <v>P</v>
      </c>
      <c r="Y71" s="9">
        <v>128</v>
      </c>
      <c r="Z71" s="9" t="str">
        <f>IFERROR(MID(VLOOKUP($B71,Seqs!$A:$B,2,0),AA71,1),"")</f>
        <v>R</v>
      </c>
      <c r="AA71" s="9">
        <v>135</v>
      </c>
      <c r="AB71" s="9" t="str">
        <f>IFERROR(MID(VLOOKUP($B71,Seqs!$A:$B,2,0),AC71,1),"")</f>
        <v>T</v>
      </c>
      <c r="AC71" s="9">
        <v>136</v>
      </c>
      <c r="AD71" s="9" t="str">
        <f>IFERROR(MID(VLOOKUP($B71,Seqs!$A:$B,2,0),AE71,1),"")</f>
        <v>V</v>
      </c>
      <c r="AE71" s="9">
        <v>166</v>
      </c>
      <c r="AF71" s="9" t="str">
        <f>IFERROR(MID(VLOOKUP($B71,Seqs!$A:$B,2,0),AG71,1),"")</f>
        <v>C</v>
      </c>
      <c r="AG71" s="9">
        <v>176</v>
      </c>
      <c r="AH71" s="9" t="str">
        <f>IFERROR(MID(VLOOKUP($B71,Seqs!$A:$B,2,0),AI71,1),"")</f>
        <v>I</v>
      </c>
      <c r="AI71" s="9">
        <v>178</v>
      </c>
      <c r="AJ71" s="9" t="str">
        <f>IFERROR(MID(VLOOKUP($B71,Seqs!$A:$B,2,0),AK71,1),"")</f>
        <v>N</v>
      </c>
      <c r="AK71" s="9">
        <v>183</v>
      </c>
      <c r="AL71" s="9" t="str">
        <f>IFERROR(MID(VLOOKUP($B71,Seqs!$A:$B,2,0),AM71,1),"")</f>
        <v>K</v>
      </c>
      <c r="AM71" s="9">
        <v>214</v>
      </c>
      <c r="AN71" s="9" t="str">
        <f>IFERROR(MID(VLOOKUP($B71,Seqs!$A:$B,2,0),AO71,1),"")</f>
        <v>S</v>
      </c>
      <c r="AO71" s="9">
        <v>380</v>
      </c>
      <c r="AP71" s="9" t="str">
        <f>IFERROR(MID(VLOOKUP($B71,Seqs!$A:$B,2,0),AQ71,1),"")</f>
        <v>C</v>
      </c>
      <c r="AQ71" s="9">
        <v>413</v>
      </c>
      <c r="AR71" s="9" t="str">
        <f>IFERROR(MID(VLOOKUP($B71,Seqs!$A:$B,2,0),AS71,1),"")</f>
        <v>P</v>
      </c>
      <c r="AS71" s="9">
        <v>418</v>
      </c>
      <c r="AT71" s="9" t="str">
        <f>IFERROR(MID(VLOOKUP($B71,Seqs!$A:$B,2,0),AU71,1),"")</f>
        <v>A</v>
      </c>
      <c r="AU71" s="9">
        <v>441</v>
      </c>
      <c r="AV71" s="9" t="str">
        <f>IFERROR(MID(VLOOKUP($B71,Seqs!$A:$B,2,0),AW71,1),"")</f>
        <v>N</v>
      </c>
      <c r="AW71" s="9">
        <v>444</v>
      </c>
      <c r="AX71" s="9" t="str">
        <f>IFERROR(MID(VLOOKUP($B71,Seqs!$A:$B,2,0),AY71,1),"")</f>
        <v>M</v>
      </c>
      <c r="AY71" s="9">
        <v>456</v>
      </c>
      <c r="AZ71" s="110" t="str">
        <f>VLOOKUP(B71,Classification!A:D,2,0)</f>
        <v>A</v>
      </c>
      <c r="BA71" s="98" t="str">
        <f>VLOOKUP(B71,Classification!A:D,4,0)</f>
        <v>Acetylcholine(muscarinic)</v>
      </c>
      <c r="BB71" s="36" t="b">
        <f t="shared" ref="BB71" si="254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255">_xlfn.AGGREGATE(9,6,CH71:CS71)-_xlfn.AGGREGATE(9,6,BV71:CG71)+12</f>
        <v>255</v>
      </c>
      <c r="BD71" s="11" t="s">
        <v>23</v>
      </c>
      <c r="BE71" s="9" t="s">
        <v>1381</v>
      </c>
      <c r="BF71" s="120">
        <v>2.95</v>
      </c>
      <c r="BG71" s="51" t="s">
        <v>1</v>
      </c>
      <c r="BH71" s="51" t="s">
        <v>1</v>
      </c>
      <c r="BJ71" s="111" t="s">
        <v>1293</v>
      </c>
      <c r="BK71" s="112" t="s">
        <v>1293</v>
      </c>
      <c r="BL71" s="112" t="s">
        <v>1293</v>
      </c>
      <c r="BM71" s="112" t="s">
        <v>1293</v>
      </c>
      <c r="BN71" s="112" t="s">
        <v>1293</v>
      </c>
      <c r="BO71" s="112" t="s">
        <v>1293</v>
      </c>
      <c r="BP71" s="112" t="s">
        <v>1293</v>
      </c>
      <c r="BQ71" s="112" t="s">
        <v>1293</v>
      </c>
      <c r="BR71" s="112" t="s">
        <v>1293</v>
      </c>
      <c r="BS71" s="112" t="s">
        <v>1293</v>
      </c>
      <c r="BT71" s="112" t="s">
        <v>1293</v>
      </c>
      <c r="BU71" s="112" t="s">
        <v>1293</v>
      </c>
      <c r="BV71" s="111">
        <f t="shared" ref="BV71" si="256">E71</f>
        <v>18</v>
      </c>
      <c r="BW71" s="113">
        <f t="shared" ref="BW71" si="257">I71</f>
        <v>52</v>
      </c>
      <c r="BX71" s="114">
        <f t="shared" ref="BX71" si="258">M71</f>
        <v>56</v>
      </c>
      <c r="BY71" s="113">
        <f t="shared" ref="BY71" si="259">Q71</f>
        <v>88</v>
      </c>
      <c r="BZ71" s="114">
        <f t="shared" ref="BZ71" si="260">U71</f>
        <v>92</v>
      </c>
      <c r="CA71" s="113">
        <f t="shared" ref="CA71" si="261">Y71</f>
        <v>128</v>
      </c>
      <c r="CB71" s="114">
        <f t="shared" ref="CB71" si="262">AC71</f>
        <v>136</v>
      </c>
      <c r="CC71" s="113">
        <f t="shared" ref="CC71" si="263">AG71</f>
        <v>176</v>
      </c>
      <c r="CD71" s="114">
        <f t="shared" ref="CD71" si="264">AK71</f>
        <v>183</v>
      </c>
      <c r="CE71" s="113">
        <f t="shared" ref="CE71" si="265">AO71</f>
        <v>380</v>
      </c>
      <c r="CF71" s="114">
        <f t="shared" ref="CF71" si="266">AS71</f>
        <v>418</v>
      </c>
      <c r="CG71" s="113">
        <f t="shared" ref="CG71" si="267">AW71</f>
        <v>444</v>
      </c>
      <c r="CH71" s="111">
        <f t="shared" ref="CH71" si="268">G71</f>
        <v>51</v>
      </c>
      <c r="CI71" s="113">
        <f t="shared" ref="CI71" si="269">K71</f>
        <v>55</v>
      </c>
      <c r="CJ71" s="114">
        <f t="shared" ref="CJ71" si="270">O71</f>
        <v>87</v>
      </c>
      <c r="CK71" s="114">
        <f t="shared" ref="CK71" si="271">S71</f>
        <v>91</v>
      </c>
      <c r="CL71" s="114">
        <f t="shared" ref="CL71" si="272">W71</f>
        <v>127</v>
      </c>
      <c r="CM71" s="114">
        <f t="shared" ref="CM71" si="273">AA71</f>
        <v>135</v>
      </c>
      <c r="CN71" s="114">
        <f t="shared" ref="CN71" si="274">AE71</f>
        <v>166</v>
      </c>
      <c r="CO71" s="114">
        <f t="shared" ref="CO71" si="275">AI71</f>
        <v>178</v>
      </c>
      <c r="CP71" s="114">
        <f t="shared" ref="CP71" si="276">AM71</f>
        <v>214</v>
      </c>
      <c r="CQ71" s="114">
        <f t="shared" ref="CQ71" si="277">AQ71</f>
        <v>413</v>
      </c>
      <c r="CR71" s="114">
        <f t="shared" ref="CR71" si="278">AU71</f>
        <v>441</v>
      </c>
      <c r="CS71" s="114">
        <f t="shared" ref="CS71" si="279">AY71</f>
        <v>456</v>
      </c>
      <c r="CT71" s="109">
        <f t="shared" ref="CT71" si="280">M71-K71</f>
        <v>1</v>
      </c>
    </row>
    <row r="72" spans="1:1029" s="12" customFormat="1" x14ac:dyDescent="0.2">
      <c r="A72" s="9" t="str">
        <f t="shared" ref="A72" si="281">CONCATENATE(B72,"_",C72)</f>
        <v>acm2_human_5ZK8</v>
      </c>
      <c r="B72" s="9" t="s">
        <v>147</v>
      </c>
      <c r="C72" s="9" t="s">
        <v>1554</v>
      </c>
      <c r="D72" s="9" t="str">
        <f>IFERROR(MID(VLOOKUP($B72,Seqs!$A:$B,2,0),E72,1),"")</f>
        <v>Y</v>
      </c>
      <c r="E72" s="9">
        <v>18</v>
      </c>
      <c r="F72" s="9" t="str">
        <f>IFERROR(MID(VLOOKUP($B72,Seqs!$A:$B,2,0),G72,1),"")</f>
        <v>N</v>
      </c>
      <c r="G72" s="9">
        <v>51</v>
      </c>
      <c r="H72" s="9" t="str">
        <f>IFERROR(MID(VLOOKUP($B72,Seqs!$A:$B,2,0),I72,1),"")</f>
        <v>R</v>
      </c>
      <c r="I72" s="109">
        <v>52</v>
      </c>
      <c r="J72" s="9" t="str">
        <f>IFERROR(MID(VLOOKUP($B72,Seqs!$A:$B,2,0),K72,1),"")</f>
        <v>Q</v>
      </c>
      <c r="K72" s="109">
        <v>55</v>
      </c>
      <c r="L72" s="9" t="str">
        <f>IFERROR(MID(VLOOKUP($B72,Seqs!$A:$B,2,0),M72,1),"")</f>
        <v>T</v>
      </c>
      <c r="M72" s="9">
        <v>56</v>
      </c>
      <c r="N72" s="9" t="str">
        <f>IFERROR(MID(VLOOKUP($B72,Seqs!$A:$B,2,0),O72,1),"")</f>
        <v>G</v>
      </c>
      <c r="O72" s="9">
        <v>87</v>
      </c>
      <c r="P72" s="9" t="str">
        <f>IFERROR(MID(VLOOKUP($B72,Seqs!$A:$B,2,0),Q72,1),"")</f>
        <v>Y</v>
      </c>
      <c r="Q72" s="9">
        <v>88</v>
      </c>
      <c r="R72" s="9" t="str">
        <f>IFERROR(MID(VLOOKUP($B72,Seqs!$A:$B,2,0),S72,1),"")</f>
        <v>L</v>
      </c>
      <c r="S72" s="9">
        <v>91</v>
      </c>
      <c r="T72" s="9" t="str">
        <f>IFERROR(MID(VLOOKUP($B72,Seqs!$A:$B,2,0),U72,1),"")</f>
        <v>G</v>
      </c>
      <c r="U72" s="9">
        <v>92</v>
      </c>
      <c r="V72" s="9" t="str">
        <f>IFERROR(MID(VLOOKUP($B72,Seqs!$A:$B,2,0),W72,1),"")</f>
        <v>K</v>
      </c>
      <c r="W72" s="9">
        <v>127</v>
      </c>
      <c r="X72" s="9" t="str">
        <f>IFERROR(MID(VLOOKUP($B72,Seqs!$A:$B,2,0),Y72,1),"")</f>
        <v>P</v>
      </c>
      <c r="Y72" s="9">
        <v>128</v>
      </c>
      <c r="Z72" s="9" t="str">
        <f>IFERROR(MID(VLOOKUP($B72,Seqs!$A:$B,2,0),AA72,1),"")</f>
        <v>R</v>
      </c>
      <c r="AA72" s="9">
        <v>135</v>
      </c>
      <c r="AB72" s="9" t="str">
        <f>IFERROR(MID(VLOOKUP($B72,Seqs!$A:$B,2,0),AC72,1),"")</f>
        <v>T</v>
      </c>
      <c r="AC72" s="9">
        <v>136</v>
      </c>
      <c r="AD72" s="9" t="str">
        <f>IFERROR(MID(VLOOKUP($B72,Seqs!$A:$B,2,0),AE72,1),"")</f>
        <v>V</v>
      </c>
      <c r="AE72" s="9">
        <v>166</v>
      </c>
      <c r="AF72" s="9" t="str">
        <f>IFERROR(MID(VLOOKUP($B72,Seqs!$A:$B,2,0),AG72,1),"")</f>
        <v>C</v>
      </c>
      <c r="AG72" s="9">
        <v>176</v>
      </c>
      <c r="AH72" s="9" t="str">
        <f>IFERROR(MID(VLOOKUP($B72,Seqs!$A:$B,2,0),AI72,1),"")</f>
        <v>I</v>
      </c>
      <c r="AI72" s="9">
        <v>178</v>
      </c>
      <c r="AJ72" s="9" t="str">
        <f>IFERROR(MID(VLOOKUP($B72,Seqs!$A:$B,2,0),AK72,1),"")</f>
        <v>N</v>
      </c>
      <c r="AK72" s="9">
        <v>183</v>
      </c>
      <c r="AL72" s="9" t="str">
        <f>IFERROR(MID(VLOOKUP($B72,Seqs!$A:$B,2,0),AM72,1),"")</f>
        <v>K</v>
      </c>
      <c r="AM72" s="9">
        <v>214</v>
      </c>
      <c r="AN72" s="9" t="str">
        <f>IFERROR(MID(VLOOKUP($B72,Seqs!$A:$B,2,0),AO72,1),"")</f>
        <v>K</v>
      </c>
      <c r="AO72" s="9">
        <v>383</v>
      </c>
      <c r="AP72" s="9" t="str">
        <f>IFERROR(MID(VLOOKUP($B72,Seqs!$A:$B,2,0),AQ72,1),"")</f>
        <v>C</v>
      </c>
      <c r="AQ72" s="9">
        <v>413</v>
      </c>
      <c r="AR72" s="9" t="str">
        <f>IFERROR(MID(VLOOKUP($B72,Seqs!$A:$B,2,0),AS72,1),"")</f>
        <v>P</v>
      </c>
      <c r="AS72" s="9">
        <v>418</v>
      </c>
      <c r="AT72" s="9" t="str">
        <f>IFERROR(MID(VLOOKUP($B72,Seqs!$A:$B,2,0),AU72,1),"")</f>
        <v>A</v>
      </c>
      <c r="AU72" s="9">
        <v>441</v>
      </c>
      <c r="AV72" s="9" t="str">
        <f>IFERROR(MID(VLOOKUP($B72,Seqs!$A:$B,2,0),AW72,1),"")</f>
        <v>N</v>
      </c>
      <c r="AW72" s="9">
        <v>444</v>
      </c>
      <c r="AX72" s="9" t="str">
        <f>IFERROR(MID(VLOOKUP($B72,Seqs!$A:$B,2,0),AY72,1),"")</f>
        <v>M</v>
      </c>
      <c r="AY72" s="9">
        <v>456</v>
      </c>
      <c r="AZ72" s="110" t="str">
        <f>VLOOKUP(B72,Classification!A:D,2,0)</f>
        <v>A</v>
      </c>
      <c r="BA72" s="98" t="str">
        <f>VLOOKUP(B72,Classification!A:D,4,0)</f>
        <v>Acetylcholine(muscarinic)</v>
      </c>
      <c r="BB72" s="36" t="b">
        <f t="shared" ref="BB72" si="282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283">_xlfn.AGGREGATE(9,6,CH72:CS72)-_xlfn.AGGREGATE(9,6,BV72:CG72)+12</f>
        <v>252</v>
      </c>
      <c r="BD72" s="11" t="s">
        <v>23</v>
      </c>
      <c r="BE72" s="9" t="s">
        <v>1381</v>
      </c>
      <c r="BF72" s="120">
        <v>3</v>
      </c>
      <c r="BG72" s="51" t="s">
        <v>1</v>
      </c>
      <c r="BH72" s="51" t="s">
        <v>1</v>
      </c>
      <c r="BJ72" s="111" t="s">
        <v>1293</v>
      </c>
      <c r="BK72" s="112" t="s">
        <v>1293</v>
      </c>
      <c r="BL72" s="112" t="s">
        <v>1293</v>
      </c>
      <c r="BM72" s="112" t="s">
        <v>1293</v>
      </c>
      <c r="BN72" s="112" t="s">
        <v>1293</v>
      </c>
      <c r="BO72" s="112" t="s">
        <v>1293</v>
      </c>
      <c r="BP72" s="112" t="s">
        <v>1293</v>
      </c>
      <c r="BQ72" s="112" t="s">
        <v>1293</v>
      </c>
      <c r="BR72" s="112" t="s">
        <v>1293</v>
      </c>
      <c r="BS72" s="112" t="s">
        <v>1293</v>
      </c>
      <c r="BT72" s="112" t="s">
        <v>1293</v>
      </c>
      <c r="BU72" s="112" t="s">
        <v>1293</v>
      </c>
      <c r="BV72" s="111">
        <f t="shared" ref="BV72" si="284">E72</f>
        <v>18</v>
      </c>
      <c r="BW72" s="113">
        <f t="shared" ref="BW72" si="285">I72</f>
        <v>52</v>
      </c>
      <c r="BX72" s="114">
        <f t="shared" ref="BX72" si="286">M72</f>
        <v>56</v>
      </c>
      <c r="BY72" s="113">
        <f t="shared" ref="BY72" si="287">Q72</f>
        <v>88</v>
      </c>
      <c r="BZ72" s="114">
        <f t="shared" ref="BZ72" si="288">U72</f>
        <v>92</v>
      </c>
      <c r="CA72" s="113">
        <f t="shared" ref="CA72" si="289">Y72</f>
        <v>128</v>
      </c>
      <c r="CB72" s="114">
        <f t="shared" ref="CB72" si="290">AC72</f>
        <v>136</v>
      </c>
      <c r="CC72" s="113">
        <f t="shared" ref="CC72" si="291">AG72</f>
        <v>176</v>
      </c>
      <c r="CD72" s="114">
        <f t="shared" ref="CD72" si="292">AK72</f>
        <v>183</v>
      </c>
      <c r="CE72" s="113">
        <f t="shared" ref="CE72" si="293">AO72</f>
        <v>383</v>
      </c>
      <c r="CF72" s="114">
        <f t="shared" ref="CF72" si="294">AS72</f>
        <v>418</v>
      </c>
      <c r="CG72" s="113">
        <f t="shared" ref="CG72" si="295">AW72</f>
        <v>444</v>
      </c>
      <c r="CH72" s="111">
        <f t="shared" ref="CH72" si="296">G72</f>
        <v>51</v>
      </c>
      <c r="CI72" s="113">
        <f t="shared" ref="CI72" si="297">K72</f>
        <v>55</v>
      </c>
      <c r="CJ72" s="114">
        <f t="shared" ref="CJ72" si="298">O72</f>
        <v>87</v>
      </c>
      <c r="CK72" s="114">
        <f t="shared" ref="CK72" si="299">S72</f>
        <v>91</v>
      </c>
      <c r="CL72" s="114">
        <f t="shared" ref="CL72" si="300">W72</f>
        <v>127</v>
      </c>
      <c r="CM72" s="114">
        <f t="shared" ref="CM72" si="301">AA72</f>
        <v>135</v>
      </c>
      <c r="CN72" s="114">
        <f t="shared" ref="CN72" si="302">AE72</f>
        <v>166</v>
      </c>
      <c r="CO72" s="114">
        <f t="shared" ref="CO72" si="303">AI72</f>
        <v>178</v>
      </c>
      <c r="CP72" s="114">
        <f t="shared" ref="CP72" si="304">AM72</f>
        <v>214</v>
      </c>
      <c r="CQ72" s="114">
        <f t="shared" ref="CQ72" si="305">AQ72</f>
        <v>413</v>
      </c>
      <c r="CR72" s="114">
        <f t="shared" ref="CR72" si="306">AU72</f>
        <v>441</v>
      </c>
      <c r="CS72" s="114">
        <f t="shared" ref="CS72" si="307">AY72</f>
        <v>456</v>
      </c>
      <c r="CT72" s="109">
        <f t="shared" ref="CT72" si="308">M72-K72</f>
        <v>1</v>
      </c>
    </row>
    <row r="73" spans="1:1029" s="12" customFormat="1" x14ac:dyDescent="0.2">
      <c r="A73" s="9" t="str">
        <f t="shared" ref="A73" si="309">CONCATENATE(B73,"_",C73)</f>
        <v>acm2_human_5ZK3</v>
      </c>
      <c r="B73" s="9" t="s">
        <v>147</v>
      </c>
      <c r="C73" s="9" t="s">
        <v>1555</v>
      </c>
      <c r="D73" s="9" t="str">
        <f>IFERROR(MID(VLOOKUP($B73,Seqs!$A:$B,2,0),E73,1),"")</f>
        <v>Y</v>
      </c>
      <c r="E73" s="9">
        <v>18</v>
      </c>
      <c r="F73" s="9" t="str">
        <f>IFERROR(MID(VLOOKUP($B73,Seqs!$A:$B,2,0),G73,1),"")</f>
        <v>N</v>
      </c>
      <c r="G73" s="9">
        <v>51</v>
      </c>
      <c r="H73" s="9" t="str">
        <f>IFERROR(MID(VLOOKUP($B73,Seqs!$A:$B,2,0),I73,1),"")</f>
        <v>R</v>
      </c>
      <c r="I73" s="109">
        <v>52</v>
      </c>
      <c r="J73" s="9" t="str">
        <f>IFERROR(MID(VLOOKUP($B73,Seqs!$A:$B,2,0),K73,1),"")</f>
        <v>Q</v>
      </c>
      <c r="K73" s="109">
        <v>55</v>
      </c>
      <c r="L73" s="9" t="str">
        <f>IFERROR(MID(VLOOKUP($B73,Seqs!$A:$B,2,0),M73,1),"")</f>
        <v>T</v>
      </c>
      <c r="M73" s="9">
        <v>56</v>
      </c>
      <c r="N73" s="9" t="str">
        <f>IFERROR(MID(VLOOKUP($B73,Seqs!$A:$B,2,0),O73,1),"")</f>
        <v>G</v>
      </c>
      <c r="O73" s="9">
        <v>87</v>
      </c>
      <c r="P73" s="9" t="str">
        <f>IFERROR(MID(VLOOKUP($B73,Seqs!$A:$B,2,0),Q73,1),"")</f>
        <v>Y</v>
      </c>
      <c r="Q73" s="9">
        <v>88</v>
      </c>
      <c r="R73" s="9" t="str">
        <f>IFERROR(MID(VLOOKUP($B73,Seqs!$A:$B,2,0),S73,1),"")</f>
        <v>L</v>
      </c>
      <c r="S73" s="9">
        <v>91</v>
      </c>
      <c r="T73" s="9" t="str">
        <f>IFERROR(MID(VLOOKUP($B73,Seqs!$A:$B,2,0),U73,1),"")</f>
        <v>G</v>
      </c>
      <c r="U73" s="9">
        <v>92</v>
      </c>
      <c r="V73" s="9" t="str">
        <f>IFERROR(MID(VLOOKUP($B73,Seqs!$A:$B,2,0),W73,1),"")</f>
        <v>K</v>
      </c>
      <c r="W73" s="9">
        <v>127</v>
      </c>
      <c r="X73" s="9" t="str">
        <f>IFERROR(MID(VLOOKUP($B73,Seqs!$A:$B,2,0),Y73,1),"")</f>
        <v>P</v>
      </c>
      <c r="Y73" s="9">
        <v>128</v>
      </c>
      <c r="Z73" s="9" t="str">
        <f>IFERROR(MID(VLOOKUP($B73,Seqs!$A:$B,2,0),AA73,1),"")</f>
        <v>R</v>
      </c>
      <c r="AA73" s="9">
        <v>135</v>
      </c>
      <c r="AB73" s="9" t="str">
        <f>IFERROR(MID(VLOOKUP($B73,Seqs!$A:$B,2,0),AC73,1),"")</f>
        <v>T</v>
      </c>
      <c r="AC73" s="9">
        <v>136</v>
      </c>
      <c r="AD73" s="9" t="str">
        <f>IFERROR(MID(VLOOKUP($B73,Seqs!$A:$B,2,0),AE73,1),"")</f>
        <v>V</v>
      </c>
      <c r="AE73" s="9">
        <v>166</v>
      </c>
      <c r="AF73" s="9" t="str">
        <f>IFERROR(MID(VLOOKUP($B73,Seqs!$A:$B,2,0),AG73,1),"")</f>
        <v>C</v>
      </c>
      <c r="AG73" s="9">
        <v>176</v>
      </c>
      <c r="AH73" s="9" t="str">
        <f>IFERROR(MID(VLOOKUP($B73,Seqs!$A:$B,2,0),AI73,1),"")</f>
        <v>I</v>
      </c>
      <c r="AI73" s="9">
        <v>178</v>
      </c>
      <c r="AJ73" s="9" t="str">
        <f>IFERROR(MID(VLOOKUP($B73,Seqs!$A:$B,2,0),AK73,1),"")</f>
        <v>N</v>
      </c>
      <c r="AK73" s="9">
        <v>183</v>
      </c>
      <c r="AL73" s="9" t="str">
        <f>IFERROR(MID(VLOOKUP($B73,Seqs!$A:$B,2,0),AM73,1),"")</f>
        <v>K</v>
      </c>
      <c r="AM73" s="9">
        <v>214</v>
      </c>
      <c r="AN73" s="9" t="str">
        <f>IFERROR(MID(VLOOKUP($B73,Seqs!$A:$B,2,0),AO73,1),"")</f>
        <v>E</v>
      </c>
      <c r="AO73" s="9">
        <v>382</v>
      </c>
      <c r="AP73" s="9" t="str">
        <f>IFERROR(MID(VLOOKUP($B73,Seqs!$A:$B,2,0),AQ73,1),"")</f>
        <v>C</v>
      </c>
      <c r="AQ73" s="9">
        <v>413</v>
      </c>
      <c r="AR73" s="9" t="str">
        <f>IFERROR(MID(VLOOKUP($B73,Seqs!$A:$B,2,0),AS73,1),"")</f>
        <v>P</v>
      </c>
      <c r="AS73" s="9">
        <v>418</v>
      </c>
      <c r="AT73" s="9" t="str">
        <f>IFERROR(MID(VLOOKUP($B73,Seqs!$A:$B,2,0),AU73,1),"")</f>
        <v>A</v>
      </c>
      <c r="AU73" s="9">
        <v>441</v>
      </c>
      <c r="AV73" s="9" t="str">
        <f>IFERROR(MID(VLOOKUP($B73,Seqs!$A:$B,2,0),AW73,1),"")</f>
        <v>N</v>
      </c>
      <c r="AW73" s="9">
        <v>444</v>
      </c>
      <c r="AX73" s="9" t="str">
        <f>IFERROR(MID(VLOOKUP($B73,Seqs!$A:$B,2,0),AY73,1),"")</f>
        <v>M</v>
      </c>
      <c r="AY73" s="9">
        <v>456</v>
      </c>
      <c r="AZ73" s="110" t="str">
        <f>VLOOKUP(B73,Classification!A:D,2,0)</f>
        <v>A</v>
      </c>
      <c r="BA73" s="98" t="str">
        <f>VLOOKUP(B73,Classification!A:D,4,0)</f>
        <v>Acetylcholine(muscarinic)</v>
      </c>
      <c r="BB73" s="36" t="b">
        <f t="shared" ref="BB73" si="31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311">_xlfn.AGGREGATE(9,6,CH73:CS73)-_xlfn.AGGREGATE(9,6,BV73:CG73)+12</f>
        <v>253</v>
      </c>
      <c r="BD73" s="11" t="s">
        <v>23</v>
      </c>
      <c r="BE73" s="9" t="s">
        <v>1381</v>
      </c>
      <c r="BF73" s="120">
        <v>2.6</v>
      </c>
      <c r="BG73" s="51" t="s">
        <v>1</v>
      </c>
      <c r="BH73" s="51" t="s">
        <v>1</v>
      </c>
      <c r="BJ73" s="111" t="s">
        <v>1293</v>
      </c>
      <c r="BK73" s="112" t="s">
        <v>1293</v>
      </c>
      <c r="BL73" s="112" t="s">
        <v>1293</v>
      </c>
      <c r="BM73" s="112" t="s">
        <v>1293</v>
      </c>
      <c r="BN73" s="112" t="s">
        <v>1293</v>
      </c>
      <c r="BO73" s="112" t="s">
        <v>1293</v>
      </c>
      <c r="BP73" s="112" t="s">
        <v>1293</v>
      </c>
      <c r="BQ73" s="112" t="s">
        <v>1293</v>
      </c>
      <c r="BR73" s="112" t="s">
        <v>1293</v>
      </c>
      <c r="BS73" s="112" t="s">
        <v>1293</v>
      </c>
      <c r="BT73" s="112" t="s">
        <v>1293</v>
      </c>
      <c r="BU73" s="112" t="s">
        <v>1293</v>
      </c>
      <c r="BV73" s="111">
        <f t="shared" ref="BV73" si="312">E73</f>
        <v>18</v>
      </c>
      <c r="BW73" s="113">
        <f t="shared" ref="BW73" si="313">I73</f>
        <v>52</v>
      </c>
      <c r="BX73" s="114">
        <f t="shared" ref="BX73" si="314">M73</f>
        <v>56</v>
      </c>
      <c r="BY73" s="113">
        <f t="shared" ref="BY73" si="315">Q73</f>
        <v>88</v>
      </c>
      <c r="BZ73" s="114">
        <f t="shared" ref="BZ73" si="316">U73</f>
        <v>92</v>
      </c>
      <c r="CA73" s="113">
        <f t="shared" ref="CA73" si="317">Y73</f>
        <v>128</v>
      </c>
      <c r="CB73" s="114">
        <f t="shared" ref="CB73" si="318">AC73</f>
        <v>136</v>
      </c>
      <c r="CC73" s="113">
        <f t="shared" ref="CC73" si="319">AG73</f>
        <v>176</v>
      </c>
      <c r="CD73" s="114">
        <f t="shared" ref="CD73" si="320">AK73</f>
        <v>183</v>
      </c>
      <c r="CE73" s="113">
        <f t="shared" ref="CE73" si="321">AO73</f>
        <v>382</v>
      </c>
      <c r="CF73" s="114">
        <f t="shared" ref="CF73" si="322">AS73</f>
        <v>418</v>
      </c>
      <c r="CG73" s="113">
        <f t="shared" ref="CG73" si="323">AW73</f>
        <v>444</v>
      </c>
      <c r="CH73" s="111">
        <f t="shared" ref="CH73" si="324">G73</f>
        <v>51</v>
      </c>
      <c r="CI73" s="113">
        <f t="shared" ref="CI73" si="325">K73</f>
        <v>55</v>
      </c>
      <c r="CJ73" s="114">
        <f t="shared" ref="CJ73" si="326">O73</f>
        <v>87</v>
      </c>
      <c r="CK73" s="114">
        <f t="shared" ref="CK73" si="327">S73</f>
        <v>91</v>
      </c>
      <c r="CL73" s="114">
        <f t="shared" ref="CL73" si="328">W73</f>
        <v>127</v>
      </c>
      <c r="CM73" s="114">
        <f t="shared" ref="CM73" si="329">AA73</f>
        <v>135</v>
      </c>
      <c r="CN73" s="114">
        <f t="shared" ref="CN73" si="330">AE73</f>
        <v>166</v>
      </c>
      <c r="CO73" s="114">
        <f t="shared" ref="CO73" si="331">AI73</f>
        <v>178</v>
      </c>
      <c r="CP73" s="114">
        <f t="shared" ref="CP73" si="332">AM73</f>
        <v>214</v>
      </c>
      <c r="CQ73" s="114">
        <f t="shared" ref="CQ73" si="333">AQ73</f>
        <v>413</v>
      </c>
      <c r="CR73" s="114">
        <f t="shared" ref="CR73" si="334">AU73</f>
        <v>441</v>
      </c>
      <c r="CS73" s="114">
        <f t="shared" ref="CS73" si="335">AY73</f>
        <v>456</v>
      </c>
      <c r="CT73" s="109">
        <f t="shared" ref="CT73" si="336">M73-K73</f>
        <v>1</v>
      </c>
    </row>
    <row r="74" spans="1:1029" s="12" customFormat="1" x14ac:dyDescent="0.2">
      <c r="A74" s="9" t="str">
        <f t="shared" ref="A74" si="337">CONCATENATE(B74,"_",C74)</f>
        <v>acm2_human_5YC8</v>
      </c>
      <c r="B74" s="9" t="s">
        <v>147</v>
      </c>
      <c r="C74" s="9" t="s">
        <v>1556</v>
      </c>
      <c r="D74" s="9" t="str">
        <f>IFERROR(MID(VLOOKUP($B74,Seqs!$A:$B,2,0),E74,1),"")</f>
        <v>Y</v>
      </c>
      <c r="E74" s="9">
        <v>18</v>
      </c>
      <c r="F74" s="9" t="str">
        <f>IFERROR(MID(VLOOKUP($B74,Seqs!$A:$B,2,0),G74,1),"")</f>
        <v>N</v>
      </c>
      <c r="G74" s="9">
        <v>51</v>
      </c>
      <c r="H74" s="9" t="str">
        <f>IFERROR(MID(VLOOKUP($B74,Seqs!$A:$B,2,0),I74,1),"")</f>
        <v>R</v>
      </c>
      <c r="I74" s="109">
        <v>52</v>
      </c>
      <c r="J74" s="9" t="str">
        <f>IFERROR(MID(VLOOKUP($B74,Seqs!$A:$B,2,0),K74,1),"")</f>
        <v>Q</v>
      </c>
      <c r="K74" s="109">
        <v>55</v>
      </c>
      <c r="L74" s="9" t="str">
        <f>IFERROR(MID(VLOOKUP($B74,Seqs!$A:$B,2,0),M74,1),"")</f>
        <v>T</v>
      </c>
      <c r="M74" s="9">
        <v>56</v>
      </c>
      <c r="N74" s="9" t="str">
        <f>IFERROR(MID(VLOOKUP($B74,Seqs!$A:$B,2,0),O74,1),"")</f>
        <v>G</v>
      </c>
      <c r="O74" s="9">
        <v>87</v>
      </c>
      <c r="P74" s="9" t="str">
        <f>IFERROR(MID(VLOOKUP($B74,Seqs!$A:$B,2,0),Q74,1),"")</f>
        <v>Y</v>
      </c>
      <c r="Q74" s="9">
        <v>88</v>
      </c>
      <c r="R74" s="9" t="str">
        <f>IFERROR(MID(VLOOKUP($B74,Seqs!$A:$B,2,0),S74,1),"")</f>
        <v>L</v>
      </c>
      <c r="S74" s="9">
        <v>91</v>
      </c>
      <c r="T74" s="9" t="str">
        <f>IFERROR(MID(VLOOKUP($B74,Seqs!$A:$B,2,0),U74,1),"")</f>
        <v>G</v>
      </c>
      <c r="U74" s="9">
        <v>92</v>
      </c>
      <c r="V74" s="9" t="str">
        <f>IFERROR(MID(VLOOKUP($B74,Seqs!$A:$B,2,0),W74,1),"")</f>
        <v>K</v>
      </c>
      <c r="W74" s="9">
        <v>127</v>
      </c>
      <c r="X74" s="9" t="str">
        <f>IFERROR(MID(VLOOKUP($B74,Seqs!$A:$B,2,0),Y74,1),"")</f>
        <v>P</v>
      </c>
      <c r="Y74" s="9">
        <v>128</v>
      </c>
      <c r="Z74" s="9" t="str">
        <f>IFERROR(MID(VLOOKUP($B74,Seqs!$A:$B,2,0),AA74,1),"")</f>
        <v>R</v>
      </c>
      <c r="AA74" s="9">
        <v>135</v>
      </c>
      <c r="AB74" s="9" t="str">
        <f>IFERROR(MID(VLOOKUP($B74,Seqs!$A:$B,2,0),AC74,1),"")</f>
        <v>T</v>
      </c>
      <c r="AC74" s="9">
        <v>136</v>
      </c>
      <c r="AD74" s="9" t="str">
        <f>IFERROR(MID(VLOOKUP($B74,Seqs!$A:$B,2,0),AE74,1),"")</f>
        <v>V</v>
      </c>
      <c r="AE74" s="9">
        <v>166</v>
      </c>
      <c r="AF74" s="9" t="str">
        <f>IFERROR(MID(VLOOKUP($B74,Seqs!$A:$B,2,0),AG74,1),"")</f>
        <v>C</v>
      </c>
      <c r="AG74" s="9">
        <v>176</v>
      </c>
      <c r="AH74" s="9" t="str">
        <f>IFERROR(MID(VLOOKUP($B74,Seqs!$A:$B,2,0),AI74,1),"")</f>
        <v>I</v>
      </c>
      <c r="AI74" s="9">
        <v>178</v>
      </c>
      <c r="AJ74" s="9" t="str">
        <f>IFERROR(MID(VLOOKUP($B74,Seqs!$A:$B,2,0),AK74,1),"")</f>
        <v>N</v>
      </c>
      <c r="AK74" s="9">
        <v>183</v>
      </c>
      <c r="AL74" s="9" t="str">
        <f>IFERROR(MID(VLOOKUP($B74,Seqs!$A:$B,2,0),AM74,1),"")</f>
        <v>K</v>
      </c>
      <c r="AM74" s="9">
        <v>214</v>
      </c>
      <c r="AN74" s="9" t="str">
        <f>IFERROR(MID(VLOOKUP($B74,Seqs!$A:$B,2,0),AO74,1),"")</f>
        <v>R</v>
      </c>
      <c r="AO74" s="9">
        <v>381</v>
      </c>
      <c r="AP74" s="9" t="str">
        <f>IFERROR(MID(VLOOKUP($B74,Seqs!$A:$B,2,0),AQ74,1),"")</f>
        <v>C</v>
      </c>
      <c r="AQ74" s="9">
        <v>413</v>
      </c>
      <c r="AR74" s="9" t="str">
        <f>IFERROR(MID(VLOOKUP($B74,Seqs!$A:$B,2,0),AS74,1),"")</f>
        <v>P</v>
      </c>
      <c r="AS74" s="9">
        <v>418</v>
      </c>
      <c r="AT74" s="9" t="str">
        <f>IFERROR(MID(VLOOKUP($B74,Seqs!$A:$B,2,0),AU74,1),"")</f>
        <v>A</v>
      </c>
      <c r="AU74" s="9">
        <v>441</v>
      </c>
      <c r="AV74" s="9" t="str">
        <f>IFERROR(MID(VLOOKUP($B74,Seqs!$A:$B,2,0),AW74,1),"")</f>
        <v>N</v>
      </c>
      <c r="AW74" s="9">
        <v>444</v>
      </c>
      <c r="AX74" s="9" t="str">
        <f>IFERROR(MID(VLOOKUP($B74,Seqs!$A:$B,2,0),AY74,1),"")</f>
        <v>M</v>
      </c>
      <c r="AY74" s="9">
        <v>456</v>
      </c>
      <c r="AZ74" s="110" t="str">
        <f>VLOOKUP(B74,Classification!A:D,2,0)</f>
        <v>A</v>
      </c>
      <c r="BA74" s="98" t="str">
        <f>VLOOKUP(B74,Classification!A:D,4,0)</f>
        <v>Acetylcholine(muscarinic)</v>
      </c>
      <c r="BB74" s="36" t="b">
        <f t="shared" ref="BB74" si="33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109">
        <f t="shared" ref="BC74" si="339">_xlfn.AGGREGATE(9,6,CH74:CS74)-_xlfn.AGGREGATE(9,6,BV74:CG74)+12</f>
        <v>254</v>
      </c>
      <c r="BD74" s="11" t="s">
        <v>23</v>
      </c>
      <c r="BE74" s="9" t="s">
        <v>1381</v>
      </c>
      <c r="BF74" s="120">
        <v>2.5</v>
      </c>
      <c r="BG74" s="51" t="s">
        <v>1</v>
      </c>
      <c r="BH74" s="51" t="s">
        <v>1</v>
      </c>
      <c r="BJ74" s="111" t="s">
        <v>1293</v>
      </c>
      <c r="BK74" s="112" t="s">
        <v>1293</v>
      </c>
      <c r="BL74" s="112" t="s">
        <v>1293</v>
      </c>
      <c r="BM74" s="112" t="s">
        <v>1293</v>
      </c>
      <c r="BN74" s="112" t="s">
        <v>1293</v>
      </c>
      <c r="BO74" s="112" t="s">
        <v>1293</v>
      </c>
      <c r="BP74" s="112" t="s">
        <v>1293</v>
      </c>
      <c r="BQ74" s="112" t="s">
        <v>1293</v>
      </c>
      <c r="BR74" s="112" t="s">
        <v>1293</v>
      </c>
      <c r="BS74" s="112" t="s">
        <v>1293</v>
      </c>
      <c r="BT74" s="112" t="s">
        <v>1293</v>
      </c>
      <c r="BU74" s="112" t="s">
        <v>1293</v>
      </c>
      <c r="BV74" s="111">
        <f t="shared" ref="BV74" si="340">E74</f>
        <v>18</v>
      </c>
      <c r="BW74" s="113">
        <f t="shared" ref="BW74" si="341">I74</f>
        <v>52</v>
      </c>
      <c r="BX74" s="114">
        <f t="shared" ref="BX74" si="342">M74</f>
        <v>56</v>
      </c>
      <c r="BY74" s="113">
        <f t="shared" ref="BY74" si="343">Q74</f>
        <v>88</v>
      </c>
      <c r="BZ74" s="114">
        <f t="shared" ref="BZ74" si="344">U74</f>
        <v>92</v>
      </c>
      <c r="CA74" s="113">
        <f t="shared" ref="CA74" si="345">Y74</f>
        <v>128</v>
      </c>
      <c r="CB74" s="114">
        <f t="shared" ref="CB74" si="346">AC74</f>
        <v>136</v>
      </c>
      <c r="CC74" s="113">
        <f t="shared" ref="CC74" si="347">AG74</f>
        <v>176</v>
      </c>
      <c r="CD74" s="114">
        <f t="shared" ref="CD74" si="348">AK74</f>
        <v>183</v>
      </c>
      <c r="CE74" s="113">
        <f t="shared" ref="CE74" si="349">AO74</f>
        <v>381</v>
      </c>
      <c r="CF74" s="114">
        <f t="shared" ref="CF74" si="350">AS74</f>
        <v>418</v>
      </c>
      <c r="CG74" s="113">
        <f t="shared" ref="CG74" si="351">AW74</f>
        <v>444</v>
      </c>
      <c r="CH74" s="111">
        <f t="shared" ref="CH74" si="352">G74</f>
        <v>51</v>
      </c>
      <c r="CI74" s="113">
        <f t="shared" ref="CI74" si="353">K74</f>
        <v>55</v>
      </c>
      <c r="CJ74" s="114">
        <f t="shared" ref="CJ74" si="354">O74</f>
        <v>87</v>
      </c>
      <c r="CK74" s="114">
        <f t="shared" ref="CK74" si="355">S74</f>
        <v>91</v>
      </c>
      <c r="CL74" s="114">
        <f t="shared" ref="CL74" si="356">W74</f>
        <v>127</v>
      </c>
      <c r="CM74" s="114">
        <f t="shared" ref="CM74" si="357">AA74</f>
        <v>135</v>
      </c>
      <c r="CN74" s="114">
        <f t="shared" ref="CN74" si="358">AE74</f>
        <v>166</v>
      </c>
      <c r="CO74" s="114">
        <f t="shared" ref="CO74" si="359">AI74</f>
        <v>178</v>
      </c>
      <c r="CP74" s="114">
        <f t="shared" ref="CP74" si="360">AM74</f>
        <v>214</v>
      </c>
      <c r="CQ74" s="114">
        <f t="shared" ref="CQ74" si="361">AQ74</f>
        <v>413</v>
      </c>
      <c r="CR74" s="114">
        <f t="shared" ref="CR74" si="362">AU74</f>
        <v>441</v>
      </c>
      <c r="CS74" s="114">
        <f t="shared" ref="CS74" si="363">AY74</f>
        <v>456</v>
      </c>
      <c r="CT74" s="109">
        <f t="shared" ref="CT74" si="364">M74-K74</f>
        <v>1</v>
      </c>
    </row>
    <row r="75" spans="1:1029" x14ac:dyDescent="0.2">
      <c r="A75" s="3" t="str">
        <f t="shared" si="223"/>
        <v>acm3_rat__wt</v>
      </c>
      <c r="B75" s="3" t="s">
        <v>910</v>
      </c>
      <c r="C75" s="3" t="s">
        <v>100</v>
      </c>
      <c r="D75" s="3" t="str">
        <f>IFERROR(MID(VLOOKUP($B75,Seqs!$A:$B,2,0),E75,1),"")</f>
        <v>I</v>
      </c>
      <c r="E75" s="3">
        <v>64</v>
      </c>
      <c r="F75" s="3" t="str">
        <f>IFERROR(MID(VLOOKUP($B75,Seqs!$A:$B,2,0),G75,1),"")</f>
        <v>N</v>
      </c>
      <c r="G75" s="3">
        <v>95</v>
      </c>
      <c r="H75" s="3" t="str">
        <f>IFERROR(MID(VLOOKUP($B75,Seqs!$A:$B,2,0),I75,1),"")</f>
        <v>K</v>
      </c>
      <c r="I75" s="23">
        <v>96</v>
      </c>
      <c r="J75" s="3" t="str">
        <f>IFERROR(MID(VLOOKUP($B75,Seqs!$A:$B,2,0),K75,1),"")</f>
        <v>K</v>
      </c>
      <c r="K75" s="23">
        <v>99</v>
      </c>
      <c r="L75" s="3" t="str">
        <f>IFERROR(MID(VLOOKUP($B75,Seqs!$A:$B,2,0),M75,1),"")</f>
        <v>T</v>
      </c>
      <c r="M75" s="3">
        <v>100</v>
      </c>
      <c r="N75" s="3" t="str">
        <f>IFERROR(MID(VLOOKUP($B75,Seqs!$A:$B,2,0),O75,1),"")</f>
        <v>M</v>
      </c>
      <c r="O75" s="3">
        <v>130</v>
      </c>
      <c r="P75" s="3" t="str">
        <f>IFERROR(MID(VLOOKUP($B75,Seqs!$A:$B,2,0),Q75,1),"")</f>
        <v>R</v>
      </c>
      <c r="Q75" s="3">
        <v>132</v>
      </c>
      <c r="R75" s="3" t="str">
        <f>IFERROR(MID(VLOOKUP($B75,Seqs!$A:$B,2,0),S75,1),"")</f>
        <v>L</v>
      </c>
      <c r="S75" s="3">
        <v>135</v>
      </c>
      <c r="T75" s="3" t="str">
        <f>IFERROR(MID(VLOOKUP($B75,Seqs!$A:$B,2,0),U75,1),"")</f>
        <v>G</v>
      </c>
      <c r="U75" s="3">
        <v>136</v>
      </c>
      <c r="V75" s="3" t="str">
        <f>IFERROR(MID(VLOOKUP($B75,Seqs!$A:$B,2,0),W75,1),"")</f>
        <v>R</v>
      </c>
      <c r="W75" s="3">
        <v>171</v>
      </c>
      <c r="X75" s="3" t="str">
        <f>IFERROR(MID(VLOOKUP($B75,Seqs!$A:$B,2,0),Y75,1),"")</f>
        <v>P</v>
      </c>
      <c r="Y75" s="3">
        <v>172</v>
      </c>
      <c r="Z75" s="3" t="str">
        <f>IFERROR(MID(VLOOKUP($B75,Seqs!$A:$B,2,0),AA75,1),"")</f>
        <v>R</v>
      </c>
      <c r="AA75" s="3">
        <v>179</v>
      </c>
      <c r="AB75" s="3" t="str">
        <f>IFERROR(MID(VLOOKUP($B75,Seqs!$A:$B,2,0),AC75,1),"")</f>
        <v>T</v>
      </c>
      <c r="AC75" s="9">
        <v>180</v>
      </c>
      <c r="AD75" s="3" t="str">
        <f>IFERROR(MID(VLOOKUP($B75,Seqs!$A:$B,2,0),AE75,1),"")</f>
        <v>G</v>
      </c>
      <c r="AE75" s="3">
        <v>211</v>
      </c>
      <c r="AF75" s="3" t="str">
        <f>IFERROR(MID(VLOOKUP($B75,Seqs!$A:$B,2,0),AG75,1),"")</f>
        <v>C</v>
      </c>
      <c r="AG75" s="3">
        <v>220</v>
      </c>
      <c r="AH75" s="3" t="str">
        <f>IFERROR(MID(VLOOKUP($B75,Seqs!$A:$B,2,0),AI75,1),"")</f>
        <v>I</v>
      </c>
      <c r="AI75" s="3">
        <v>222</v>
      </c>
      <c r="AJ75" s="3" t="str">
        <f>IFERROR(MID(VLOOKUP($B75,Seqs!$A:$B,2,0),AK75,1),"")</f>
        <v>E</v>
      </c>
      <c r="AK75" s="3">
        <v>227</v>
      </c>
      <c r="AL75" s="3" t="str">
        <f>IFERROR(MID(VLOOKUP($B75,Seqs!$A:$B,2,0),AM75,1),"")</f>
        <v>L</v>
      </c>
      <c r="AM75" s="3">
        <v>267</v>
      </c>
      <c r="AN75" s="3" t="str">
        <f>IFERROR(MID(VLOOKUP($B75,Seqs!$A:$B,2,0),AO75,1),"")</f>
        <v>R</v>
      </c>
      <c r="AO75" s="3">
        <v>479</v>
      </c>
      <c r="AP75" s="3" t="str">
        <f>IFERROR(MID(VLOOKUP($B75,Seqs!$A:$B,2,0),AQ75,1),"")</f>
        <v>C</v>
      </c>
      <c r="AQ75" s="3">
        <v>516</v>
      </c>
      <c r="AR75" s="3" t="str">
        <f>IFERROR(MID(VLOOKUP($B75,Seqs!$A:$B,2,0),AS75,1),"")</f>
        <v>P</v>
      </c>
      <c r="AS75" s="3">
        <v>521</v>
      </c>
      <c r="AT75" s="3" t="str">
        <f>IFERROR(MID(VLOOKUP($B75,Seqs!$A:$B,2,0),AU75,1),"")</f>
        <v>C</v>
      </c>
      <c r="AU75" s="3">
        <v>546</v>
      </c>
      <c r="AV75" s="3" t="str">
        <f>IFERROR(MID(VLOOKUP($B75,Seqs!$A:$B,2,0),AW75,1),"")</f>
        <v>N</v>
      </c>
      <c r="AW75" s="3">
        <v>547</v>
      </c>
      <c r="AX75" s="3" t="str">
        <f>IFERROR(MID(VLOOKUP($B75,Seqs!$A:$B,2,0),AY75,1),"")</f>
        <v>L</v>
      </c>
      <c r="AY75" s="3">
        <v>558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224"/>
        <v>1</v>
      </c>
      <c r="BC75" s="23">
        <f t="shared" si="169"/>
        <v>267</v>
      </c>
      <c r="BD75" s="56" t="s">
        <v>1379</v>
      </c>
      <c r="BE75" s="3" t="s">
        <v>23</v>
      </c>
      <c r="BF75" s="119" t="s">
        <v>23</v>
      </c>
      <c r="BG75" s="49" t="s">
        <v>1379</v>
      </c>
      <c r="BH75" s="49" t="s">
        <v>1384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si="170"/>
        <v>64</v>
      </c>
      <c r="BW75" s="71">
        <f t="shared" si="171"/>
        <v>96</v>
      </c>
      <c r="BX75" s="72">
        <f t="shared" si="172"/>
        <v>100</v>
      </c>
      <c r="BY75" s="71">
        <f t="shared" si="173"/>
        <v>132</v>
      </c>
      <c r="BZ75" s="72">
        <f t="shared" si="174"/>
        <v>136</v>
      </c>
      <c r="CA75" s="71">
        <f t="shared" si="175"/>
        <v>172</v>
      </c>
      <c r="CB75" s="72">
        <f t="shared" si="176"/>
        <v>180</v>
      </c>
      <c r="CC75" s="71">
        <f t="shared" si="177"/>
        <v>220</v>
      </c>
      <c r="CD75" s="72">
        <f t="shared" si="178"/>
        <v>227</v>
      </c>
      <c r="CE75" s="71">
        <f t="shared" si="179"/>
        <v>479</v>
      </c>
      <c r="CF75" s="72">
        <f t="shared" si="180"/>
        <v>521</v>
      </c>
      <c r="CG75" s="71">
        <f t="shared" si="181"/>
        <v>547</v>
      </c>
      <c r="CH75" s="70">
        <f t="shared" si="182"/>
        <v>95</v>
      </c>
      <c r="CI75" s="71">
        <f t="shared" si="183"/>
        <v>99</v>
      </c>
      <c r="CJ75" s="72">
        <f t="shared" si="184"/>
        <v>130</v>
      </c>
      <c r="CK75" s="72">
        <f t="shared" si="185"/>
        <v>135</v>
      </c>
      <c r="CL75" s="72">
        <f t="shared" si="186"/>
        <v>171</v>
      </c>
      <c r="CM75" s="72">
        <f t="shared" si="187"/>
        <v>179</v>
      </c>
      <c r="CN75" s="72">
        <f t="shared" si="188"/>
        <v>211</v>
      </c>
      <c r="CO75" s="72">
        <f t="shared" si="189"/>
        <v>222</v>
      </c>
      <c r="CP75" s="72">
        <f t="shared" si="190"/>
        <v>267</v>
      </c>
      <c r="CQ75" s="72">
        <f t="shared" si="191"/>
        <v>516</v>
      </c>
      <c r="CR75" s="72">
        <f t="shared" si="192"/>
        <v>546</v>
      </c>
      <c r="CS75" s="72">
        <f t="shared" si="193"/>
        <v>558</v>
      </c>
      <c r="CT75" s="23">
        <f t="shared" si="194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223"/>
        <v>acm3_rat_4U15</v>
      </c>
      <c r="B76" s="3" t="s">
        <v>910</v>
      </c>
      <c r="C76" s="3" t="s">
        <v>71</v>
      </c>
      <c r="D76" s="3" t="str">
        <f>IFERROR(MID(VLOOKUP($B76,Seqs!$A:$B,2,0),E76,1),"")</f>
        <v>I</v>
      </c>
      <c r="E76" s="3">
        <v>64</v>
      </c>
      <c r="F76" s="3" t="str">
        <f>IFERROR(MID(VLOOKUP($B76,Seqs!$A:$B,2,0),G76,1),"")</f>
        <v>N</v>
      </c>
      <c r="G76" s="3">
        <v>95</v>
      </c>
      <c r="H76" s="3" t="str">
        <f>IFERROR(MID(VLOOKUP($B76,Seqs!$A:$B,2,0),I76,1),"")</f>
        <v>K</v>
      </c>
      <c r="I76" s="23">
        <v>96</v>
      </c>
      <c r="J76" s="3" t="str">
        <f>IFERROR(MID(VLOOKUP($B76,Seqs!$A:$B,2,0),K76,1),"")</f>
        <v>K</v>
      </c>
      <c r="K76" s="23">
        <v>99</v>
      </c>
      <c r="L76" s="3" t="str">
        <f>IFERROR(MID(VLOOKUP($B76,Seqs!$A:$B,2,0),M76,1),"")</f>
        <v>T</v>
      </c>
      <c r="M76" s="3">
        <v>100</v>
      </c>
      <c r="N76" s="3" t="str">
        <f>IFERROR(MID(VLOOKUP($B76,Seqs!$A:$B,2,0),O76,1),"")</f>
        <v>M</v>
      </c>
      <c r="O76" s="3">
        <v>130</v>
      </c>
      <c r="P76" s="3" t="str">
        <f>IFERROR(MID(VLOOKUP($B76,Seqs!$A:$B,2,0),Q76,1),"")</f>
        <v>R</v>
      </c>
      <c r="Q76" s="3">
        <v>132</v>
      </c>
      <c r="R76" s="3" t="str">
        <f>IFERROR(MID(VLOOKUP($B76,Seqs!$A:$B,2,0),S76,1),"")</f>
        <v>L</v>
      </c>
      <c r="S76" s="3">
        <v>135</v>
      </c>
      <c r="T76" s="3" t="str">
        <f>IFERROR(MID(VLOOKUP($B76,Seqs!$A:$B,2,0),U76,1),"")</f>
        <v>G</v>
      </c>
      <c r="U76" s="3">
        <v>136</v>
      </c>
      <c r="V76" s="3" t="str">
        <f>IFERROR(MID(VLOOKUP($B76,Seqs!$A:$B,2,0),W76,1),"")</f>
        <v>R</v>
      </c>
      <c r="W76" s="3">
        <v>171</v>
      </c>
      <c r="X76" s="3" t="str">
        <f>IFERROR(MID(VLOOKUP($B76,Seqs!$A:$B,2,0),Y76,1),"")</f>
        <v>P</v>
      </c>
      <c r="Y76" s="3">
        <v>172</v>
      </c>
      <c r="Z76" s="3" t="str">
        <f>IFERROR(MID(VLOOKUP($B76,Seqs!$A:$B,2,0),AA76,1),"")</f>
        <v>R</v>
      </c>
      <c r="AA76" s="3">
        <v>179</v>
      </c>
      <c r="AB76" s="3" t="str">
        <f>IFERROR(MID(VLOOKUP($B76,Seqs!$A:$B,2,0),AC76,1),"")</f>
        <v>T</v>
      </c>
      <c r="AC76" s="9">
        <v>180</v>
      </c>
      <c r="AD76" s="3" t="str">
        <f>IFERROR(MID(VLOOKUP($B76,Seqs!$A:$B,2,0),AE76,1),"")</f>
        <v>G</v>
      </c>
      <c r="AE76" s="3">
        <v>211</v>
      </c>
      <c r="AF76" s="3" t="str">
        <f>IFERROR(MID(VLOOKUP($B76,Seqs!$A:$B,2,0),AG76,1),"")</f>
        <v>C</v>
      </c>
      <c r="AG76" s="3">
        <v>220</v>
      </c>
      <c r="AH76" s="3" t="str">
        <f>IFERROR(MID(VLOOKUP($B76,Seqs!$A:$B,2,0),AI76,1),"")</f>
        <v>I</v>
      </c>
      <c r="AI76" s="3">
        <v>222</v>
      </c>
      <c r="AJ76" s="3" t="str">
        <f>IFERROR(MID(VLOOKUP($B76,Seqs!$A:$B,2,0),AK76,1),"")</f>
        <v>E</v>
      </c>
      <c r="AK76" s="3">
        <v>227</v>
      </c>
      <c r="AL76" s="3" t="str">
        <f>IFERROR(MID(VLOOKUP($B76,Seqs!$A:$B,2,0),AM76,1),"")</f>
        <v>K</v>
      </c>
      <c r="AM76" s="3">
        <v>259</v>
      </c>
      <c r="AN76" s="3" t="str">
        <f>IFERROR(MID(VLOOKUP($B76,Seqs!$A:$B,2,0),AO76,1),"")</f>
        <v>I</v>
      </c>
      <c r="AO76" s="3">
        <v>483</v>
      </c>
      <c r="AP76" s="3" t="str">
        <f>IFERROR(MID(VLOOKUP($B76,Seqs!$A:$B,2,0),AQ76,1),"")</f>
        <v>C</v>
      </c>
      <c r="AQ76" s="3">
        <v>516</v>
      </c>
      <c r="AR76" s="3" t="str">
        <f>IFERROR(MID(VLOOKUP($B76,Seqs!$A:$B,2,0),AS76,1),"")</f>
        <v>P</v>
      </c>
      <c r="AS76" s="3">
        <v>521</v>
      </c>
      <c r="AT76" s="3" t="str">
        <f>IFERROR(MID(VLOOKUP($B76,Seqs!$A:$B,2,0),AU76,1),"")</f>
        <v>C</v>
      </c>
      <c r="AU76" s="3">
        <v>546</v>
      </c>
      <c r="AV76" s="3" t="str">
        <f>IFERROR(MID(VLOOKUP($B76,Seqs!$A:$B,2,0),AW76,1),"")</f>
        <v>N</v>
      </c>
      <c r="AW76" s="3">
        <v>547</v>
      </c>
      <c r="AX76" s="3" t="str">
        <f>IFERROR(MID(VLOOKUP($B76,Seqs!$A:$B,2,0),AY76,1),"")</f>
        <v>L</v>
      </c>
      <c r="AY76" s="3">
        <v>558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224"/>
        <v>1</v>
      </c>
      <c r="BC76" s="23">
        <f t="shared" si="169"/>
        <v>255</v>
      </c>
      <c r="BD76" s="16" t="s">
        <v>1383</v>
      </c>
      <c r="BE76" s="3" t="s">
        <v>1381</v>
      </c>
      <c r="BF76" s="119">
        <v>2.8</v>
      </c>
      <c r="BG76" s="49" t="s">
        <v>1384</v>
      </c>
      <c r="BH76" s="49" t="s">
        <v>1384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si="170"/>
        <v>64</v>
      </c>
      <c r="BW76" s="71">
        <f t="shared" si="171"/>
        <v>96</v>
      </c>
      <c r="BX76" s="72">
        <f t="shared" si="172"/>
        <v>100</v>
      </c>
      <c r="BY76" s="71">
        <f t="shared" si="173"/>
        <v>132</v>
      </c>
      <c r="BZ76" s="72">
        <f t="shared" si="174"/>
        <v>136</v>
      </c>
      <c r="CA76" s="71">
        <f t="shared" si="175"/>
        <v>172</v>
      </c>
      <c r="CB76" s="72">
        <f t="shared" si="176"/>
        <v>180</v>
      </c>
      <c r="CC76" s="71">
        <f t="shared" si="177"/>
        <v>220</v>
      </c>
      <c r="CD76" s="72">
        <f t="shared" si="178"/>
        <v>227</v>
      </c>
      <c r="CE76" s="71">
        <f t="shared" si="179"/>
        <v>483</v>
      </c>
      <c r="CF76" s="72">
        <f t="shared" si="180"/>
        <v>521</v>
      </c>
      <c r="CG76" s="71">
        <f t="shared" si="181"/>
        <v>547</v>
      </c>
      <c r="CH76" s="70">
        <f t="shared" si="182"/>
        <v>95</v>
      </c>
      <c r="CI76" s="71">
        <f t="shared" si="183"/>
        <v>99</v>
      </c>
      <c r="CJ76" s="72">
        <f t="shared" si="184"/>
        <v>130</v>
      </c>
      <c r="CK76" s="72">
        <f t="shared" si="185"/>
        <v>135</v>
      </c>
      <c r="CL76" s="72">
        <f t="shared" si="186"/>
        <v>171</v>
      </c>
      <c r="CM76" s="72">
        <f t="shared" si="187"/>
        <v>179</v>
      </c>
      <c r="CN76" s="72">
        <f t="shared" si="188"/>
        <v>211</v>
      </c>
      <c r="CO76" s="72">
        <f t="shared" si="189"/>
        <v>222</v>
      </c>
      <c r="CP76" s="72">
        <f t="shared" si="190"/>
        <v>259</v>
      </c>
      <c r="CQ76" s="72">
        <f t="shared" si="191"/>
        <v>516</v>
      </c>
      <c r="CR76" s="72">
        <f t="shared" si="192"/>
        <v>546</v>
      </c>
      <c r="CS76" s="72">
        <f t="shared" si="193"/>
        <v>558</v>
      </c>
      <c r="CT76" s="23">
        <f t="shared" si="194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223"/>
        <v>acm3_rat_4U16</v>
      </c>
      <c r="B77" s="3" t="s">
        <v>910</v>
      </c>
      <c r="C77" s="3" t="s">
        <v>1054</v>
      </c>
      <c r="D77" s="3" t="str">
        <f>IFERROR(MID(VLOOKUP($B77,Seqs!$A:$B,2,0),E77,1),"")</f>
        <v>I</v>
      </c>
      <c r="E77" s="3">
        <v>64</v>
      </c>
      <c r="F77" s="3" t="str">
        <f>IFERROR(MID(VLOOKUP($B77,Seqs!$A:$B,2,0),G77,1),"")</f>
        <v>N</v>
      </c>
      <c r="G77" s="3">
        <v>95</v>
      </c>
      <c r="H77" s="3" t="str">
        <f>IFERROR(MID(VLOOKUP($B77,Seqs!$A:$B,2,0),I77,1),"")</f>
        <v>K</v>
      </c>
      <c r="I77" s="23">
        <v>96</v>
      </c>
      <c r="J77" s="3" t="str">
        <f>IFERROR(MID(VLOOKUP($B77,Seqs!$A:$B,2,0),K77,1),"")</f>
        <v>K</v>
      </c>
      <c r="K77" s="23">
        <v>99</v>
      </c>
      <c r="L77" s="3" t="str">
        <f>IFERROR(MID(VLOOKUP($B77,Seqs!$A:$B,2,0),M77,1),"")</f>
        <v>T</v>
      </c>
      <c r="M77" s="3">
        <v>100</v>
      </c>
      <c r="N77" s="3" t="str">
        <f>IFERROR(MID(VLOOKUP($B77,Seqs!$A:$B,2,0),O77,1),"")</f>
        <v>M</v>
      </c>
      <c r="O77" s="3">
        <v>130</v>
      </c>
      <c r="P77" s="3" t="str">
        <f>IFERROR(MID(VLOOKUP($B77,Seqs!$A:$B,2,0),Q77,1),"")</f>
        <v>R</v>
      </c>
      <c r="Q77" s="3">
        <v>132</v>
      </c>
      <c r="R77" s="3" t="str">
        <f>IFERROR(MID(VLOOKUP($B77,Seqs!$A:$B,2,0),S77,1),"")</f>
        <v>L</v>
      </c>
      <c r="S77" s="3">
        <v>135</v>
      </c>
      <c r="T77" s="3" t="str">
        <f>IFERROR(MID(VLOOKUP($B77,Seqs!$A:$B,2,0),U77,1),"")</f>
        <v>G</v>
      </c>
      <c r="U77" s="3">
        <v>136</v>
      </c>
      <c r="V77" s="3" t="str">
        <f>IFERROR(MID(VLOOKUP($B77,Seqs!$A:$B,2,0),W77,1),"")</f>
        <v>R</v>
      </c>
      <c r="W77" s="3">
        <v>171</v>
      </c>
      <c r="X77" s="3" t="str">
        <f>IFERROR(MID(VLOOKUP($B77,Seqs!$A:$B,2,0),Y77,1),"")</f>
        <v>P</v>
      </c>
      <c r="Y77" s="3">
        <v>172</v>
      </c>
      <c r="Z77" s="3" t="str">
        <f>IFERROR(MID(VLOOKUP($B77,Seqs!$A:$B,2,0),AA77,1),"")</f>
        <v>R</v>
      </c>
      <c r="AA77" s="3">
        <v>179</v>
      </c>
      <c r="AB77" s="3" t="str">
        <f>IFERROR(MID(VLOOKUP($B77,Seqs!$A:$B,2,0),AC77,1),"")</f>
        <v>T</v>
      </c>
      <c r="AC77" s="9">
        <v>180</v>
      </c>
      <c r="AD77" s="3" t="str">
        <f>IFERROR(MID(VLOOKUP($B77,Seqs!$A:$B,2,0),AE77,1),"")</f>
        <v>G</v>
      </c>
      <c r="AE77" s="3">
        <v>211</v>
      </c>
      <c r="AF77" s="3" t="str">
        <f>IFERROR(MID(VLOOKUP($B77,Seqs!$A:$B,2,0),AG77,1),"")</f>
        <v>C</v>
      </c>
      <c r="AG77" s="3">
        <v>220</v>
      </c>
      <c r="AH77" s="3" t="str">
        <f>IFERROR(MID(VLOOKUP($B77,Seqs!$A:$B,2,0),AI77,1),"")</f>
        <v>I</v>
      </c>
      <c r="AI77" s="3">
        <v>222</v>
      </c>
      <c r="AJ77" s="3" t="str">
        <f>IFERROR(MID(VLOOKUP($B77,Seqs!$A:$B,2,0),AK77,1),"")</f>
        <v>E</v>
      </c>
      <c r="AK77" s="3">
        <v>227</v>
      </c>
      <c r="AL77" s="3" t="str">
        <f>IFERROR(MID(VLOOKUP($B77,Seqs!$A:$B,2,0),AM77,1),"")</f>
        <v>K</v>
      </c>
      <c r="AM77" s="3">
        <v>259</v>
      </c>
      <c r="AN77" s="3" t="str">
        <f>IFERROR(MID(VLOOKUP($B77,Seqs!$A:$B,2,0),AO77,1),"")</f>
        <v>I</v>
      </c>
      <c r="AO77" s="3">
        <v>483</v>
      </c>
      <c r="AP77" s="3" t="str">
        <f>IFERROR(MID(VLOOKUP($B77,Seqs!$A:$B,2,0),AQ77,1),"")</f>
        <v>C</v>
      </c>
      <c r="AQ77" s="3">
        <v>516</v>
      </c>
      <c r="AR77" s="3" t="str">
        <f>IFERROR(MID(VLOOKUP($B77,Seqs!$A:$B,2,0),AS77,1),"")</f>
        <v>P</v>
      </c>
      <c r="AS77" s="3">
        <v>521</v>
      </c>
      <c r="AT77" s="3" t="str">
        <f>IFERROR(MID(VLOOKUP($B77,Seqs!$A:$B,2,0),AU77,1),"")</f>
        <v>C</v>
      </c>
      <c r="AU77" s="3">
        <v>546</v>
      </c>
      <c r="AV77" s="3" t="str">
        <f>IFERROR(MID(VLOOKUP($B77,Seqs!$A:$B,2,0),AW77,1),"")</f>
        <v/>
      </c>
      <c r="AW77" s="3" t="s">
        <v>23</v>
      </c>
      <c r="AX77" s="3" t="str">
        <f>IFERROR(MID(VLOOKUP($B77,Seqs!$A:$B,2,0),AY77,1),"")</f>
        <v/>
      </c>
      <c r="AY77" s="3" t="s">
        <v>23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224"/>
        <v>1</v>
      </c>
      <c r="BC77" s="23">
        <f t="shared" si="169"/>
        <v>244</v>
      </c>
      <c r="BD77" s="4" t="s">
        <v>23</v>
      </c>
      <c r="BE77" s="3" t="s">
        <v>1381</v>
      </c>
      <c r="BF77" s="119">
        <v>3.7</v>
      </c>
      <c r="BG77" s="49" t="s">
        <v>1384</v>
      </c>
      <c r="BH77" s="49" t="s">
        <v>1384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si="170"/>
        <v>64</v>
      </c>
      <c r="BW77" s="71">
        <f t="shared" si="171"/>
        <v>96</v>
      </c>
      <c r="BX77" s="72">
        <f t="shared" si="172"/>
        <v>100</v>
      </c>
      <c r="BY77" s="71">
        <f t="shared" si="173"/>
        <v>132</v>
      </c>
      <c r="BZ77" s="72">
        <f t="shared" si="174"/>
        <v>136</v>
      </c>
      <c r="CA77" s="71">
        <f t="shared" si="175"/>
        <v>172</v>
      </c>
      <c r="CB77" s="72">
        <f t="shared" si="176"/>
        <v>180</v>
      </c>
      <c r="CC77" s="71">
        <f t="shared" si="177"/>
        <v>220</v>
      </c>
      <c r="CD77" s="72">
        <f t="shared" si="178"/>
        <v>227</v>
      </c>
      <c r="CE77" s="71">
        <f t="shared" si="179"/>
        <v>483</v>
      </c>
      <c r="CF77" s="72">
        <f t="shared" si="180"/>
        <v>521</v>
      </c>
      <c r="CG77" s="71" t="str">
        <f t="shared" si="181"/>
        <v>-</v>
      </c>
      <c r="CH77" s="70">
        <f t="shared" si="182"/>
        <v>95</v>
      </c>
      <c r="CI77" s="71">
        <f t="shared" si="183"/>
        <v>99</v>
      </c>
      <c r="CJ77" s="72">
        <f t="shared" si="184"/>
        <v>130</v>
      </c>
      <c r="CK77" s="72">
        <f t="shared" si="185"/>
        <v>135</v>
      </c>
      <c r="CL77" s="72">
        <f t="shared" si="186"/>
        <v>171</v>
      </c>
      <c r="CM77" s="72">
        <f t="shared" si="187"/>
        <v>179</v>
      </c>
      <c r="CN77" s="72">
        <f t="shared" si="188"/>
        <v>211</v>
      </c>
      <c r="CO77" s="72">
        <f t="shared" si="189"/>
        <v>222</v>
      </c>
      <c r="CP77" s="72">
        <f t="shared" si="190"/>
        <v>259</v>
      </c>
      <c r="CQ77" s="72">
        <f t="shared" si="191"/>
        <v>516</v>
      </c>
      <c r="CR77" s="72">
        <f t="shared" si="192"/>
        <v>546</v>
      </c>
      <c r="CS77" s="72" t="str">
        <f t="shared" si="193"/>
        <v>-</v>
      </c>
      <c r="CT77" s="23">
        <f t="shared" si="194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223"/>
        <v>acm4_human__wt</v>
      </c>
      <c r="B78" s="3" t="s">
        <v>149</v>
      </c>
      <c r="C78" s="3" t="s">
        <v>100</v>
      </c>
      <c r="D78" s="3" t="str">
        <f>IFERROR(MID(VLOOKUP($B78,Seqs!$A:$B,2,0),E78,1),"")</f>
        <v>R</v>
      </c>
      <c r="E78" s="3">
        <v>26</v>
      </c>
      <c r="F78" s="3" t="str">
        <f>IFERROR(MID(VLOOKUP($B78,Seqs!$A:$B,2,0),G78,1),"")</f>
        <v>N</v>
      </c>
      <c r="G78" s="3">
        <v>60</v>
      </c>
      <c r="H78" s="3" t="str">
        <f>IFERROR(MID(VLOOKUP($B78,Seqs!$A:$B,2,0),I78,1),"")</f>
        <v>R</v>
      </c>
      <c r="I78" s="23">
        <v>61</v>
      </c>
      <c r="J78" s="3" t="str">
        <f>IFERROR(MID(VLOOKUP($B78,Seqs!$A:$B,2,0),K78,1),"")</f>
        <v>Q</v>
      </c>
      <c r="K78" s="23">
        <v>64</v>
      </c>
      <c r="L78" s="3" t="str">
        <f>IFERROR(MID(VLOOKUP($B78,Seqs!$A:$B,2,0),M78,1),"")</f>
        <v>T</v>
      </c>
      <c r="M78" s="3">
        <v>65</v>
      </c>
      <c r="N78" s="3" t="str">
        <f>IFERROR(MID(VLOOKUP($B78,Seqs!$A:$B,2,0),O78,1),"")</f>
        <v>K</v>
      </c>
      <c r="O78" s="3">
        <v>95</v>
      </c>
      <c r="P78" s="3" t="str">
        <f>IFERROR(MID(VLOOKUP($B78,Seqs!$A:$B,2,0),Q78,1),"")</f>
        <v>Y</v>
      </c>
      <c r="Q78" s="3">
        <v>97</v>
      </c>
      <c r="R78" s="3" t="str">
        <f>IFERROR(MID(VLOOKUP($B78,Seqs!$A:$B,2,0),S78,1),"")</f>
        <v>L</v>
      </c>
      <c r="S78" s="3">
        <v>100</v>
      </c>
      <c r="T78" s="3" t="str">
        <f>IFERROR(MID(VLOOKUP($B78,Seqs!$A:$B,2,0),U78,1),"")</f>
        <v>G</v>
      </c>
      <c r="U78" s="3">
        <v>101</v>
      </c>
      <c r="V78" s="3" t="str">
        <f>IFERROR(MID(VLOOKUP($B78,Seqs!$A:$B,2,0),W78,1),"")</f>
        <v>K</v>
      </c>
      <c r="W78" s="3">
        <v>136</v>
      </c>
      <c r="X78" s="3" t="str">
        <f>IFERROR(MID(VLOOKUP($B78,Seqs!$A:$B,2,0),Y78,1),"")</f>
        <v>P</v>
      </c>
      <c r="Y78" s="3">
        <v>137</v>
      </c>
      <c r="Z78" s="3" t="str">
        <f>IFERROR(MID(VLOOKUP($B78,Seqs!$A:$B,2,0),AA78,1),"")</f>
        <v>R</v>
      </c>
      <c r="AA78" s="3">
        <v>144</v>
      </c>
      <c r="AB78" s="3" t="str">
        <f>IFERROR(MID(VLOOKUP($B78,Seqs!$A:$B,2,0),AC78,1),"")</f>
        <v>T</v>
      </c>
      <c r="AC78" s="9">
        <v>145</v>
      </c>
      <c r="AD78" s="3" t="str">
        <f>IFERROR(MID(VLOOKUP($B78,Seqs!$A:$B,2,0),AE78,1),"")</f>
        <v>G</v>
      </c>
      <c r="AE78" s="3">
        <v>176</v>
      </c>
      <c r="AF78" s="3" t="str">
        <f>IFERROR(MID(VLOOKUP($B78,Seqs!$A:$B,2,0),AG78,1),"")</f>
        <v>C</v>
      </c>
      <c r="AG78" s="3">
        <v>185</v>
      </c>
      <c r="AH78" s="3" t="str">
        <f>IFERROR(MID(VLOOKUP($B78,Seqs!$A:$B,2,0),AI78,1),"")</f>
        <v>I</v>
      </c>
      <c r="AI78" s="3">
        <v>187</v>
      </c>
      <c r="AJ78" s="3" t="str">
        <f>IFERROR(MID(VLOOKUP($B78,Seqs!$A:$B,2,0),AK78,1),"")</f>
        <v>N</v>
      </c>
      <c r="AK78" s="3">
        <v>192</v>
      </c>
      <c r="AL78" s="3" t="str">
        <f>IFERROR(MID(VLOOKUP($B78,Seqs!$A:$B,2,0),AM78,1),"")</f>
        <v>E</v>
      </c>
      <c r="AM78" s="3">
        <v>232</v>
      </c>
      <c r="AN78" s="3" t="str">
        <f>IFERROR(MID(VLOOKUP($B78,Seqs!$A:$B,2,0),AO78,1),"")</f>
        <v>R</v>
      </c>
      <c r="AO78" s="3">
        <v>389</v>
      </c>
      <c r="AP78" s="3" t="str">
        <f>IFERROR(MID(VLOOKUP($B78,Seqs!$A:$B,2,0),AQ78,1),"")</f>
        <v>C</v>
      </c>
      <c r="AQ78" s="3">
        <v>426</v>
      </c>
      <c r="AR78" s="3" t="str">
        <f>IFERROR(MID(VLOOKUP($B78,Seqs!$A:$B,2,0),AS78,1),"")</f>
        <v>P</v>
      </c>
      <c r="AS78" s="3">
        <v>431</v>
      </c>
      <c r="AT78" s="3" t="str">
        <f>IFERROR(MID(VLOOKUP($B78,Seqs!$A:$B,2,0),AU78,1),"")</f>
        <v>C</v>
      </c>
      <c r="AU78" s="3">
        <v>456</v>
      </c>
      <c r="AV78" s="3" t="str">
        <f>IFERROR(MID(VLOOKUP($B78,Seqs!$A:$B,2,0),AW78,1),"")</f>
        <v>N</v>
      </c>
      <c r="AW78" s="3">
        <v>457</v>
      </c>
      <c r="AX78" s="3" t="str">
        <f>IFERROR(MID(VLOOKUP($B78,Seqs!$A:$B,2,0),AY78,1),"")</f>
        <v>L</v>
      </c>
      <c r="AY78" s="3">
        <v>469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si="224"/>
        <v>1</v>
      </c>
      <c r="BC78" s="23">
        <f t="shared" si="169"/>
        <v>271</v>
      </c>
      <c r="BD78" s="34" t="s">
        <v>1379</v>
      </c>
      <c r="BE78" s="3" t="s">
        <v>23</v>
      </c>
      <c r="BF78" s="119" t="s">
        <v>23</v>
      </c>
      <c r="BG78" s="49" t="s">
        <v>1379</v>
      </c>
      <c r="BH78" s="49" t="s">
        <v>1384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si="170"/>
        <v>26</v>
      </c>
      <c r="BW78" s="71">
        <f t="shared" si="171"/>
        <v>61</v>
      </c>
      <c r="BX78" s="72">
        <f t="shared" si="172"/>
        <v>65</v>
      </c>
      <c r="BY78" s="71">
        <f t="shared" si="173"/>
        <v>97</v>
      </c>
      <c r="BZ78" s="72">
        <f t="shared" si="174"/>
        <v>101</v>
      </c>
      <c r="CA78" s="71">
        <f t="shared" si="175"/>
        <v>137</v>
      </c>
      <c r="CB78" s="72">
        <f t="shared" si="176"/>
        <v>145</v>
      </c>
      <c r="CC78" s="71">
        <f t="shared" si="177"/>
        <v>185</v>
      </c>
      <c r="CD78" s="72">
        <f t="shared" si="178"/>
        <v>192</v>
      </c>
      <c r="CE78" s="71">
        <f t="shared" si="179"/>
        <v>389</v>
      </c>
      <c r="CF78" s="72">
        <f t="shared" si="180"/>
        <v>431</v>
      </c>
      <c r="CG78" s="71">
        <f t="shared" si="181"/>
        <v>457</v>
      </c>
      <c r="CH78" s="70">
        <f t="shared" si="182"/>
        <v>60</v>
      </c>
      <c r="CI78" s="71">
        <f t="shared" si="183"/>
        <v>64</v>
      </c>
      <c r="CJ78" s="72">
        <f t="shared" si="184"/>
        <v>95</v>
      </c>
      <c r="CK78" s="72">
        <f t="shared" si="185"/>
        <v>100</v>
      </c>
      <c r="CL78" s="72">
        <f t="shared" si="186"/>
        <v>136</v>
      </c>
      <c r="CM78" s="72">
        <f t="shared" si="187"/>
        <v>144</v>
      </c>
      <c r="CN78" s="72">
        <f t="shared" si="188"/>
        <v>176</v>
      </c>
      <c r="CO78" s="72">
        <f t="shared" si="189"/>
        <v>187</v>
      </c>
      <c r="CP78" s="72">
        <f t="shared" si="190"/>
        <v>232</v>
      </c>
      <c r="CQ78" s="72">
        <f t="shared" si="191"/>
        <v>426</v>
      </c>
      <c r="CR78" s="72">
        <f t="shared" si="192"/>
        <v>456</v>
      </c>
      <c r="CS78" s="72">
        <f t="shared" si="193"/>
        <v>469</v>
      </c>
      <c r="CT78" s="23">
        <f t="shared" si="194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223"/>
        <v>acm4_human_5DSG</v>
      </c>
      <c r="B79" s="3" t="s">
        <v>149</v>
      </c>
      <c r="C79" s="3" t="s">
        <v>61</v>
      </c>
      <c r="D79" s="3" t="str">
        <f>IFERROR(MID(VLOOKUP($B79,Seqs!$A:$B,2,0),E79,1),"")</f>
        <v>R</v>
      </c>
      <c r="E79" s="3">
        <v>26</v>
      </c>
      <c r="F79" s="3" t="str">
        <f>IFERROR(MID(VLOOKUP($B79,Seqs!$A:$B,2,0),G79,1),"")</f>
        <v>N</v>
      </c>
      <c r="G79" s="3">
        <v>60</v>
      </c>
      <c r="H79" s="3" t="str">
        <f>IFERROR(MID(VLOOKUP($B79,Seqs!$A:$B,2,0),I79,1),"")</f>
        <v>R</v>
      </c>
      <c r="I79" s="23">
        <v>61</v>
      </c>
      <c r="J79" s="3" t="str">
        <f>IFERROR(MID(VLOOKUP($B79,Seqs!$A:$B,2,0),K79,1),"")</f>
        <v>Q</v>
      </c>
      <c r="K79" s="23">
        <v>64</v>
      </c>
      <c r="L79" s="3" t="str">
        <f>IFERROR(MID(VLOOKUP($B79,Seqs!$A:$B,2,0),M79,1),"")</f>
        <v>T</v>
      </c>
      <c r="M79" s="3">
        <v>65</v>
      </c>
      <c r="N79" s="3" t="str">
        <f>IFERROR(MID(VLOOKUP($B79,Seqs!$A:$B,2,0),O79,1),"")</f>
        <v>K</v>
      </c>
      <c r="O79" s="3">
        <v>95</v>
      </c>
      <c r="P79" s="3" t="str">
        <f>IFERROR(MID(VLOOKUP($B79,Seqs!$A:$B,2,0),Q79,1),"")</f>
        <v>Y</v>
      </c>
      <c r="Q79" s="3">
        <v>97</v>
      </c>
      <c r="R79" s="3" t="str">
        <f>IFERROR(MID(VLOOKUP($B79,Seqs!$A:$B,2,0),S79,1),"")</f>
        <v>L</v>
      </c>
      <c r="S79" s="3">
        <v>100</v>
      </c>
      <c r="T79" s="3" t="str">
        <f>IFERROR(MID(VLOOKUP($B79,Seqs!$A:$B,2,0),U79,1),"")</f>
        <v>G</v>
      </c>
      <c r="U79" s="3">
        <v>101</v>
      </c>
      <c r="V79" s="3" t="str">
        <f>IFERROR(MID(VLOOKUP($B79,Seqs!$A:$B,2,0),W79,1),"")</f>
        <v>K</v>
      </c>
      <c r="W79" s="3">
        <v>136</v>
      </c>
      <c r="X79" s="3" t="str">
        <f>IFERROR(MID(VLOOKUP($B79,Seqs!$A:$B,2,0),Y79,1),"")</f>
        <v>P</v>
      </c>
      <c r="Y79" s="3">
        <v>137</v>
      </c>
      <c r="Z79" s="3" t="str">
        <f>IFERROR(MID(VLOOKUP($B79,Seqs!$A:$B,2,0),AA79,1),"")</f>
        <v>R</v>
      </c>
      <c r="AA79" s="3">
        <v>144</v>
      </c>
      <c r="AB79" s="3" t="str">
        <f>IFERROR(MID(VLOOKUP($B79,Seqs!$A:$B,2,0),AC79,1),"")</f>
        <v>T</v>
      </c>
      <c r="AC79" s="9">
        <v>145</v>
      </c>
      <c r="AD79" s="3" t="str">
        <f>IFERROR(MID(VLOOKUP($B79,Seqs!$A:$B,2,0),AE79,1),"")</f>
        <v>G</v>
      </c>
      <c r="AE79" s="3">
        <v>176</v>
      </c>
      <c r="AF79" s="3" t="str">
        <f>IFERROR(MID(VLOOKUP($B79,Seqs!$A:$B,2,0),AG79,1),"")</f>
        <v>C</v>
      </c>
      <c r="AG79" s="3">
        <v>185</v>
      </c>
      <c r="AH79" s="3" t="str">
        <f>IFERROR(MID(VLOOKUP($B79,Seqs!$A:$B,2,0),AI79,1),"")</f>
        <v>I</v>
      </c>
      <c r="AI79" s="3">
        <v>187</v>
      </c>
      <c r="AJ79" s="3" t="str">
        <f>IFERROR(MID(VLOOKUP($B79,Seqs!$A:$B,2,0),AK79,1),"")</f>
        <v>N</v>
      </c>
      <c r="AK79" s="3">
        <v>192</v>
      </c>
      <c r="AL79" s="3" t="str">
        <f>IFERROR(MID(VLOOKUP($B79,Seqs!$A:$B,2,0),AM79,1),"")</f>
        <v>L</v>
      </c>
      <c r="AM79" s="3">
        <v>220</v>
      </c>
      <c r="AN79" s="3" t="str">
        <f>IFERROR(MID(VLOOKUP($B79,Seqs!$A:$B,2,0),AO79,1),"")</f>
        <v>R</v>
      </c>
      <c r="AO79" s="3">
        <v>396</v>
      </c>
      <c r="AP79" s="3" t="str">
        <f>IFERROR(MID(VLOOKUP($B79,Seqs!$A:$B,2,0),AQ79,1),"")</f>
        <v>C</v>
      </c>
      <c r="AQ79" s="3">
        <v>426</v>
      </c>
      <c r="AR79" s="3" t="str">
        <f>IFERROR(MID(VLOOKUP($B79,Seqs!$A:$B,2,0),AS79,1),"")</f>
        <v>P</v>
      </c>
      <c r="AS79" s="3">
        <v>431</v>
      </c>
      <c r="AT79" s="3" t="str">
        <f>IFERROR(MID(VLOOKUP($B79,Seqs!$A:$B,2,0),AU79,1),"")</f>
        <v>C</v>
      </c>
      <c r="AU79" s="3">
        <v>456</v>
      </c>
      <c r="AV79" s="3" t="str">
        <f>IFERROR(MID(VLOOKUP($B79,Seqs!$A:$B,2,0),AW79,1),"")</f>
        <v>N</v>
      </c>
      <c r="AW79" s="3">
        <v>457</v>
      </c>
      <c r="AX79" s="3" t="str">
        <f>IFERROR(MID(VLOOKUP($B79,Seqs!$A:$B,2,0),AY79,1),"")</f>
        <v>L</v>
      </c>
      <c r="AY79" s="3">
        <v>469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224"/>
        <v>1</v>
      </c>
      <c r="BC79" s="23">
        <f t="shared" si="169"/>
        <v>252</v>
      </c>
      <c r="BD79" s="2" t="s">
        <v>1383</v>
      </c>
      <c r="BE79" s="3" t="s">
        <v>1381</v>
      </c>
      <c r="BF79" s="119">
        <v>2.6</v>
      </c>
      <c r="BG79" s="49" t="s">
        <v>1384</v>
      </c>
      <c r="BH79" s="49" t="s">
        <v>1384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si="170"/>
        <v>26</v>
      </c>
      <c r="BW79" s="71">
        <f t="shared" si="171"/>
        <v>61</v>
      </c>
      <c r="BX79" s="72">
        <f t="shared" si="172"/>
        <v>65</v>
      </c>
      <c r="BY79" s="71">
        <f t="shared" si="173"/>
        <v>97</v>
      </c>
      <c r="BZ79" s="72">
        <f t="shared" si="174"/>
        <v>101</v>
      </c>
      <c r="CA79" s="71">
        <f t="shared" si="175"/>
        <v>137</v>
      </c>
      <c r="CB79" s="72">
        <f t="shared" si="176"/>
        <v>145</v>
      </c>
      <c r="CC79" s="71">
        <f t="shared" si="177"/>
        <v>185</v>
      </c>
      <c r="CD79" s="72">
        <f t="shared" si="178"/>
        <v>192</v>
      </c>
      <c r="CE79" s="71">
        <f t="shared" si="179"/>
        <v>396</v>
      </c>
      <c r="CF79" s="72">
        <f t="shared" si="180"/>
        <v>431</v>
      </c>
      <c r="CG79" s="71">
        <f t="shared" si="181"/>
        <v>457</v>
      </c>
      <c r="CH79" s="70">
        <f t="shared" si="182"/>
        <v>60</v>
      </c>
      <c r="CI79" s="71">
        <f t="shared" si="183"/>
        <v>64</v>
      </c>
      <c r="CJ79" s="72">
        <f t="shared" si="184"/>
        <v>95</v>
      </c>
      <c r="CK79" s="72">
        <f t="shared" si="185"/>
        <v>100</v>
      </c>
      <c r="CL79" s="72">
        <f t="shared" si="186"/>
        <v>136</v>
      </c>
      <c r="CM79" s="72">
        <f t="shared" si="187"/>
        <v>144</v>
      </c>
      <c r="CN79" s="72">
        <f t="shared" si="188"/>
        <v>176</v>
      </c>
      <c r="CO79" s="72">
        <f t="shared" si="189"/>
        <v>187</v>
      </c>
      <c r="CP79" s="72">
        <f t="shared" si="190"/>
        <v>220</v>
      </c>
      <c r="CQ79" s="72">
        <f t="shared" si="191"/>
        <v>426</v>
      </c>
      <c r="CR79" s="72">
        <f t="shared" si="192"/>
        <v>456</v>
      </c>
      <c r="CS79" s="72">
        <f t="shared" si="193"/>
        <v>469</v>
      </c>
      <c r="CT79" s="23">
        <f t="shared" si="194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223"/>
        <v>adrb1_melga__wt</v>
      </c>
      <c r="B80" s="3" t="s">
        <v>912</v>
      </c>
      <c r="C80" s="3" t="s">
        <v>100</v>
      </c>
      <c r="D80" s="3" t="str">
        <f>IFERROR(MID(VLOOKUP($B80,Seqs!$A:$B,2,0),E80,1),"")</f>
        <v>A</v>
      </c>
      <c r="E80" s="3">
        <v>33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245</v>
      </c>
      <c r="AN80" s="3" t="str">
        <f>IFERROR(MID(VLOOKUP($B80,Seqs!$A:$B,2,0),AO80,1),"")</f>
        <v>R</v>
      </c>
      <c r="AO80" s="3">
        <v>275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7" t="str">
        <f>VLOOKUP(B80,Classification!A:D,2,0)</f>
        <v>A</v>
      </c>
      <c r="BA80" s="94" t="str">
        <f>VLOOKUP(B80,Classification!A:D,4,0)</f>
        <v>Adrenoceptors</v>
      </c>
      <c r="BB80" s="27" t="b">
        <f t="shared" si="224"/>
        <v>1</v>
      </c>
      <c r="BC80" s="23">
        <f t="shared" si="169"/>
        <v>272</v>
      </c>
      <c r="BD80" s="34" t="s">
        <v>1379</v>
      </c>
      <c r="BE80" s="3" t="s">
        <v>23</v>
      </c>
      <c r="BF80" s="119" t="s">
        <v>23</v>
      </c>
      <c r="BG80" s="49" t="s">
        <v>1379</v>
      </c>
      <c r="BH80" s="49" t="s">
        <v>1384</v>
      </c>
      <c r="BI80" s="3" t="s">
        <v>1166</v>
      </c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170"/>
        <v>33</v>
      </c>
      <c r="BW80" s="71">
        <f t="shared" si="171"/>
        <v>70</v>
      </c>
      <c r="BX80" s="72">
        <f t="shared" si="172"/>
        <v>74</v>
      </c>
      <c r="BY80" s="71">
        <f t="shared" si="173"/>
        <v>106</v>
      </c>
      <c r="BZ80" s="72">
        <f t="shared" si="174"/>
        <v>110</v>
      </c>
      <c r="CA80" s="71">
        <f t="shared" si="175"/>
        <v>146</v>
      </c>
      <c r="CB80" s="72">
        <f t="shared" si="176"/>
        <v>154</v>
      </c>
      <c r="CC80" s="71">
        <f t="shared" si="177"/>
        <v>199</v>
      </c>
      <c r="CD80" s="72">
        <f t="shared" si="178"/>
        <v>204</v>
      </c>
      <c r="CE80" s="71">
        <f t="shared" si="179"/>
        <v>275</v>
      </c>
      <c r="CF80" s="72">
        <f t="shared" si="180"/>
        <v>321</v>
      </c>
      <c r="CG80" s="71">
        <f t="shared" si="181"/>
        <v>346</v>
      </c>
      <c r="CH80" s="70">
        <f t="shared" si="182"/>
        <v>69</v>
      </c>
      <c r="CI80" s="71">
        <f t="shared" si="183"/>
        <v>73</v>
      </c>
      <c r="CJ80" s="72">
        <f t="shared" si="184"/>
        <v>104</v>
      </c>
      <c r="CK80" s="72">
        <f t="shared" si="185"/>
        <v>109</v>
      </c>
      <c r="CL80" s="72">
        <f t="shared" si="186"/>
        <v>145</v>
      </c>
      <c r="CM80" s="72">
        <f t="shared" si="187"/>
        <v>153</v>
      </c>
      <c r="CN80" s="72">
        <f t="shared" si="188"/>
        <v>180</v>
      </c>
      <c r="CO80" s="72">
        <f t="shared" si="189"/>
        <v>201</v>
      </c>
      <c r="CP80" s="72">
        <f t="shared" si="190"/>
        <v>245</v>
      </c>
      <c r="CQ80" s="72">
        <f t="shared" si="191"/>
        <v>316</v>
      </c>
      <c r="CR80" s="72">
        <f t="shared" si="192"/>
        <v>345</v>
      </c>
      <c r="CS80" s="72">
        <f t="shared" si="193"/>
        <v>358</v>
      </c>
      <c r="CT80" s="23">
        <f t="shared" si="194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223"/>
        <v>adrb1_melga_2Y00</v>
      </c>
      <c r="B81" s="3" t="s">
        <v>912</v>
      </c>
      <c r="C81" s="3" t="s">
        <v>1023</v>
      </c>
      <c r="D81" s="3" t="str">
        <f>IFERROR(MID(VLOOKUP($B81,Seqs!$A:$B,2,0),E81,1),"")</f>
        <v>A</v>
      </c>
      <c r="E81" s="3">
        <v>33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I</v>
      </c>
      <c r="AM81" s="3">
        <v>238</v>
      </c>
      <c r="AN81" s="3" t="str">
        <f>IFERROR(MID(VLOOKUP($B81,Seqs!$A:$B,2,0),AO81,1),"")</f>
        <v>R</v>
      </c>
      <c r="AO81" s="3">
        <v>275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C</v>
      </c>
      <c r="AY81" s="3">
        <v>358</v>
      </c>
      <c r="AZ81" s="77" t="str">
        <f>VLOOKUP(B81,Classification!A:D,2,0)</f>
        <v>A</v>
      </c>
      <c r="BA81" s="94" t="str">
        <f>VLOOKUP(B81,Classification!A:D,4,0)</f>
        <v>Adrenoceptors</v>
      </c>
      <c r="BB81" s="27" t="b">
        <f t="shared" si="224"/>
        <v>1</v>
      </c>
      <c r="BC81" s="23">
        <f t="shared" si="169"/>
        <v>265</v>
      </c>
      <c r="BD81" s="4" t="s">
        <v>23</v>
      </c>
      <c r="BE81" s="3" t="s">
        <v>1381</v>
      </c>
      <c r="BF81" s="119">
        <v>2.5</v>
      </c>
      <c r="BG81" s="49" t="s">
        <v>1384</v>
      </c>
      <c r="BH81" s="49" t="s">
        <v>1384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170"/>
        <v>33</v>
      </c>
      <c r="BW81" s="71">
        <f t="shared" si="171"/>
        <v>70</v>
      </c>
      <c r="BX81" s="72">
        <f t="shared" si="172"/>
        <v>74</v>
      </c>
      <c r="BY81" s="71">
        <f t="shared" si="173"/>
        <v>106</v>
      </c>
      <c r="BZ81" s="72">
        <f t="shared" si="174"/>
        <v>110</v>
      </c>
      <c r="CA81" s="71">
        <f t="shared" si="175"/>
        <v>146</v>
      </c>
      <c r="CB81" s="72">
        <f t="shared" si="176"/>
        <v>154</v>
      </c>
      <c r="CC81" s="71">
        <f t="shared" si="177"/>
        <v>199</v>
      </c>
      <c r="CD81" s="72">
        <f t="shared" si="178"/>
        <v>204</v>
      </c>
      <c r="CE81" s="71">
        <f t="shared" si="179"/>
        <v>275</v>
      </c>
      <c r="CF81" s="72">
        <f t="shared" si="180"/>
        <v>321</v>
      </c>
      <c r="CG81" s="71">
        <f t="shared" si="181"/>
        <v>346</v>
      </c>
      <c r="CH81" s="70">
        <f t="shared" si="182"/>
        <v>69</v>
      </c>
      <c r="CI81" s="71">
        <f t="shared" si="183"/>
        <v>73</v>
      </c>
      <c r="CJ81" s="72">
        <f t="shared" si="184"/>
        <v>104</v>
      </c>
      <c r="CK81" s="72">
        <f t="shared" si="185"/>
        <v>109</v>
      </c>
      <c r="CL81" s="72">
        <f t="shared" si="186"/>
        <v>145</v>
      </c>
      <c r="CM81" s="72">
        <f t="shared" si="187"/>
        <v>153</v>
      </c>
      <c r="CN81" s="72">
        <f t="shared" si="188"/>
        <v>180</v>
      </c>
      <c r="CO81" s="72">
        <f t="shared" si="189"/>
        <v>201</v>
      </c>
      <c r="CP81" s="72">
        <f t="shared" si="190"/>
        <v>238</v>
      </c>
      <c r="CQ81" s="72">
        <f t="shared" si="191"/>
        <v>316</v>
      </c>
      <c r="CR81" s="72">
        <f t="shared" si="192"/>
        <v>345</v>
      </c>
      <c r="CS81" s="72">
        <f t="shared" si="193"/>
        <v>358</v>
      </c>
      <c r="CT81" s="23">
        <f t="shared" si="194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223"/>
        <v>adrb1_melga_2Y02</v>
      </c>
      <c r="B82" s="3" t="s">
        <v>912</v>
      </c>
      <c r="C82" s="3" t="s">
        <v>1024</v>
      </c>
      <c r="D82" s="3" t="str">
        <f>IFERROR(MID(VLOOKUP($B82,Seqs!$A:$B,2,0),E82,1),"")</f>
        <v>A</v>
      </c>
      <c r="E82" s="3">
        <v>33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I</v>
      </c>
      <c r="AM82" s="3">
        <v>238</v>
      </c>
      <c r="AN82" s="3" t="str">
        <f>IFERROR(MID(VLOOKUP($B82,Seqs!$A:$B,2,0),AO82,1),"")</f>
        <v>R</v>
      </c>
      <c r="AO82" s="3">
        <v>275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7" t="str">
        <f>VLOOKUP(B82,Classification!A:D,2,0)</f>
        <v>A</v>
      </c>
      <c r="BA82" s="94" t="str">
        <f>VLOOKUP(B82,Classification!A:D,4,0)</f>
        <v>Adrenoceptors</v>
      </c>
      <c r="BB82" s="27" t="b">
        <f t="shared" si="224"/>
        <v>1</v>
      </c>
      <c r="BC82" s="23">
        <f t="shared" si="169"/>
        <v>265</v>
      </c>
      <c r="BD82" s="4" t="s">
        <v>23</v>
      </c>
      <c r="BE82" s="3" t="s">
        <v>1381</v>
      </c>
      <c r="BF82" s="119">
        <v>2.6</v>
      </c>
      <c r="BG82" s="49" t="s">
        <v>1384</v>
      </c>
      <c r="BH82" s="49" t="s">
        <v>1384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si="170"/>
        <v>33</v>
      </c>
      <c r="BW82" s="71">
        <f t="shared" si="171"/>
        <v>70</v>
      </c>
      <c r="BX82" s="72">
        <f t="shared" si="172"/>
        <v>74</v>
      </c>
      <c r="BY82" s="71">
        <f t="shared" si="173"/>
        <v>106</v>
      </c>
      <c r="BZ82" s="72">
        <f t="shared" si="174"/>
        <v>110</v>
      </c>
      <c r="CA82" s="71">
        <f t="shared" si="175"/>
        <v>146</v>
      </c>
      <c r="CB82" s="72">
        <f t="shared" si="176"/>
        <v>154</v>
      </c>
      <c r="CC82" s="71">
        <f t="shared" si="177"/>
        <v>199</v>
      </c>
      <c r="CD82" s="72">
        <f t="shared" si="178"/>
        <v>204</v>
      </c>
      <c r="CE82" s="71">
        <f t="shared" si="179"/>
        <v>275</v>
      </c>
      <c r="CF82" s="72">
        <f t="shared" si="180"/>
        <v>321</v>
      </c>
      <c r="CG82" s="71">
        <f t="shared" si="181"/>
        <v>346</v>
      </c>
      <c r="CH82" s="70">
        <f t="shared" si="182"/>
        <v>69</v>
      </c>
      <c r="CI82" s="71">
        <f t="shared" si="183"/>
        <v>73</v>
      </c>
      <c r="CJ82" s="72">
        <f t="shared" si="184"/>
        <v>104</v>
      </c>
      <c r="CK82" s="72">
        <f t="shared" si="185"/>
        <v>109</v>
      </c>
      <c r="CL82" s="72">
        <f t="shared" si="186"/>
        <v>145</v>
      </c>
      <c r="CM82" s="72">
        <f t="shared" si="187"/>
        <v>153</v>
      </c>
      <c r="CN82" s="72">
        <f t="shared" si="188"/>
        <v>180</v>
      </c>
      <c r="CO82" s="72">
        <f t="shared" si="189"/>
        <v>201</v>
      </c>
      <c r="CP82" s="72">
        <f t="shared" si="190"/>
        <v>238</v>
      </c>
      <c r="CQ82" s="72">
        <f t="shared" si="191"/>
        <v>316</v>
      </c>
      <c r="CR82" s="72">
        <f t="shared" si="192"/>
        <v>345</v>
      </c>
      <c r="CS82" s="72">
        <f t="shared" si="193"/>
        <v>358</v>
      </c>
      <c r="CT82" s="23">
        <f t="shared" si="194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223"/>
        <v>adrb1_melga_2Y03</v>
      </c>
      <c r="B83" s="3" t="s">
        <v>912</v>
      </c>
      <c r="C83" s="3" t="s">
        <v>1025</v>
      </c>
      <c r="D83" s="3" t="str">
        <f>IFERROR(MID(VLOOKUP($B83,Seqs!$A:$B,2,0),E83,1),"")</f>
        <v>A</v>
      </c>
      <c r="E83" s="3">
        <v>33</v>
      </c>
      <c r="F83" s="3" t="str">
        <f>IFERROR(MID(VLOOKUP($B83,Seqs!$A:$B,2,0),G83,1),"")</f>
        <v>T</v>
      </c>
      <c r="G83" s="3">
        <v>69</v>
      </c>
      <c r="H83" s="3" t="str">
        <f>IFERROR(MID(VLOOKUP($B83,Seqs!$A:$B,2,0),I83,1),"")</f>
        <v>Q</v>
      </c>
      <c r="I83" s="23">
        <v>70</v>
      </c>
      <c r="J83" s="3" t="str">
        <f>IFERROR(MID(VLOOKUP($B83,Seqs!$A:$B,2,0),K83,1),"")</f>
        <v>Q</v>
      </c>
      <c r="K83" s="23">
        <v>73</v>
      </c>
      <c r="L83" s="3" t="str">
        <f>IFERROR(MID(VLOOKUP($B83,Seqs!$A:$B,2,0),M83,1),"")</f>
        <v>T</v>
      </c>
      <c r="M83" s="3">
        <v>74</v>
      </c>
      <c r="N83" s="3" t="str">
        <f>IFERROR(MID(VLOOKUP($B83,Seqs!$A:$B,2,0),O83,1),"")</f>
        <v>R</v>
      </c>
      <c r="O83" s="3">
        <v>104</v>
      </c>
      <c r="P83" s="3" t="str">
        <f>IFERROR(MID(VLOOKUP($B83,Seqs!$A:$B,2,0),Q83,1),"")</f>
        <v>T</v>
      </c>
      <c r="Q83" s="3">
        <v>106</v>
      </c>
      <c r="R83" s="3" t="str">
        <f>IFERROR(MID(VLOOKUP($B83,Seqs!$A:$B,2,0),S83,1),"")</f>
        <v>W</v>
      </c>
      <c r="S83" s="3">
        <v>109</v>
      </c>
      <c r="T83" s="3" t="str">
        <f>IFERROR(MID(VLOOKUP($B83,Seqs!$A:$B,2,0),U83,1),"")</f>
        <v>G</v>
      </c>
      <c r="U83" s="3">
        <v>110</v>
      </c>
      <c r="V83" s="3" t="str">
        <f>IFERROR(MID(VLOOKUP($B83,Seqs!$A:$B,2,0),W83,1),"")</f>
        <v>S</v>
      </c>
      <c r="W83" s="3">
        <v>145</v>
      </c>
      <c r="X83" s="3" t="str">
        <f>IFERROR(MID(VLOOKUP($B83,Seqs!$A:$B,2,0),Y83,1),"")</f>
        <v>P</v>
      </c>
      <c r="Y83" s="3">
        <v>146</v>
      </c>
      <c r="Z83" s="3" t="str">
        <f>IFERROR(MID(VLOOKUP($B83,Seqs!$A:$B,2,0),AA83,1),"")</f>
        <v>M</v>
      </c>
      <c r="AA83" s="3">
        <v>153</v>
      </c>
      <c r="AB83" s="3" t="str">
        <f>IFERROR(MID(VLOOKUP($B83,Seqs!$A:$B,2,0),AC83,1),"")</f>
        <v>T</v>
      </c>
      <c r="AC83" s="9">
        <v>154</v>
      </c>
      <c r="AD83" s="3" t="str">
        <f>IFERROR(MID(VLOOKUP($B83,Seqs!$A:$B,2,0),AE83,1),"")</f>
        <v>H</v>
      </c>
      <c r="AE83" s="3">
        <v>180</v>
      </c>
      <c r="AF83" s="3" t="str">
        <f>IFERROR(MID(VLOOKUP($B83,Seqs!$A:$B,2,0),AG83,1),"")</f>
        <v>C</v>
      </c>
      <c r="AG83" s="3">
        <v>199</v>
      </c>
      <c r="AH83" s="3" t="str">
        <f>IFERROR(MID(VLOOKUP($B83,Seqs!$A:$B,2,0),AI83,1),"")</f>
        <v>F</v>
      </c>
      <c r="AI83" s="3">
        <v>201</v>
      </c>
      <c r="AJ83" s="3" t="str">
        <f>IFERROR(MID(VLOOKUP($B83,Seqs!$A:$B,2,0),AK83,1),"")</f>
        <v>N</v>
      </c>
      <c r="AK83" s="3">
        <v>204</v>
      </c>
      <c r="AL83" s="3" t="str">
        <f>IFERROR(MID(VLOOKUP($B83,Seqs!$A:$B,2,0),AM83,1),"")</f>
        <v>I</v>
      </c>
      <c r="AM83" s="3">
        <v>238</v>
      </c>
      <c r="AN83" s="3" t="str">
        <f>IFERROR(MID(VLOOKUP($B83,Seqs!$A:$B,2,0),AO83,1),"")</f>
        <v>R</v>
      </c>
      <c r="AO83" s="3">
        <v>275</v>
      </c>
      <c r="AP83" s="3" t="str">
        <f>IFERROR(MID(VLOOKUP($B83,Seqs!$A:$B,2,0),AQ83,1),"")</f>
        <v>N</v>
      </c>
      <c r="AQ83" s="3">
        <v>316</v>
      </c>
      <c r="AR83" s="3" t="str">
        <f>IFERROR(MID(VLOOKUP($B83,Seqs!$A:$B,2,0),AS83,1),"")</f>
        <v>P</v>
      </c>
      <c r="AS83" s="3">
        <v>321</v>
      </c>
      <c r="AT83" s="3" t="str">
        <f>IFERROR(MID(VLOOKUP($B83,Seqs!$A:$B,2,0),AU83,1),"")</f>
        <v>R</v>
      </c>
      <c r="AU83" s="3">
        <v>345</v>
      </c>
      <c r="AV83" s="3" t="str">
        <f>IFERROR(MID(VLOOKUP($B83,Seqs!$A:$B,2,0),AW83,1),"")</f>
        <v>S</v>
      </c>
      <c r="AW83" s="3">
        <v>346</v>
      </c>
      <c r="AX83" s="3" t="str">
        <f>IFERROR(MID(VLOOKUP($B83,Seqs!$A:$B,2,0),AY83,1),"")</f>
        <v>C</v>
      </c>
      <c r="AY83" s="3">
        <v>358</v>
      </c>
      <c r="AZ83" s="77" t="str">
        <f>VLOOKUP(B83,Classification!A:D,2,0)</f>
        <v>A</v>
      </c>
      <c r="BA83" s="94" t="str">
        <f>VLOOKUP(B83,Classification!A:D,4,0)</f>
        <v>Adrenoceptors</v>
      </c>
      <c r="BB83" s="27" t="b">
        <f t="shared" si="224"/>
        <v>1</v>
      </c>
      <c r="BC83" s="23">
        <f t="shared" si="169"/>
        <v>265</v>
      </c>
      <c r="BD83" s="4" t="s">
        <v>23</v>
      </c>
      <c r="BE83" s="3" t="s">
        <v>1381</v>
      </c>
      <c r="BF83" s="119">
        <v>2.85</v>
      </c>
      <c r="BG83" s="49" t="s">
        <v>1384</v>
      </c>
      <c r="BH83" s="49" t="s">
        <v>1384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170"/>
        <v>33</v>
      </c>
      <c r="BW83" s="71">
        <f t="shared" si="171"/>
        <v>70</v>
      </c>
      <c r="BX83" s="72">
        <f t="shared" si="172"/>
        <v>74</v>
      </c>
      <c r="BY83" s="71">
        <f t="shared" si="173"/>
        <v>106</v>
      </c>
      <c r="BZ83" s="72">
        <f t="shared" si="174"/>
        <v>110</v>
      </c>
      <c r="CA83" s="71">
        <f t="shared" si="175"/>
        <v>146</v>
      </c>
      <c r="CB83" s="72">
        <f t="shared" si="176"/>
        <v>154</v>
      </c>
      <c r="CC83" s="71">
        <f t="shared" si="177"/>
        <v>199</v>
      </c>
      <c r="CD83" s="72">
        <f t="shared" si="178"/>
        <v>204</v>
      </c>
      <c r="CE83" s="71">
        <f t="shared" si="179"/>
        <v>275</v>
      </c>
      <c r="CF83" s="72">
        <f t="shared" si="180"/>
        <v>321</v>
      </c>
      <c r="CG83" s="71">
        <f t="shared" si="181"/>
        <v>346</v>
      </c>
      <c r="CH83" s="70">
        <f t="shared" si="182"/>
        <v>69</v>
      </c>
      <c r="CI83" s="71">
        <f t="shared" si="183"/>
        <v>73</v>
      </c>
      <c r="CJ83" s="72">
        <f t="shared" si="184"/>
        <v>104</v>
      </c>
      <c r="CK83" s="72">
        <f t="shared" si="185"/>
        <v>109</v>
      </c>
      <c r="CL83" s="72">
        <f t="shared" si="186"/>
        <v>145</v>
      </c>
      <c r="CM83" s="72">
        <f t="shared" si="187"/>
        <v>153</v>
      </c>
      <c r="CN83" s="72">
        <f t="shared" si="188"/>
        <v>180</v>
      </c>
      <c r="CO83" s="72">
        <f t="shared" si="189"/>
        <v>201</v>
      </c>
      <c r="CP83" s="72">
        <f t="shared" si="190"/>
        <v>238</v>
      </c>
      <c r="CQ83" s="72">
        <f t="shared" si="191"/>
        <v>316</v>
      </c>
      <c r="CR83" s="72">
        <f t="shared" si="192"/>
        <v>345</v>
      </c>
      <c r="CS83" s="72">
        <f t="shared" si="193"/>
        <v>358</v>
      </c>
      <c r="CT83" s="23">
        <f t="shared" si="194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223"/>
        <v>adrb1_melga_2Y04</v>
      </c>
      <c r="B84" s="3" t="s">
        <v>912</v>
      </c>
      <c r="C84" s="3" t="s">
        <v>1026</v>
      </c>
      <c r="D84" s="3" t="str">
        <f>IFERROR(MID(VLOOKUP($B84,Seqs!$A:$B,2,0),E84,1),"")</f>
        <v>A</v>
      </c>
      <c r="E84" s="3">
        <v>33</v>
      </c>
      <c r="F84" s="3" t="str">
        <f>IFERROR(MID(VLOOKUP($B84,Seqs!$A:$B,2,0),G84,1),"")</f>
        <v>T</v>
      </c>
      <c r="G84" s="3">
        <v>69</v>
      </c>
      <c r="H84" s="3" t="str">
        <f>IFERROR(MID(VLOOKUP($B84,Seqs!$A:$B,2,0),I84,1),"")</f>
        <v>Q</v>
      </c>
      <c r="I84" s="23">
        <v>70</v>
      </c>
      <c r="J84" s="3" t="str">
        <f>IFERROR(MID(VLOOKUP($B84,Seqs!$A:$B,2,0),K84,1),"")</f>
        <v>Q</v>
      </c>
      <c r="K84" s="23">
        <v>73</v>
      </c>
      <c r="L84" s="3" t="str">
        <f>IFERROR(MID(VLOOKUP($B84,Seqs!$A:$B,2,0),M84,1),"")</f>
        <v>T</v>
      </c>
      <c r="M84" s="3">
        <v>74</v>
      </c>
      <c r="N84" s="3" t="str">
        <f>IFERROR(MID(VLOOKUP($B84,Seqs!$A:$B,2,0),O84,1),"")</f>
        <v>R</v>
      </c>
      <c r="O84" s="3">
        <v>104</v>
      </c>
      <c r="P84" s="3" t="str">
        <f>IFERROR(MID(VLOOKUP($B84,Seqs!$A:$B,2,0),Q84,1),"")</f>
        <v>T</v>
      </c>
      <c r="Q84" s="3">
        <v>106</v>
      </c>
      <c r="R84" s="3" t="str">
        <f>IFERROR(MID(VLOOKUP($B84,Seqs!$A:$B,2,0),S84,1),"")</f>
        <v>W</v>
      </c>
      <c r="S84" s="3">
        <v>109</v>
      </c>
      <c r="T84" s="3" t="str">
        <f>IFERROR(MID(VLOOKUP($B84,Seqs!$A:$B,2,0),U84,1),"")</f>
        <v>G</v>
      </c>
      <c r="U84" s="3">
        <v>110</v>
      </c>
      <c r="V84" s="3" t="str">
        <f>IFERROR(MID(VLOOKUP($B84,Seqs!$A:$B,2,0),W84,1),"")</f>
        <v>S</v>
      </c>
      <c r="W84" s="3">
        <v>145</v>
      </c>
      <c r="X84" s="3" t="str">
        <f>IFERROR(MID(VLOOKUP($B84,Seqs!$A:$B,2,0),Y84,1),"")</f>
        <v>P</v>
      </c>
      <c r="Y84" s="3">
        <v>146</v>
      </c>
      <c r="Z84" s="3" t="str">
        <f>IFERROR(MID(VLOOKUP($B84,Seqs!$A:$B,2,0),AA84,1),"")</f>
        <v>M</v>
      </c>
      <c r="AA84" s="3">
        <v>153</v>
      </c>
      <c r="AB84" s="3" t="str">
        <f>IFERROR(MID(VLOOKUP($B84,Seqs!$A:$B,2,0),AC84,1),"")</f>
        <v>T</v>
      </c>
      <c r="AC84" s="9">
        <v>154</v>
      </c>
      <c r="AD84" s="3" t="str">
        <f>IFERROR(MID(VLOOKUP($B84,Seqs!$A:$B,2,0),AE84,1),"")</f>
        <v>H</v>
      </c>
      <c r="AE84" s="3">
        <v>180</v>
      </c>
      <c r="AF84" s="3" t="str">
        <f>IFERROR(MID(VLOOKUP($B84,Seqs!$A:$B,2,0),AG84,1),"")</f>
        <v>C</v>
      </c>
      <c r="AG84" s="3">
        <v>199</v>
      </c>
      <c r="AH84" s="3" t="str">
        <f>IFERROR(MID(VLOOKUP($B84,Seqs!$A:$B,2,0),AI84,1),"")</f>
        <v>F</v>
      </c>
      <c r="AI84" s="3">
        <v>201</v>
      </c>
      <c r="AJ84" s="3" t="str">
        <f>IFERROR(MID(VLOOKUP($B84,Seqs!$A:$B,2,0),AK84,1),"")</f>
        <v>N</v>
      </c>
      <c r="AK84" s="3">
        <v>204</v>
      </c>
      <c r="AL84" s="3" t="str">
        <f>IFERROR(MID(VLOOKUP($B84,Seqs!$A:$B,2,0),AM84,1),"")</f>
        <v>I</v>
      </c>
      <c r="AM84" s="3">
        <v>238</v>
      </c>
      <c r="AN84" s="3" t="str">
        <f>IFERROR(MID(VLOOKUP($B84,Seqs!$A:$B,2,0),AO84,1),"")</f>
        <v>R</v>
      </c>
      <c r="AO84" s="3">
        <v>275</v>
      </c>
      <c r="AP84" s="3" t="str">
        <f>IFERROR(MID(VLOOKUP($B84,Seqs!$A:$B,2,0),AQ84,1),"")</f>
        <v>N</v>
      </c>
      <c r="AQ84" s="3">
        <v>316</v>
      </c>
      <c r="AR84" s="3" t="str">
        <f>IFERROR(MID(VLOOKUP($B84,Seqs!$A:$B,2,0),AS84,1),"")</f>
        <v>P</v>
      </c>
      <c r="AS84" s="3">
        <v>321</v>
      </c>
      <c r="AT84" s="3" t="str">
        <f>IFERROR(MID(VLOOKUP($B84,Seqs!$A:$B,2,0),AU84,1),"")</f>
        <v>R</v>
      </c>
      <c r="AU84" s="3">
        <v>345</v>
      </c>
      <c r="AV84" s="3" t="str">
        <f>IFERROR(MID(VLOOKUP($B84,Seqs!$A:$B,2,0),AW84,1),"")</f>
        <v>S</v>
      </c>
      <c r="AW84" s="3">
        <v>346</v>
      </c>
      <c r="AX84" s="3" t="str">
        <f>IFERROR(MID(VLOOKUP($B84,Seqs!$A:$B,2,0),AY84,1),"")</f>
        <v>C</v>
      </c>
      <c r="AY84" s="3">
        <v>358</v>
      </c>
      <c r="AZ84" s="77" t="str">
        <f>VLOOKUP(B84,Classification!A:D,2,0)</f>
        <v>A</v>
      </c>
      <c r="BA84" s="94" t="str">
        <f>VLOOKUP(B84,Classification!A:D,4,0)</f>
        <v>Adrenoceptors</v>
      </c>
      <c r="BB84" s="27" t="b">
        <f t="shared" si="224"/>
        <v>1</v>
      </c>
      <c r="BC84" s="23">
        <f t="shared" si="169"/>
        <v>265</v>
      </c>
      <c r="BD84" s="4" t="s">
        <v>23</v>
      </c>
      <c r="BE84" s="3" t="s">
        <v>1381</v>
      </c>
      <c r="BF84" s="119">
        <v>3.05</v>
      </c>
      <c r="BG84" s="49" t="s">
        <v>1384</v>
      </c>
      <c r="BH84" s="49" t="s">
        <v>1384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170"/>
        <v>33</v>
      </c>
      <c r="BW84" s="71">
        <f t="shared" si="171"/>
        <v>70</v>
      </c>
      <c r="BX84" s="72">
        <f t="shared" si="172"/>
        <v>74</v>
      </c>
      <c r="BY84" s="71">
        <f t="shared" si="173"/>
        <v>106</v>
      </c>
      <c r="BZ84" s="72">
        <f t="shared" si="174"/>
        <v>110</v>
      </c>
      <c r="CA84" s="71">
        <f t="shared" si="175"/>
        <v>146</v>
      </c>
      <c r="CB84" s="72">
        <f t="shared" si="176"/>
        <v>154</v>
      </c>
      <c r="CC84" s="71">
        <f t="shared" si="177"/>
        <v>199</v>
      </c>
      <c r="CD84" s="72">
        <f t="shared" si="178"/>
        <v>204</v>
      </c>
      <c r="CE84" s="71">
        <f t="shared" si="179"/>
        <v>275</v>
      </c>
      <c r="CF84" s="72">
        <f t="shared" si="180"/>
        <v>321</v>
      </c>
      <c r="CG84" s="71">
        <f t="shared" si="181"/>
        <v>346</v>
      </c>
      <c r="CH84" s="70">
        <f t="shared" si="182"/>
        <v>69</v>
      </c>
      <c r="CI84" s="71">
        <f t="shared" si="183"/>
        <v>73</v>
      </c>
      <c r="CJ84" s="72">
        <f t="shared" si="184"/>
        <v>104</v>
      </c>
      <c r="CK84" s="72">
        <f t="shared" si="185"/>
        <v>109</v>
      </c>
      <c r="CL84" s="72">
        <f t="shared" si="186"/>
        <v>145</v>
      </c>
      <c r="CM84" s="72">
        <f t="shared" si="187"/>
        <v>153</v>
      </c>
      <c r="CN84" s="72">
        <f t="shared" si="188"/>
        <v>180</v>
      </c>
      <c r="CO84" s="72">
        <f t="shared" si="189"/>
        <v>201</v>
      </c>
      <c r="CP84" s="72">
        <f t="shared" si="190"/>
        <v>238</v>
      </c>
      <c r="CQ84" s="72">
        <f t="shared" si="191"/>
        <v>316</v>
      </c>
      <c r="CR84" s="72">
        <f t="shared" si="192"/>
        <v>345</v>
      </c>
      <c r="CS84" s="72">
        <f t="shared" si="193"/>
        <v>358</v>
      </c>
      <c r="CT84" s="23">
        <f t="shared" si="194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223"/>
        <v>adrb1_melga_2YCW</v>
      </c>
      <c r="B85" s="3" t="s">
        <v>912</v>
      </c>
      <c r="C85" s="3" t="s">
        <v>1027</v>
      </c>
      <c r="D85" s="3" t="str">
        <f>IFERROR(MID(VLOOKUP($B85,Seqs!$A:$B,2,0),E85,1),"")</f>
        <v>S</v>
      </c>
      <c r="E85" s="3">
        <v>37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K</v>
      </c>
      <c r="AM85" s="3">
        <v>240</v>
      </c>
      <c r="AN85" s="3" t="str">
        <f>IFERROR(MID(VLOOKUP($B85,Seqs!$A:$B,2,0),AO85,1),"")</f>
        <v>L</v>
      </c>
      <c r="AO85" s="3">
        <v>289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224"/>
        <v>1</v>
      </c>
      <c r="BC85" s="23">
        <f t="shared" si="169"/>
        <v>249</v>
      </c>
      <c r="BD85" s="4" t="s">
        <v>23</v>
      </c>
      <c r="BE85" s="3" t="s">
        <v>1381</v>
      </c>
      <c r="BF85" s="119">
        <v>3</v>
      </c>
      <c r="BG85" s="49" t="s">
        <v>1384</v>
      </c>
      <c r="BH85" s="49" t="s">
        <v>1384</v>
      </c>
      <c r="BI85" s="1"/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170"/>
        <v>37</v>
      </c>
      <c r="BW85" s="71">
        <f t="shared" si="171"/>
        <v>70</v>
      </c>
      <c r="BX85" s="72">
        <f t="shared" si="172"/>
        <v>74</v>
      </c>
      <c r="BY85" s="71">
        <f t="shared" si="173"/>
        <v>106</v>
      </c>
      <c r="BZ85" s="72">
        <f t="shared" si="174"/>
        <v>110</v>
      </c>
      <c r="CA85" s="71">
        <f t="shared" si="175"/>
        <v>146</v>
      </c>
      <c r="CB85" s="72">
        <f t="shared" si="176"/>
        <v>154</v>
      </c>
      <c r="CC85" s="71">
        <f t="shared" si="177"/>
        <v>199</v>
      </c>
      <c r="CD85" s="72">
        <f t="shared" si="178"/>
        <v>204</v>
      </c>
      <c r="CE85" s="71">
        <f t="shared" si="179"/>
        <v>289</v>
      </c>
      <c r="CF85" s="72">
        <f t="shared" si="180"/>
        <v>321</v>
      </c>
      <c r="CG85" s="71">
        <f t="shared" si="181"/>
        <v>346</v>
      </c>
      <c r="CH85" s="70">
        <f t="shared" si="182"/>
        <v>69</v>
      </c>
      <c r="CI85" s="71">
        <f t="shared" si="183"/>
        <v>73</v>
      </c>
      <c r="CJ85" s="72">
        <f t="shared" si="184"/>
        <v>104</v>
      </c>
      <c r="CK85" s="72">
        <f t="shared" si="185"/>
        <v>109</v>
      </c>
      <c r="CL85" s="72">
        <f t="shared" si="186"/>
        <v>145</v>
      </c>
      <c r="CM85" s="72">
        <f t="shared" si="187"/>
        <v>153</v>
      </c>
      <c r="CN85" s="72">
        <f t="shared" si="188"/>
        <v>180</v>
      </c>
      <c r="CO85" s="72">
        <f t="shared" si="189"/>
        <v>201</v>
      </c>
      <c r="CP85" s="72">
        <f t="shared" si="190"/>
        <v>240</v>
      </c>
      <c r="CQ85" s="72">
        <f t="shared" si="191"/>
        <v>316</v>
      </c>
      <c r="CR85" s="72">
        <f t="shared" si="192"/>
        <v>345</v>
      </c>
      <c r="CS85" s="72">
        <f t="shared" si="193"/>
        <v>358</v>
      </c>
      <c r="CT85" s="23">
        <f t="shared" si="194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223"/>
        <v>adrb1_melga_2YCZ</v>
      </c>
      <c r="B86" s="3" t="s">
        <v>912</v>
      </c>
      <c r="C86" s="3" t="s">
        <v>1028</v>
      </c>
      <c r="D86" s="3" t="str">
        <f>IFERROR(MID(VLOOKUP($B86,Seqs!$A:$B,2,0),E86,1),"")</f>
        <v>A</v>
      </c>
      <c r="E86" s="3">
        <v>33</v>
      </c>
      <c r="F86" s="3" t="str">
        <f>IFERROR(MID(VLOOKUP($B86,Seqs!$A:$B,2,0),G86,1),"")</f>
        <v>T</v>
      </c>
      <c r="G86" s="3">
        <v>69</v>
      </c>
      <c r="H86" s="3" t="str">
        <f>IFERROR(MID(VLOOKUP($B86,Seqs!$A:$B,2,0),I86,1),"")</f>
        <v>Q</v>
      </c>
      <c r="I86" s="23">
        <v>70</v>
      </c>
      <c r="J86" s="3" t="str">
        <f>IFERROR(MID(VLOOKUP($B86,Seqs!$A:$B,2,0),K86,1),"")</f>
        <v>Q</v>
      </c>
      <c r="K86" s="23">
        <v>73</v>
      </c>
      <c r="L86" s="3" t="str">
        <f>IFERROR(MID(VLOOKUP($B86,Seqs!$A:$B,2,0),M86,1),"")</f>
        <v>T</v>
      </c>
      <c r="M86" s="3">
        <v>74</v>
      </c>
      <c r="N86" s="3" t="str">
        <f>IFERROR(MID(VLOOKUP($B86,Seqs!$A:$B,2,0),O86,1),"")</f>
        <v>R</v>
      </c>
      <c r="O86" s="3">
        <v>104</v>
      </c>
      <c r="P86" s="3" t="str">
        <f>IFERROR(MID(VLOOKUP($B86,Seqs!$A:$B,2,0),Q86,1),"")</f>
        <v>T</v>
      </c>
      <c r="Q86" s="3">
        <v>106</v>
      </c>
      <c r="R86" s="3" t="str">
        <f>IFERROR(MID(VLOOKUP($B86,Seqs!$A:$B,2,0),S86,1),"")</f>
        <v>W</v>
      </c>
      <c r="S86" s="3">
        <v>109</v>
      </c>
      <c r="T86" s="3" t="str">
        <f>IFERROR(MID(VLOOKUP($B86,Seqs!$A:$B,2,0),U86,1),"")</f>
        <v>G</v>
      </c>
      <c r="U86" s="3">
        <v>110</v>
      </c>
      <c r="V86" s="3" t="str">
        <f>IFERROR(MID(VLOOKUP($B86,Seqs!$A:$B,2,0),W86,1),"")</f>
        <v>S</v>
      </c>
      <c r="W86" s="3">
        <v>145</v>
      </c>
      <c r="X86" s="3" t="str">
        <f>IFERROR(MID(VLOOKUP($B86,Seqs!$A:$B,2,0),Y86,1),"")</f>
        <v>P</v>
      </c>
      <c r="Y86" s="3">
        <v>146</v>
      </c>
      <c r="Z86" s="3" t="str">
        <f>IFERROR(MID(VLOOKUP($B86,Seqs!$A:$B,2,0),AA86,1),"")</f>
        <v>M</v>
      </c>
      <c r="AA86" s="3">
        <v>153</v>
      </c>
      <c r="AB86" s="3" t="str">
        <f>IFERROR(MID(VLOOKUP($B86,Seqs!$A:$B,2,0),AC86,1),"")</f>
        <v>T</v>
      </c>
      <c r="AC86" s="9">
        <v>154</v>
      </c>
      <c r="AD86" s="3" t="str">
        <f>IFERROR(MID(VLOOKUP($B86,Seqs!$A:$B,2,0),AE86,1),"")</f>
        <v>H</v>
      </c>
      <c r="AE86" s="3">
        <v>180</v>
      </c>
      <c r="AF86" s="3" t="str">
        <f>IFERROR(MID(VLOOKUP($B86,Seqs!$A:$B,2,0),AG86,1),"")</f>
        <v>C</v>
      </c>
      <c r="AG86" s="3">
        <v>199</v>
      </c>
      <c r="AH86" s="3" t="str">
        <f>IFERROR(MID(VLOOKUP($B86,Seqs!$A:$B,2,0),AI86,1),"")</f>
        <v>F</v>
      </c>
      <c r="AI86" s="3">
        <v>201</v>
      </c>
      <c r="AJ86" s="3" t="str">
        <f>IFERROR(MID(VLOOKUP($B86,Seqs!$A:$B,2,0),AK86,1),"")</f>
        <v>N</v>
      </c>
      <c r="AK86" s="3">
        <v>204</v>
      </c>
      <c r="AL86" s="3" t="str">
        <f>IFERROR(MID(VLOOKUP($B86,Seqs!$A:$B,2,0),AM86,1),"")</f>
        <v>K</v>
      </c>
      <c r="AM86" s="3">
        <v>240</v>
      </c>
      <c r="AN86" s="3" t="str">
        <f>IFERROR(MID(VLOOKUP($B86,Seqs!$A:$B,2,0),AO86,1),"")</f>
        <v>A</v>
      </c>
      <c r="AO86" s="3">
        <v>288</v>
      </c>
      <c r="AP86" s="3" t="str">
        <f>IFERROR(MID(VLOOKUP($B86,Seqs!$A:$B,2,0),AQ86,1),"")</f>
        <v>N</v>
      </c>
      <c r="AQ86" s="3">
        <v>316</v>
      </c>
      <c r="AR86" s="3" t="str">
        <f>IFERROR(MID(VLOOKUP($B86,Seqs!$A:$B,2,0),AS86,1),"")</f>
        <v>P</v>
      </c>
      <c r="AS86" s="3">
        <v>321</v>
      </c>
      <c r="AT86" s="3" t="str">
        <f>IFERROR(MID(VLOOKUP($B86,Seqs!$A:$B,2,0),AU86,1),"")</f>
        <v>R</v>
      </c>
      <c r="AU86" s="3">
        <v>345</v>
      </c>
      <c r="AV86" s="3" t="str">
        <f>IFERROR(MID(VLOOKUP($B86,Seqs!$A:$B,2,0),AW86,1),"")</f>
        <v>S</v>
      </c>
      <c r="AW86" s="3">
        <v>346</v>
      </c>
      <c r="AX86" s="3" t="str">
        <f>IFERROR(MID(VLOOKUP($B86,Seqs!$A:$B,2,0),AY86,1),"")</f>
        <v>C</v>
      </c>
      <c r="AY86" s="3">
        <v>358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224"/>
        <v>1</v>
      </c>
      <c r="BC86" s="23">
        <f t="shared" si="169"/>
        <v>254</v>
      </c>
      <c r="BD86" s="16" t="s">
        <v>23</v>
      </c>
      <c r="BE86" s="3" t="s">
        <v>1381</v>
      </c>
      <c r="BF86" s="119">
        <v>3.65</v>
      </c>
      <c r="BG86" s="49" t="s">
        <v>1384</v>
      </c>
      <c r="BH86" s="49" t="s">
        <v>1384</v>
      </c>
      <c r="BI86" s="1"/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170"/>
        <v>33</v>
      </c>
      <c r="BW86" s="71">
        <f t="shared" si="171"/>
        <v>70</v>
      </c>
      <c r="BX86" s="72">
        <f t="shared" si="172"/>
        <v>74</v>
      </c>
      <c r="BY86" s="71">
        <f t="shared" si="173"/>
        <v>106</v>
      </c>
      <c r="BZ86" s="72">
        <f t="shared" si="174"/>
        <v>110</v>
      </c>
      <c r="CA86" s="71">
        <f t="shared" si="175"/>
        <v>146</v>
      </c>
      <c r="CB86" s="72">
        <f t="shared" si="176"/>
        <v>154</v>
      </c>
      <c r="CC86" s="71">
        <f t="shared" si="177"/>
        <v>199</v>
      </c>
      <c r="CD86" s="72">
        <f t="shared" si="178"/>
        <v>204</v>
      </c>
      <c r="CE86" s="71">
        <f t="shared" si="179"/>
        <v>288</v>
      </c>
      <c r="CF86" s="72">
        <f t="shared" si="180"/>
        <v>321</v>
      </c>
      <c r="CG86" s="71">
        <f t="shared" si="181"/>
        <v>346</v>
      </c>
      <c r="CH86" s="70">
        <f t="shared" si="182"/>
        <v>69</v>
      </c>
      <c r="CI86" s="71">
        <f t="shared" si="183"/>
        <v>73</v>
      </c>
      <c r="CJ86" s="72">
        <f t="shared" si="184"/>
        <v>104</v>
      </c>
      <c r="CK86" s="72">
        <f t="shared" si="185"/>
        <v>109</v>
      </c>
      <c r="CL86" s="72">
        <f t="shared" si="186"/>
        <v>145</v>
      </c>
      <c r="CM86" s="72">
        <f t="shared" si="187"/>
        <v>153</v>
      </c>
      <c r="CN86" s="72">
        <f t="shared" si="188"/>
        <v>180</v>
      </c>
      <c r="CO86" s="72">
        <f t="shared" si="189"/>
        <v>201</v>
      </c>
      <c r="CP86" s="72">
        <f t="shared" si="190"/>
        <v>240</v>
      </c>
      <c r="CQ86" s="72">
        <f t="shared" si="191"/>
        <v>316</v>
      </c>
      <c r="CR86" s="72">
        <f t="shared" si="192"/>
        <v>345</v>
      </c>
      <c r="CS86" s="72">
        <f t="shared" si="193"/>
        <v>358</v>
      </c>
      <c r="CT86" s="23">
        <f t="shared" si="194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223"/>
        <v>adrb1_melga_3ZPQ</v>
      </c>
      <c r="B87" s="3" t="s">
        <v>912</v>
      </c>
      <c r="C87" s="3" t="s">
        <v>1038</v>
      </c>
      <c r="D87" s="3" t="str">
        <f>IFERROR(MID(VLOOKUP($B87,Seqs!$A:$B,2,0),E87,1),"")</f>
        <v>A</v>
      </c>
      <c r="E87" s="3">
        <v>33</v>
      </c>
      <c r="F87" s="3" t="str">
        <f>IFERROR(MID(VLOOKUP($B87,Seqs!$A:$B,2,0),G87,1),"")</f>
        <v>T</v>
      </c>
      <c r="G87" s="3">
        <v>69</v>
      </c>
      <c r="H87" s="3" t="str">
        <f>IFERROR(MID(VLOOKUP($B87,Seqs!$A:$B,2,0),I87,1),"")</f>
        <v>Q</v>
      </c>
      <c r="I87" s="23">
        <v>70</v>
      </c>
      <c r="J87" s="3" t="str">
        <f>IFERROR(MID(VLOOKUP($B87,Seqs!$A:$B,2,0),K87,1),"")</f>
        <v>Q</v>
      </c>
      <c r="K87" s="23">
        <v>73</v>
      </c>
      <c r="L87" s="3" t="str">
        <f>IFERROR(MID(VLOOKUP($B87,Seqs!$A:$B,2,0),M87,1),"")</f>
        <v>T</v>
      </c>
      <c r="M87" s="3">
        <v>74</v>
      </c>
      <c r="N87" s="3" t="str">
        <f>IFERROR(MID(VLOOKUP($B87,Seqs!$A:$B,2,0),O87,1),"")</f>
        <v>R</v>
      </c>
      <c r="O87" s="3">
        <v>104</v>
      </c>
      <c r="P87" s="3" t="str">
        <f>IFERROR(MID(VLOOKUP($B87,Seqs!$A:$B,2,0),Q87,1),"")</f>
        <v>T</v>
      </c>
      <c r="Q87" s="3">
        <v>106</v>
      </c>
      <c r="R87" s="3" t="str">
        <f>IFERROR(MID(VLOOKUP($B87,Seqs!$A:$B,2,0),S87,1),"")</f>
        <v>W</v>
      </c>
      <c r="S87" s="3">
        <v>109</v>
      </c>
      <c r="T87" s="3" t="str">
        <f>IFERROR(MID(VLOOKUP($B87,Seqs!$A:$B,2,0),U87,1),"")</f>
        <v>G</v>
      </c>
      <c r="U87" s="3">
        <v>110</v>
      </c>
      <c r="V87" s="3" t="str">
        <f>IFERROR(MID(VLOOKUP($B87,Seqs!$A:$B,2,0),W87,1),"")</f>
        <v>S</v>
      </c>
      <c r="W87" s="3">
        <v>145</v>
      </c>
      <c r="X87" s="3" t="str">
        <f>IFERROR(MID(VLOOKUP($B87,Seqs!$A:$B,2,0),Y87,1),"")</f>
        <v>P</v>
      </c>
      <c r="Y87" s="3">
        <v>146</v>
      </c>
      <c r="Z87" s="3" t="str">
        <f>IFERROR(MID(VLOOKUP($B87,Seqs!$A:$B,2,0),AA87,1),"")</f>
        <v>M</v>
      </c>
      <c r="AA87" s="3">
        <v>153</v>
      </c>
      <c r="AB87" s="3" t="str">
        <f>IFERROR(MID(VLOOKUP($B87,Seqs!$A:$B,2,0),AC87,1),"")</f>
        <v>T</v>
      </c>
      <c r="AC87" s="9">
        <v>154</v>
      </c>
      <c r="AD87" s="3" t="str">
        <f>IFERROR(MID(VLOOKUP($B87,Seqs!$A:$B,2,0),AE87,1),"")</f>
        <v>H</v>
      </c>
      <c r="AE87" s="3">
        <v>180</v>
      </c>
      <c r="AF87" s="3" t="str">
        <f>IFERROR(MID(VLOOKUP($B87,Seqs!$A:$B,2,0),AG87,1),"")</f>
        <v>C</v>
      </c>
      <c r="AG87" s="3">
        <v>199</v>
      </c>
      <c r="AH87" s="3" t="str">
        <f>IFERROR(MID(VLOOKUP($B87,Seqs!$A:$B,2,0),AI87,1),"")</f>
        <v>F</v>
      </c>
      <c r="AI87" s="3">
        <v>201</v>
      </c>
      <c r="AJ87" s="3" t="str">
        <f>IFERROR(MID(VLOOKUP($B87,Seqs!$A:$B,2,0),AK87,1),"")</f>
        <v>N</v>
      </c>
      <c r="AK87" s="3">
        <v>204</v>
      </c>
      <c r="AL87" s="3" t="str">
        <f>IFERROR(MID(VLOOKUP($B87,Seqs!$A:$B,2,0),AM87,1),"")</f>
        <v>I</v>
      </c>
      <c r="AM87" s="3">
        <v>238</v>
      </c>
      <c r="AN87" s="3" t="str">
        <f>IFERROR(MID(VLOOKUP($B87,Seqs!$A:$B,2,0),AO87,1),"")</f>
        <v>R</v>
      </c>
      <c r="AO87" s="3">
        <v>275</v>
      </c>
      <c r="AP87" s="3" t="str">
        <f>IFERROR(MID(VLOOKUP($B87,Seqs!$A:$B,2,0),AQ87,1),"")</f>
        <v>N</v>
      </c>
      <c r="AQ87" s="3">
        <v>316</v>
      </c>
      <c r="AR87" s="3" t="str">
        <f>IFERROR(MID(VLOOKUP($B87,Seqs!$A:$B,2,0),AS87,1),"")</f>
        <v>P</v>
      </c>
      <c r="AS87" s="3">
        <v>321</v>
      </c>
      <c r="AT87" s="3" t="str">
        <f>IFERROR(MID(VLOOKUP($B87,Seqs!$A:$B,2,0),AU87,1),"")</f>
        <v>R</v>
      </c>
      <c r="AU87" s="3">
        <v>345</v>
      </c>
      <c r="AV87" s="3" t="str">
        <f>IFERROR(MID(VLOOKUP($B87,Seqs!$A:$B,2,0),AW87,1),"")</f>
        <v>S</v>
      </c>
      <c r="AW87" s="3">
        <v>346</v>
      </c>
      <c r="AX87" s="3" t="str">
        <f>IFERROR(MID(VLOOKUP($B87,Seqs!$A:$B,2,0),AY87,1),"")</f>
        <v>C</v>
      </c>
      <c r="AY87" s="3">
        <v>358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224"/>
        <v>1</v>
      </c>
      <c r="BC87" s="23">
        <f t="shared" si="169"/>
        <v>265</v>
      </c>
      <c r="BD87" s="4" t="s">
        <v>23</v>
      </c>
      <c r="BE87" s="3" t="s">
        <v>1381</v>
      </c>
      <c r="BF87" s="119">
        <v>2.8</v>
      </c>
      <c r="BG87" s="49" t="s">
        <v>1384</v>
      </c>
      <c r="BH87" s="49" t="s">
        <v>1384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170"/>
        <v>33</v>
      </c>
      <c r="BW87" s="71">
        <f t="shared" si="171"/>
        <v>70</v>
      </c>
      <c r="BX87" s="72">
        <f t="shared" si="172"/>
        <v>74</v>
      </c>
      <c r="BY87" s="71">
        <f t="shared" si="173"/>
        <v>106</v>
      </c>
      <c r="BZ87" s="72">
        <f t="shared" si="174"/>
        <v>110</v>
      </c>
      <c r="CA87" s="71">
        <f t="shared" si="175"/>
        <v>146</v>
      </c>
      <c r="CB87" s="72">
        <f t="shared" si="176"/>
        <v>154</v>
      </c>
      <c r="CC87" s="71">
        <f t="shared" si="177"/>
        <v>199</v>
      </c>
      <c r="CD87" s="72">
        <f t="shared" si="178"/>
        <v>204</v>
      </c>
      <c r="CE87" s="71">
        <f t="shared" si="179"/>
        <v>275</v>
      </c>
      <c r="CF87" s="72">
        <f t="shared" si="180"/>
        <v>321</v>
      </c>
      <c r="CG87" s="71">
        <f t="shared" si="181"/>
        <v>346</v>
      </c>
      <c r="CH87" s="70">
        <f t="shared" si="182"/>
        <v>69</v>
      </c>
      <c r="CI87" s="71">
        <f t="shared" si="183"/>
        <v>73</v>
      </c>
      <c r="CJ87" s="72">
        <f t="shared" si="184"/>
        <v>104</v>
      </c>
      <c r="CK87" s="72">
        <f t="shared" si="185"/>
        <v>109</v>
      </c>
      <c r="CL87" s="72">
        <f t="shared" si="186"/>
        <v>145</v>
      </c>
      <c r="CM87" s="72">
        <f t="shared" si="187"/>
        <v>153</v>
      </c>
      <c r="CN87" s="72">
        <f t="shared" si="188"/>
        <v>180</v>
      </c>
      <c r="CO87" s="72">
        <f t="shared" si="189"/>
        <v>201</v>
      </c>
      <c r="CP87" s="72">
        <f t="shared" si="190"/>
        <v>238</v>
      </c>
      <c r="CQ87" s="72">
        <f t="shared" si="191"/>
        <v>316</v>
      </c>
      <c r="CR87" s="72">
        <f t="shared" si="192"/>
        <v>345</v>
      </c>
      <c r="CS87" s="72">
        <f t="shared" si="193"/>
        <v>358</v>
      </c>
      <c r="CT87" s="23">
        <f t="shared" si="194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223"/>
        <v>adrb1_melga_3ZPR</v>
      </c>
      <c r="B88" s="3" t="s">
        <v>912</v>
      </c>
      <c r="C88" s="3" t="s">
        <v>1039</v>
      </c>
      <c r="D88" s="3" t="str">
        <f>IFERROR(MID(VLOOKUP($B88,Seqs!$A:$B,2,0),E88,1),"")</f>
        <v>A</v>
      </c>
      <c r="E88" s="3">
        <v>33</v>
      </c>
      <c r="F88" s="3" t="str">
        <f>IFERROR(MID(VLOOKUP($B88,Seqs!$A:$B,2,0),G88,1),"")</f>
        <v>T</v>
      </c>
      <c r="G88" s="3">
        <v>69</v>
      </c>
      <c r="H88" s="3" t="str">
        <f>IFERROR(MID(VLOOKUP($B88,Seqs!$A:$B,2,0),I88,1),"")</f>
        <v>Q</v>
      </c>
      <c r="I88" s="23">
        <v>70</v>
      </c>
      <c r="J88" s="3" t="str">
        <f>IFERROR(MID(VLOOKUP($B88,Seqs!$A:$B,2,0),K88,1),"")</f>
        <v>Q</v>
      </c>
      <c r="K88" s="23">
        <v>73</v>
      </c>
      <c r="L88" s="3" t="str">
        <f>IFERROR(MID(VLOOKUP($B88,Seqs!$A:$B,2,0),M88,1),"")</f>
        <v>T</v>
      </c>
      <c r="M88" s="3">
        <v>74</v>
      </c>
      <c r="N88" s="3" t="str">
        <f>IFERROR(MID(VLOOKUP($B88,Seqs!$A:$B,2,0),O88,1),"")</f>
        <v>R</v>
      </c>
      <c r="O88" s="3">
        <v>104</v>
      </c>
      <c r="P88" s="3" t="str">
        <f>IFERROR(MID(VLOOKUP($B88,Seqs!$A:$B,2,0),Q88,1),"")</f>
        <v>T</v>
      </c>
      <c r="Q88" s="3">
        <v>106</v>
      </c>
      <c r="R88" s="3" t="str">
        <f>IFERROR(MID(VLOOKUP($B88,Seqs!$A:$B,2,0),S88,1),"")</f>
        <v>W</v>
      </c>
      <c r="S88" s="3">
        <v>109</v>
      </c>
      <c r="T88" s="3" t="str">
        <f>IFERROR(MID(VLOOKUP($B88,Seqs!$A:$B,2,0),U88,1),"")</f>
        <v>G</v>
      </c>
      <c r="U88" s="3">
        <v>110</v>
      </c>
      <c r="V88" s="3" t="str">
        <f>IFERROR(MID(VLOOKUP($B88,Seqs!$A:$B,2,0),W88,1),"")</f>
        <v>S</v>
      </c>
      <c r="W88" s="3">
        <v>145</v>
      </c>
      <c r="X88" s="3" t="str">
        <f>IFERROR(MID(VLOOKUP($B88,Seqs!$A:$B,2,0),Y88,1),"")</f>
        <v>P</v>
      </c>
      <c r="Y88" s="3">
        <v>146</v>
      </c>
      <c r="Z88" s="3" t="str">
        <f>IFERROR(MID(VLOOKUP($B88,Seqs!$A:$B,2,0),AA88,1),"")</f>
        <v>M</v>
      </c>
      <c r="AA88" s="3">
        <v>153</v>
      </c>
      <c r="AB88" s="3" t="str">
        <f>IFERROR(MID(VLOOKUP($B88,Seqs!$A:$B,2,0),AC88,1),"")</f>
        <v>T</v>
      </c>
      <c r="AC88" s="9">
        <v>154</v>
      </c>
      <c r="AD88" s="3" t="str">
        <f>IFERROR(MID(VLOOKUP($B88,Seqs!$A:$B,2,0),AE88,1),"")</f>
        <v>H</v>
      </c>
      <c r="AE88" s="3">
        <v>180</v>
      </c>
      <c r="AF88" s="3" t="str">
        <f>IFERROR(MID(VLOOKUP($B88,Seqs!$A:$B,2,0),AG88,1),"")</f>
        <v>C</v>
      </c>
      <c r="AG88" s="3">
        <v>199</v>
      </c>
      <c r="AH88" s="3" t="str">
        <f>IFERROR(MID(VLOOKUP($B88,Seqs!$A:$B,2,0),AI88,1),"")</f>
        <v>F</v>
      </c>
      <c r="AI88" s="3">
        <v>201</v>
      </c>
      <c r="AJ88" s="3" t="str">
        <f>IFERROR(MID(VLOOKUP($B88,Seqs!$A:$B,2,0),AK88,1),"")</f>
        <v>N</v>
      </c>
      <c r="AK88" s="3">
        <v>204</v>
      </c>
      <c r="AL88" s="3" t="str">
        <f>IFERROR(MID(VLOOKUP($B88,Seqs!$A:$B,2,0),AM88,1),"")</f>
        <v>I</v>
      </c>
      <c r="AM88" s="3">
        <v>238</v>
      </c>
      <c r="AN88" s="3" t="str">
        <f>IFERROR(MID(VLOOKUP($B88,Seqs!$A:$B,2,0),AO88,1),"")</f>
        <v>R</v>
      </c>
      <c r="AO88" s="3">
        <v>275</v>
      </c>
      <c r="AP88" s="3" t="str">
        <f>IFERROR(MID(VLOOKUP($B88,Seqs!$A:$B,2,0),AQ88,1),"")</f>
        <v>N</v>
      </c>
      <c r="AQ88" s="3">
        <v>316</v>
      </c>
      <c r="AR88" s="3" t="str">
        <f>IFERROR(MID(VLOOKUP($B88,Seqs!$A:$B,2,0),AS88,1),"")</f>
        <v>P</v>
      </c>
      <c r="AS88" s="3">
        <v>321</v>
      </c>
      <c r="AT88" s="3" t="str">
        <f>IFERROR(MID(VLOOKUP($B88,Seqs!$A:$B,2,0),AU88,1),"")</f>
        <v>R</v>
      </c>
      <c r="AU88" s="3">
        <v>345</v>
      </c>
      <c r="AV88" s="3" t="str">
        <f>IFERROR(MID(VLOOKUP($B88,Seqs!$A:$B,2,0),AW88,1),"")</f>
        <v>S</v>
      </c>
      <c r="AW88" s="3">
        <v>346</v>
      </c>
      <c r="AX88" s="3" t="str">
        <f>IFERROR(MID(VLOOKUP($B88,Seqs!$A:$B,2,0),AY88,1),"")</f>
        <v>C</v>
      </c>
      <c r="AY88" s="3">
        <v>358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224"/>
        <v>1</v>
      </c>
      <c r="BC88" s="23">
        <f t="shared" si="169"/>
        <v>265</v>
      </c>
      <c r="BD88" s="4" t="s">
        <v>23</v>
      </c>
      <c r="BE88" s="3" t="s">
        <v>1381</v>
      </c>
      <c r="BF88" s="119">
        <v>2.7</v>
      </c>
      <c r="BG88" s="49" t="s">
        <v>1384</v>
      </c>
      <c r="BH88" s="49" t="s">
        <v>1384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170"/>
        <v>33</v>
      </c>
      <c r="BW88" s="71">
        <f t="shared" si="171"/>
        <v>70</v>
      </c>
      <c r="BX88" s="72">
        <f t="shared" si="172"/>
        <v>74</v>
      </c>
      <c r="BY88" s="71">
        <f t="shared" si="173"/>
        <v>106</v>
      </c>
      <c r="BZ88" s="72">
        <f t="shared" si="174"/>
        <v>110</v>
      </c>
      <c r="CA88" s="71">
        <f t="shared" si="175"/>
        <v>146</v>
      </c>
      <c r="CB88" s="72">
        <f t="shared" si="176"/>
        <v>154</v>
      </c>
      <c r="CC88" s="71">
        <f t="shared" si="177"/>
        <v>199</v>
      </c>
      <c r="CD88" s="72">
        <f t="shared" si="178"/>
        <v>204</v>
      </c>
      <c r="CE88" s="71">
        <f t="shared" si="179"/>
        <v>275</v>
      </c>
      <c r="CF88" s="72">
        <f t="shared" si="180"/>
        <v>321</v>
      </c>
      <c r="CG88" s="71">
        <f t="shared" si="181"/>
        <v>346</v>
      </c>
      <c r="CH88" s="70">
        <f t="shared" si="182"/>
        <v>69</v>
      </c>
      <c r="CI88" s="71">
        <f t="shared" si="183"/>
        <v>73</v>
      </c>
      <c r="CJ88" s="72">
        <f t="shared" si="184"/>
        <v>104</v>
      </c>
      <c r="CK88" s="72">
        <f t="shared" si="185"/>
        <v>109</v>
      </c>
      <c r="CL88" s="72">
        <f t="shared" si="186"/>
        <v>145</v>
      </c>
      <c r="CM88" s="72">
        <f t="shared" si="187"/>
        <v>153</v>
      </c>
      <c r="CN88" s="72">
        <f t="shared" si="188"/>
        <v>180</v>
      </c>
      <c r="CO88" s="72">
        <f t="shared" si="189"/>
        <v>201</v>
      </c>
      <c r="CP88" s="72">
        <f t="shared" si="190"/>
        <v>238</v>
      </c>
      <c r="CQ88" s="72">
        <f t="shared" si="191"/>
        <v>316</v>
      </c>
      <c r="CR88" s="72">
        <f t="shared" si="192"/>
        <v>345</v>
      </c>
      <c r="CS88" s="72">
        <f t="shared" si="193"/>
        <v>358</v>
      </c>
      <c r="CT88" s="23">
        <f t="shared" si="194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223"/>
        <v>adrb1_melga_4AMI</v>
      </c>
      <c r="B89" s="3" t="s">
        <v>912</v>
      </c>
      <c r="C89" s="3" t="s">
        <v>1040</v>
      </c>
      <c r="D89" s="3" t="str">
        <f>IFERROR(MID(VLOOKUP($B89,Seqs!$A:$B,2,0),E89,1),"")</f>
        <v>A</v>
      </c>
      <c r="E89" s="3">
        <v>33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E</v>
      </c>
      <c r="AM89" s="3">
        <v>236</v>
      </c>
      <c r="AN89" s="3" t="str">
        <f>IFERROR(MID(VLOOKUP($B89,Seqs!$A:$B,2,0),AO89,1),"")</f>
        <v>A</v>
      </c>
      <c r="AO89" s="3">
        <v>288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224"/>
        <v>1</v>
      </c>
      <c r="BC89" s="23">
        <f t="shared" si="169"/>
        <v>250</v>
      </c>
      <c r="BD89" s="4" t="s">
        <v>23</v>
      </c>
      <c r="BE89" s="3" t="s">
        <v>1381</v>
      </c>
      <c r="BF89" s="119">
        <v>3.2</v>
      </c>
      <c r="BG89" s="49" t="s">
        <v>1384</v>
      </c>
      <c r="BH89" s="49" t="s">
        <v>1384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170"/>
        <v>33</v>
      </c>
      <c r="BW89" s="71">
        <f t="shared" si="171"/>
        <v>70</v>
      </c>
      <c r="BX89" s="72">
        <f t="shared" si="172"/>
        <v>74</v>
      </c>
      <c r="BY89" s="71">
        <f t="shared" si="173"/>
        <v>106</v>
      </c>
      <c r="BZ89" s="72">
        <f t="shared" si="174"/>
        <v>110</v>
      </c>
      <c r="CA89" s="71">
        <f t="shared" si="175"/>
        <v>146</v>
      </c>
      <c r="CB89" s="72">
        <f t="shared" si="176"/>
        <v>154</v>
      </c>
      <c r="CC89" s="71">
        <f t="shared" si="177"/>
        <v>199</v>
      </c>
      <c r="CD89" s="72">
        <f t="shared" si="178"/>
        <v>204</v>
      </c>
      <c r="CE89" s="71">
        <f t="shared" si="179"/>
        <v>288</v>
      </c>
      <c r="CF89" s="72">
        <f t="shared" si="180"/>
        <v>321</v>
      </c>
      <c r="CG89" s="71">
        <f t="shared" si="181"/>
        <v>346</v>
      </c>
      <c r="CH89" s="70">
        <f t="shared" si="182"/>
        <v>69</v>
      </c>
      <c r="CI89" s="71">
        <f t="shared" si="183"/>
        <v>73</v>
      </c>
      <c r="CJ89" s="72">
        <f t="shared" si="184"/>
        <v>104</v>
      </c>
      <c r="CK89" s="72">
        <f t="shared" si="185"/>
        <v>109</v>
      </c>
      <c r="CL89" s="72">
        <f t="shared" si="186"/>
        <v>145</v>
      </c>
      <c r="CM89" s="72">
        <f t="shared" si="187"/>
        <v>153</v>
      </c>
      <c r="CN89" s="72">
        <f t="shared" si="188"/>
        <v>180</v>
      </c>
      <c r="CO89" s="72">
        <f t="shared" si="189"/>
        <v>201</v>
      </c>
      <c r="CP89" s="72">
        <f t="shared" si="190"/>
        <v>236</v>
      </c>
      <c r="CQ89" s="72">
        <f t="shared" si="191"/>
        <v>316</v>
      </c>
      <c r="CR89" s="72">
        <f t="shared" si="192"/>
        <v>345</v>
      </c>
      <c r="CS89" s="72">
        <f t="shared" si="193"/>
        <v>358</v>
      </c>
      <c r="CT89" s="23">
        <f t="shared" si="194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223"/>
        <v>adrb1_melga_4AMJ</v>
      </c>
      <c r="B90" s="3" t="s">
        <v>912</v>
      </c>
      <c r="C90" s="3" t="s">
        <v>1041</v>
      </c>
      <c r="D90" s="3" t="str">
        <f>IFERROR(MID(VLOOKUP($B90,Seqs!$A:$B,2,0),E90,1),"")</f>
        <v>A</v>
      </c>
      <c r="E90" s="3">
        <v>33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I</v>
      </c>
      <c r="AM90" s="3">
        <v>238</v>
      </c>
      <c r="AN90" s="3" t="str">
        <f>IFERROR(MID(VLOOKUP($B90,Seqs!$A:$B,2,0),AO90,1),"")</f>
        <v>R</v>
      </c>
      <c r="AO90" s="3">
        <v>275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224"/>
        <v>1</v>
      </c>
      <c r="BC90" s="23">
        <f t="shared" si="169"/>
        <v>265</v>
      </c>
      <c r="BD90" s="2" t="s">
        <v>1383</v>
      </c>
      <c r="BE90" s="3" t="s">
        <v>1381</v>
      </c>
      <c r="BF90" s="119">
        <v>2.2999999999999998</v>
      </c>
      <c r="BG90" s="49" t="s">
        <v>1384</v>
      </c>
      <c r="BH90" s="49" t="s">
        <v>1384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170"/>
        <v>33</v>
      </c>
      <c r="BW90" s="71">
        <f t="shared" si="171"/>
        <v>70</v>
      </c>
      <c r="BX90" s="72">
        <f t="shared" si="172"/>
        <v>74</v>
      </c>
      <c r="BY90" s="71">
        <f t="shared" si="173"/>
        <v>106</v>
      </c>
      <c r="BZ90" s="72">
        <f t="shared" si="174"/>
        <v>110</v>
      </c>
      <c r="CA90" s="71">
        <f t="shared" si="175"/>
        <v>146</v>
      </c>
      <c r="CB90" s="72">
        <f t="shared" si="176"/>
        <v>154</v>
      </c>
      <c r="CC90" s="71">
        <f t="shared" si="177"/>
        <v>199</v>
      </c>
      <c r="CD90" s="72">
        <f t="shared" si="178"/>
        <v>204</v>
      </c>
      <c r="CE90" s="71">
        <f t="shared" si="179"/>
        <v>275</v>
      </c>
      <c r="CF90" s="72">
        <f t="shared" si="180"/>
        <v>321</v>
      </c>
      <c r="CG90" s="71">
        <f t="shared" si="181"/>
        <v>346</v>
      </c>
      <c r="CH90" s="70">
        <f t="shared" si="182"/>
        <v>69</v>
      </c>
      <c r="CI90" s="71">
        <f t="shared" si="183"/>
        <v>73</v>
      </c>
      <c r="CJ90" s="72">
        <f t="shared" si="184"/>
        <v>104</v>
      </c>
      <c r="CK90" s="72">
        <f t="shared" si="185"/>
        <v>109</v>
      </c>
      <c r="CL90" s="72">
        <f t="shared" si="186"/>
        <v>145</v>
      </c>
      <c r="CM90" s="72">
        <f t="shared" si="187"/>
        <v>153</v>
      </c>
      <c r="CN90" s="72">
        <f t="shared" si="188"/>
        <v>180</v>
      </c>
      <c r="CO90" s="72">
        <f t="shared" si="189"/>
        <v>201</v>
      </c>
      <c r="CP90" s="72">
        <f t="shared" si="190"/>
        <v>238</v>
      </c>
      <c r="CQ90" s="72">
        <f t="shared" si="191"/>
        <v>316</v>
      </c>
      <c r="CR90" s="72">
        <f t="shared" si="192"/>
        <v>345</v>
      </c>
      <c r="CS90" s="72">
        <f t="shared" si="193"/>
        <v>358</v>
      </c>
      <c r="CT90" s="23">
        <f t="shared" si="194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223"/>
        <v>adrb1_melga_4BVN</v>
      </c>
      <c r="B91" s="3" t="s">
        <v>912</v>
      </c>
      <c r="C91" s="3" t="s">
        <v>82</v>
      </c>
      <c r="D91" s="3" t="str">
        <f>IFERROR(MID(VLOOKUP($B91,Seqs!$A:$B,2,0),E91,1),"")</f>
        <v>S</v>
      </c>
      <c r="E91" s="3">
        <v>37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R</v>
      </c>
      <c r="AM91" s="3">
        <v>239</v>
      </c>
      <c r="AN91" s="3" t="str">
        <f>IFERROR(MID(VLOOKUP($B91,Seqs!$A:$B,2,0),AO91,1),"")</f>
        <v>R</v>
      </c>
      <c r="AO91" s="3">
        <v>279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224"/>
        <v>1</v>
      </c>
      <c r="BC91" s="23">
        <f t="shared" ref="BC91:BC147" si="365">_xlfn.AGGREGATE(9,6,CH91:CS91)-_xlfn.AGGREGATE(9,6,BV91:CG91)+12</f>
        <v>258</v>
      </c>
      <c r="BD91" s="4" t="s">
        <v>23</v>
      </c>
      <c r="BE91" s="3" t="s">
        <v>1381</v>
      </c>
      <c r="BF91" s="119">
        <v>2.1</v>
      </c>
      <c r="BG91" s="49" t="s">
        <v>1384</v>
      </c>
      <c r="BH91" s="49" t="s">
        <v>1384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ref="BV91:BV147" si="366">E91</f>
        <v>37</v>
      </c>
      <c r="BW91" s="71">
        <f t="shared" ref="BW91:BW147" si="367">I91</f>
        <v>70</v>
      </c>
      <c r="BX91" s="72">
        <f t="shared" ref="BX91:BX147" si="368">M91</f>
        <v>74</v>
      </c>
      <c r="BY91" s="71">
        <f t="shared" ref="BY91:BY147" si="369">Q91</f>
        <v>106</v>
      </c>
      <c r="BZ91" s="72">
        <f t="shared" ref="BZ91:BZ147" si="370">U91</f>
        <v>110</v>
      </c>
      <c r="CA91" s="71">
        <f t="shared" ref="CA91:CA147" si="371">Y91</f>
        <v>146</v>
      </c>
      <c r="CB91" s="72">
        <f t="shared" ref="CB91:CB147" si="372">AC91</f>
        <v>154</v>
      </c>
      <c r="CC91" s="71">
        <f t="shared" ref="CC91:CC147" si="373">AG91</f>
        <v>199</v>
      </c>
      <c r="CD91" s="72">
        <f t="shared" ref="CD91:CD147" si="374">AK91</f>
        <v>204</v>
      </c>
      <c r="CE91" s="71">
        <f t="shared" ref="CE91:CE147" si="375">AO91</f>
        <v>279</v>
      </c>
      <c r="CF91" s="72">
        <f t="shared" ref="CF91:CF147" si="376">AS91</f>
        <v>321</v>
      </c>
      <c r="CG91" s="71">
        <f t="shared" ref="CG91:CG147" si="377">AW91</f>
        <v>346</v>
      </c>
      <c r="CH91" s="70">
        <f t="shared" ref="CH91:CH147" si="378">G91</f>
        <v>69</v>
      </c>
      <c r="CI91" s="71">
        <f t="shared" ref="CI91:CI147" si="379">K91</f>
        <v>73</v>
      </c>
      <c r="CJ91" s="72">
        <f t="shared" ref="CJ91:CJ147" si="380">O91</f>
        <v>104</v>
      </c>
      <c r="CK91" s="72">
        <f t="shared" ref="CK91:CK147" si="381">S91</f>
        <v>109</v>
      </c>
      <c r="CL91" s="72">
        <f t="shared" ref="CL91:CL147" si="382">W91</f>
        <v>145</v>
      </c>
      <c r="CM91" s="72">
        <f t="shared" ref="CM91:CM147" si="383">AA91</f>
        <v>153</v>
      </c>
      <c r="CN91" s="72">
        <f t="shared" ref="CN91:CN147" si="384">AE91</f>
        <v>180</v>
      </c>
      <c r="CO91" s="72">
        <f t="shared" ref="CO91:CO147" si="385">AI91</f>
        <v>201</v>
      </c>
      <c r="CP91" s="72">
        <f t="shared" ref="CP91:CP147" si="386">AM91</f>
        <v>239</v>
      </c>
      <c r="CQ91" s="72">
        <f t="shared" ref="CQ91:CQ147" si="387">AQ91</f>
        <v>316</v>
      </c>
      <c r="CR91" s="72">
        <f t="shared" ref="CR91:CR147" si="388">AU91</f>
        <v>345</v>
      </c>
      <c r="CS91" s="72">
        <f t="shared" ref="CS91:CS147" si="389">AY91</f>
        <v>358</v>
      </c>
      <c r="CT91" s="23">
        <f t="shared" ref="CT91:CT147" si="390">M91-K91</f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223"/>
        <v>adrb1_melga_4GPO</v>
      </c>
      <c r="B92" s="3" t="s">
        <v>912</v>
      </c>
      <c r="C92" s="3" t="s">
        <v>1042</v>
      </c>
      <c r="D92" s="3" t="str">
        <f>IFERROR(MID(VLOOKUP($B92,Seqs!$A:$B,2,0),E92,1),"")</f>
        <v>S</v>
      </c>
      <c r="E92" s="3">
        <v>37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E</v>
      </c>
      <c r="AM92" s="3">
        <v>233</v>
      </c>
      <c r="AN92" s="3" t="str">
        <f>IFERROR(MID(VLOOKUP($B92,Seqs!$A:$B,2,0),AO92,1),"")</f>
        <v>M</v>
      </c>
      <c r="AO92" s="3">
        <v>283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L</v>
      </c>
      <c r="AY92" s="3">
        <v>356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224"/>
        <v>1</v>
      </c>
      <c r="BC92" s="23">
        <f t="shared" si="365"/>
        <v>246</v>
      </c>
      <c r="BD92" s="4" t="s">
        <v>23</v>
      </c>
      <c r="BE92" s="3" t="s">
        <v>1381</v>
      </c>
      <c r="BF92" s="119">
        <v>3.5</v>
      </c>
      <c r="BG92" s="49" t="s">
        <v>1384</v>
      </c>
      <c r="BH92" s="49" t="s">
        <v>1384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366"/>
        <v>37</v>
      </c>
      <c r="BW92" s="71">
        <f t="shared" si="367"/>
        <v>70</v>
      </c>
      <c r="BX92" s="72">
        <f t="shared" si="368"/>
        <v>74</v>
      </c>
      <c r="BY92" s="71">
        <f t="shared" si="369"/>
        <v>106</v>
      </c>
      <c r="BZ92" s="72">
        <f t="shared" si="370"/>
        <v>110</v>
      </c>
      <c r="CA92" s="71">
        <f t="shared" si="371"/>
        <v>146</v>
      </c>
      <c r="CB92" s="72">
        <f t="shared" si="372"/>
        <v>154</v>
      </c>
      <c r="CC92" s="71">
        <f t="shared" si="373"/>
        <v>199</v>
      </c>
      <c r="CD92" s="72">
        <f t="shared" si="374"/>
        <v>204</v>
      </c>
      <c r="CE92" s="71">
        <f t="shared" si="375"/>
        <v>283</v>
      </c>
      <c r="CF92" s="72">
        <f t="shared" si="376"/>
        <v>321</v>
      </c>
      <c r="CG92" s="71">
        <f t="shared" si="377"/>
        <v>346</v>
      </c>
      <c r="CH92" s="70">
        <f t="shared" si="378"/>
        <v>69</v>
      </c>
      <c r="CI92" s="71">
        <f t="shared" si="379"/>
        <v>73</v>
      </c>
      <c r="CJ92" s="72">
        <f t="shared" si="380"/>
        <v>104</v>
      </c>
      <c r="CK92" s="72">
        <f t="shared" si="381"/>
        <v>109</v>
      </c>
      <c r="CL92" s="72">
        <f t="shared" si="382"/>
        <v>145</v>
      </c>
      <c r="CM92" s="72">
        <f t="shared" si="383"/>
        <v>153</v>
      </c>
      <c r="CN92" s="72">
        <f t="shared" si="384"/>
        <v>180</v>
      </c>
      <c r="CO92" s="72">
        <f t="shared" si="385"/>
        <v>201</v>
      </c>
      <c r="CP92" s="72">
        <f t="shared" si="386"/>
        <v>233</v>
      </c>
      <c r="CQ92" s="72">
        <f t="shared" si="387"/>
        <v>316</v>
      </c>
      <c r="CR92" s="72">
        <f t="shared" si="388"/>
        <v>345</v>
      </c>
      <c r="CS92" s="72">
        <f t="shared" si="389"/>
        <v>356</v>
      </c>
      <c r="CT92" s="23">
        <f t="shared" si="39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223"/>
        <v>adrb1_melga_5A8E</v>
      </c>
      <c r="B93" s="3" t="s">
        <v>912</v>
      </c>
      <c r="C93" s="3" t="s">
        <v>1059</v>
      </c>
      <c r="D93" s="3" t="str">
        <f>IFERROR(MID(VLOOKUP($B93,Seqs!$A:$B,2,0),E93,1),"")</f>
        <v>S</v>
      </c>
      <c r="E93" s="3">
        <v>37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R</v>
      </c>
      <c r="AM93" s="3">
        <v>239</v>
      </c>
      <c r="AN93" s="3" t="str">
        <f>IFERROR(MID(VLOOKUP($B93,Seqs!$A:$B,2,0),AO93,1),"")</f>
        <v>R</v>
      </c>
      <c r="AO93" s="3">
        <v>279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K</v>
      </c>
      <c r="AY93" s="3">
        <v>354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224"/>
        <v>1</v>
      </c>
      <c r="BC93" s="23">
        <f t="shared" si="365"/>
        <v>254</v>
      </c>
      <c r="BD93" s="4" t="s">
        <v>23</v>
      </c>
      <c r="BE93" s="3" t="s">
        <v>1381</v>
      </c>
      <c r="BF93" s="119">
        <v>2.42</v>
      </c>
      <c r="BG93" s="49" t="s">
        <v>1384</v>
      </c>
      <c r="BH93" s="49" t="s">
        <v>1384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366"/>
        <v>37</v>
      </c>
      <c r="BW93" s="71">
        <f t="shared" si="367"/>
        <v>70</v>
      </c>
      <c r="BX93" s="72">
        <f t="shared" si="368"/>
        <v>74</v>
      </c>
      <c r="BY93" s="71">
        <f t="shared" si="369"/>
        <v>106</v>
      </c>
      <c r="BZ93" s="72">
        <f t="shared" si="370"/>
        <v>110</v>
      </c>
      <c r="CA93" s="71">
        <f t="shared" si="371"/>
        <v>146</v>
      </c>
      <c r="CB93" s="72">
        <f t="shared" si="372"/>
        <v>154</v>
      </c>
      <c r="CC93" s="71">
        <f t="shared" si="373"/>
        <v>199</v>
      </c>
      <c r="CD93" s="72">
        <f t="shared" si="374"/>
        <v>204</v>
      </c>
      <c r="CE93" s="71">
        <f t="shared" si="375"/>
        <v>279</v>
      </c>
      <c r="CF93" s="72">
        <f t="shared" si="376"/>
        <v>321</v>
      </c>
      <c r="CG93" s="71">
        <f t="shared" si="377"/>
        <v>346</v>
      </c>
      <c r="CH93" s="70">
        <f t="shared" si="378"/>
        <v>69</v>
      </c>
      <c r="CI93" s="71">
        <f t="shared" si="379"/>
        <v>73</v>
      </c>
      <c r="CJ93" s="72">
        <f t="shared" si="380"/>
        <v>104</v>
      </c>
      <c r="CK93" s="72">
        <f t="shared" si="381"/>
        <v>109</v>
      </c>
      <c r="CL93" s="72">
        <f t="shared" si="382"/>
        <v>145</v>
      </c>
      <c r="CM93" s="72">
        <f t="shared" si="383"/>
        <v>153</v>
      </c>
      <c r="CN93" s="72">
        <f t="shared" si="384"/>
        <v>180</v>
      </c>
      <c r="CO93" s="72">
        <f t="shared" si="385"/>
        <v>201</v>
      </c>
      <c r="CP93" s="72">
        <f t="shared" si="386"/>
        <v>239</v>
      </c>
      <c r="CQ93" s="72">
        <f t="shared" si="387"/>
        <v>316</v>
      </c>
      <c r="CR93" s="72">
        <f t="shared" si="388"/>
        <v>345</v>
      </c>
      <c r="CS93" s="72">
        <f t="shared" si="389"/>
        <v>354</v>
      </c>
      <c r="CT93" s="23">
        <f t="shared" si="39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223"/>
        <v>adrb1_melga_5F8U</v>
      </c>
      <c r="B94" s="3" t="s">
        <v>912</v>
      </c>
      <c r="C94" s="3" t="s">
        <v>1360</v>
      </c>
      <c r="D94" s="3" t="str">
        <f>IFERROR(MID(VLOOKUP($B94,Seqs!$A:$B,2,0),E94,1),"")</f>
        <v>W</v>
      </c>
      <c r="E94" s="3">
        <v>40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Q</v>
      </c>
      <c r="AM94" s="3">
        <v>237</v>
      </c>
      <c r="AN94" s="3" t="str">
        <f>IFERROR(MID(VLOOKUP($B94,Seqs!$A:$B,2,0),AO94,1),"")</f>
        <v>R</v>
      </c>
      <c r="AO94" s="3">
        <v>284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224"/>
        <v>1</v>
      </c>
      <c r="BC94" s="23">
        <f t="shared" si="365"/>
        <v>248</v>
      </c>
      <c r="BD94" s="5" t="s">
        <v>23</v>
      </c>
      <c r="BE94" s="3" t="s">
        <v>1381</v>
      </c>
      <c r="BF94" s="119">
        <v>3.35</v>
      </c>
      <c r="BG94" s="49" t="s">
        <v>1384</v>
      </c>
      <c r="BH94" s="49" t="s">
        <v>1384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366"/>
        <v>40</v>
      </c>
      <c r="BW94" s="71">
        <f t="shared" si="367"/>
        <v>70</v>
      </c>
      <c r="BX94" s="72">
        <f t="shared" si="368"/>
        <v>74</v>
      </c>
      <c r="BY94" s="71">
        <f t="shared" si="369"/>
        <v>106</v>
      </c>
      <c r="BZ94" s="72">
        <f t="shared" si="370"/>
        <v>110</v>
      </c>
      <c r="CA94" s="71">
        <f t="shared" si="371"/>
        <v>146</v>
      </c>
      <c r="CB94" s="72">
        <f t="shared" si="372"/>
        <v>154</v>
      </c>
      <c r="CC94" s="71">
        <f t="shared" si="373"/>
        <v>199</v>
      </c>
      <c r="CD94" s="72">
        <f t="shared" si="374"/>
        <v>204</v>
      </c>
      <c r="CE94" s="71">
        <f t="shared" si="375"/>
        <v>284</v>
      </c>
      <c r="CF94" s="72">
        <f t="shared" si="376"/>
        <v>321</v>
      </c>
      <c r="CG94" s="71">
        <f t="shared" si="377"/>
        <v>346</v>
      </c>
      <c r="CH94" s="70">
        <f t="shared" si="378"/>
        <v>69</v>
      </c>
      <c r="CI94" s="71">
        <f t="shared" si="379"/>
        <v>73</v>
      </c>
      <c r="CJ94" s="72">
        <f t="shared" si="380"/>
        <v>104</v>
      </c>
      <c r="CK94" s="72">
        <f t="shared" si="381"/>
        <v>109</v>
      </c>
      <c r="CL94" s="72">
        <f t="shared" si="382"/>
        <v>145</v>
      </c>
      <c r="CM94" s="72">
        <f t="shared" si="383"/>
        <v>153</v>
      </c>
      <c r="CN94" s="72">
        <f t="shared" si="384"/>
        <v>180</v>
      </c>
      <c r="CO94" s="72">
        <f t="shared" si="385"/>
        <v>201</v>
      </c>
      <c r="CP94" s="72">
        <f t="shared" si="386"/>
        <v>237</v>
      </c>
      <c r="CQ94" s="72">
        <f t="shared" si="387"/>
        <v>316</v>
      </c>
      <c r="CR94" s="72">
        <f t="shared" si="388"/>
        <v>345</v>
      </c>
      <c r="CS94" s="72">
        <f t="shared" si="389"/>
        <v>358</v>
      </c>
      <c r="CT94" s="23">
        <f t="shared" si="39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s="12" customFormat="1" x14ac:dyDescent="0.2">
      <c r="A95" s="9" t="str">
        <f t="shared" ref="A95" si="391">CONCATENATE(B95,"_",C95)</f>
        <v>adrb1_melga_6H7J</v>
      </c>
      <c r="B95" s="9" t="s">
        <v>912</v>
      </c>
      <c r="C95" s="9" t="s">
        <v>1539</v>
      </c>
      <c r="D95" s="9" t="str">
        <f>IFERROR(MID(VLOOKUP($B95,Seqs!$A:$B,2,0),E95,1),"")</f>
        <v>W</v>
      </c>
      <c r="E95" s="9">
        <v>40</v>
      </c>
      <c r="F95" s="9" t="str">
        <f>IFERROR(MID(VLOOKUP($B95,Seqs!$A:$B,2,0),G95,1),"")</f>
        <v>T</v>
      </c>
      <c r="G95" s="9">
        <v>69</v>
      </c>
      <c r="H95" s="9" t="str">
        <f>IFERROR(MID(VLOOKUP($B95,Seqs!$A:$B,2,0),I95,1),"")</f>
        <v>Q</v>
      </c>
      <c r="I95" s="109">
        <v>70</v>
      </c>
      <c r="J95" s="9" t="str">
        <f>IFERROR(MID(VLOOKUP($B95,Seqs!$A:$B,2,0),K95,1),"")</f>
        <v>Q</v>
      </c>
      <c r="K95" s="109">
        <v>73</v>
      </c>
      <c r="L95" s="9" t="str">
        <f>IFERROR(MID(VLOOKUP($B95,Seqs!$A:$B,2,0),M95,1),"")</f>
        <v>T</v>
      </c>
      <c r="M95" s="9">
        <v>74</v>
      </c>
      <c r="N95" s="9" t="str">
        <f>IFERROR(MID(VLOOKUP($B95,Seqs!$A:$B,2,0),O95,1),"")</f>
        <v>R</v>
      </c>
      <c r="O95" s="9">
        <v>104</v>
      </c>
      <c r="P95" s="9" t="str">
        <f>IFERROR(MID(VLOOKUP($B95,Seqs!$A:$B,2,0),Q95,1),"")</f>
        <v>T</v>
      </c>
      <c r="Q95" s="9">
        <v>106</v>
      </c>
      <c r="R95" s="9" t="str">
        <f>IFERROR(MID(VLOOKUP($B95,Seqs!$A:$B,2,0),S95,1),"")</f>
        <v>W</v>
      </c>
      <c r="S95" s="9">
        <v>109</v>
      </c>
      <c r="T95" s="9" t="str">
        <f>IFERROR(MID(VLOOKUP($B95,Seqs!$A:$B,2,0),U95,1),"")</f>
        <v>G</v>
      </c>
      <c r="U95" s="9">
        <v>110</v>
      </c>
      <c r="V95" s="9" t="str">
        <f>IFERROR(MID(VLOOKUP($B95,Seqs!$A:$B,2,0),W95,1),"")</f>
        <v>S</v>
      </c>
      <c r="W95" s="9">
        <v>145</v>
      </c>
      <c r="X95" s="9" t="str">
        <f>IFERROR(MID(VLOOKUP($B95,Seqs!$A:$B,2,0),Y95,1),"")</f>
        <v>P</v>
      </c>
      <c r="Y95" s="9">
        <v>146</v>
      </c>
      <c r="Z95" s="9" t="str">
        <f>IFERROR(MID(VLOOKUP($B95,Seqs!$A:$B,2,0),AA95,1),"")</f>
        <v>M</v>
      </c>
      <c r="AA95" s="9">
        <v>153</v>
      </c>
      <c r="AB95" s="9" t="str">
        <f>IFERROR(MID(VLOOKUP($B95,Seqs!$A:$B,2,0),AC95,1),"")</f>
        <v>T</v>
      </c>
      <c r="AC95" s="9">
        <v>154</v>
      </c>
      <c r="AD95" s="9" t="str">
        <f>IFERROR(MID(VLOOKUP($B95,Seqs!$A:$B,2,0),AE95,1),"")</f>
        <v>H</v>
      </c>
      <c r="AE95" s="9">
        <v>180</v>
      </c>
      <c r="AF95" s="9" t="str">
        <f>IFERROR(MID(VLOOKUP($B95,Seqs!$A:$B,2,0),AG95,1),"")</f>
        <v>C</v>
      </c>
      <c r="AG95" s="9">
        <v>199</v>
      </c>
      <c r="AH95" s="9" t="str">
        <f>IFERROR(MID(VLOOKUP($B95,Seqs!$A:$B,2,0),AI95,1),"")</f>
        <v>F</v>
      </c>
      <c r="AI95" s="9">
        <v>201</v>
      </c>
      <c r="AJ95" s="9" t="str">
        <f>IFERROR(MID(VLOOKUP($B95,Seqs!$A:$B,2,0),AK95,1),"")</f>
        <v>N</v>
      </c>
      <c r="AK95" s="9">
        <v>204</v>
      </c>
      <c r="AL95" s="9" t="str">
        <f>IFERROR(MID(VLOOKUP($B95,Seqs!$A:$B,2,0),AM95,1),"")</f>
        <v>S</v>
      </c>
      <c r="AM95" s="9">
        <v>273</v>
      </c>
      <c r="AN95" s="9" t="str">
        <f>IFERROR(MID(VLOOKUP($B95,Seqs!$A:$B,2,0),AO95,1),"")</f>
        <v>A</v>
      </c>
      <c r="AO95" s="9">
        <v>282</v>
      </c>
      <c r="AP95" s="9" t="str">
        <f>IFERROR(MID(VLOOKUP($B95,Seqs!$A:$B,2,0),AQ95,1),"")</f>
        <v>N</v>
      </c>
      <c r="AQ95" s="9">
        <v>316</v>
      </c>
      <c r="AR95" s="9" t="str">
        <f>IFERROR(MID(VLOOKUP($B95,Seqs!$A:$B,2,0),AS95,1),"")</f>
        <v>P</v>
      </c>
      <c r="AS95" s="9">
        <v>321</v>
      </c>
      <c r="AT95" s="9" t="str">
        <f>IFERROR(MID(VLOOKUP($B95,Seqs!$A:$B,2,0),AU95,1),"")</f>
        <v>R</v>
      </c>
      <c r="AU95" s="9">
        <v>345</v>
      </c>
      <c r="AV95" s="9" t="str">
        <f>IFERROR(MID(VLOOKUP($B95,Seqs!$A:$B,2,0),AW95,1),"")</f>
        <v>S</v>
      </c>
      <c r="AW95" s="9">
        <v>346</v>
      </c>
      <c r="AX95" s="9" t="str">
        <f>IFERROR(MID(VLOOKUP($B95,Seqs!$A:$B,2,0),AY95,1),"")</f>
        <v>L</v>
      </c>
      <c r="AY95" s="9">
        <v>357</v>
      </c>
      <c r="AZ95" s="110" t="str">
        <f>VLOOKUP(B95,Classification!A:D,2,0)</f>
        <v>A</v>
      </c>
      <c r="BA95" s="98" t="str">
        <f>VLOOKUP(B95,Classification!A:D,4,0)</f>
        <v>Adrenoceptors</v>
      </c>
      <c r="BB95" s="36" t="b">
        <f t="shared" ref="BB95" si="392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109">
        <f t="shared" ref="BC95" si="393">_xlfn.AGGREGATE(9,6,CH95:CS95)-_xlfn.AGGREGATE(9,6,BV95:CG95)+12</f>
        <v>285</v>
      </c>
      <c r="BD95" s="13" t="s">
        <v>23</v>
      </c>
      <c r="BE95" s="9" t="s">
        <v>1297</v>
      </c>
      <c r="BF95" s="120">
        <v>2.8</v>
      </c>
      <c r="BG95" s="51" t="s">
        <v>1</v>
      </c>
      <c r="BH95" s="51" t="s">
        <v>1</v>
      </c>
      <c r="BJ95" s="111" t="s">
        <v>1293</v>
      </c>
      <c r="BK95" s="112" t="s">
        <v>1293</v>
      </c>
      <c r="BL95" s="112" t="s">
        <v>1293</v>
      </c>
      <c r="BM95" s="112" t="s">
        <v>1293</v>
      </c>
      <c r="BN95" s="112" t="s">
        <v>1293</v>
      </c>
      <c r="BO95" s="112" t="s">
        <v>1293</v>
      </c>
      <c r="BP95" s="112" t="s">
        <v>1293</v>
      </c>
      <c r="BQ95" s="112" t="s">
        <v>1293</v>
      </c>
      <c r="BR95" s="112" t="s">
        <v>1293</v>
      </c>
      <c r="BS95" s="112" t="s">
        <v>1293</v>
      </c>
      <c r="BT95" s="112" t="s">
        <v>1293</v>
      </c>
      <c r="BU95" s="112" t="s">
        <v>1293</v>
      </c>
      <c r="BV95" s="111">
        <f t="shared" ref="BV95" si="394">E95</f>
        <v>40</v>
      </c>
      <c r="BW95" s="113">
        <f t="shared" ref="BW95" si="395">I95</f>
        <v>70</v>
      </c>
      <c r="BX95" s="114">
        <f t="shared" ref="BX95" si="396">M95</f>
        <v>74</v>
      </c>
      <c r="BY95" s="113">
        <f t="shared" ref="BY95" si="397">Q95</f>
        <v>106</v>
      </c>
      <c r="BZ95" s="114">
        <f t="shared" ref="BZ95" si="398">U95</f>
        <v>110</v>
      </c>
      <c r="CA95" s="113">
        <f t="shared" ref="CA95" si="399">Y95</f>
        <v>146</v>
      </c>
      <c r="CB95" s="114">
        <f t="shared" ref="CB95" si="400">AC95</f>
        <v>154</v>
      </c>
      <c r="CC95" s="113">
        <f t="shared" ref="CC95" si="401">AG95</f>
        <v>199</v>
      </c>
      <c r="CD95" s="114">
        <f t="shared" ref="CD95" si="402">AK95</f>
        <v>204</v>
      </c>
      <c r="CE95" s="113">
        <f t="shared" ref="CE95" si="403">AO95</f>
        <v>282</v>
      </c>
      <c r="CF95" s="114">
        <f t="shared" ref="CF95" si="404">AS95</f>
        <v>321</v>
      </c>
      <c r="CG95" s="113">
        <f t="shared" ref="CG95" si="405">AW95</f>
        <v>346</v>
      </c>
      <c r="CH95" s="111">
        <f t="shared" ref="CH95" si="406">G95</f>
        <v>69</v>
      </c>
      <c r="CI95" s="113">
        <f t="shared" ref="CI95" si="407">K95</f>
        <v>73</v>
      </c>
      <c r="CJ95" s="114">
        <f t="shared" ref="CJ95" si="408">O95</f>
        <v>104</v>
      </c>
      <c r="CK95" s="114">
        <f t="shared" ref="CK95" si="409">S95</f>
        <v>109</v>
      </c>
      <c r="CL95" s="114">
        <f t="shared" ref="CL95" si="410">W95</f>
        <v>145</v>
      </c>
      <c r="CM95" s="114">
        <f t="shared" ref="CM95" si="411">AA95</f>
        <v>153</v>
      </c>
      <c r="CN95" s="114">
        <f t="shared" ref="CN95" si="412">AE95</f>
        <v>180</v>
      </c>
      <c r="CO95" s="114">
        <f t="shared" ref="CO95" si="413">AI95</f>
        <v>201</v>
      </c>
      <c r="CP95" s="114">
        <f t="shared" ref="CP95" si="414">AM95</f>
        <v>273</v>
      </c>
      <c r="CQ95" s="114">
        <f t="shared" ref="CQ95" si="415">AQ95</f>
        <v>316</v>
      </c>
      <c r="CR95" s="114">
        <f t="shared" ref="CR95" si="416">AU95</f>
        <v>345</v>
      </c>
      <c r="CS95" s="114">
        <f t="shared" ref="CS95" si="417">AY95</f>
        <v>357</v>
      </c>
      <c r="CT95" s="109">
        <f t="shared" ref="CT95" si="418">M95-K95</f>
        <v>1</v>
      </c>
    </row>
    <row r="96" spans="1:1029" s="12" customFormat="1" x14ac:dyDescent="0.2">
      <c r="A96" s="9" t="str">
        <f t="shared" ref="A96" si="419">CONCATENATE(B96,"_",C96)</f>
        <v>adrb1_melga_6H7K</v>
      </c>
      <c r="B96" s="9" t="s">
        <v>912</v>
      </c>
      <c r="C96" s="9" t="s">
        <v>1540</v>
      </c>
      <c r="D96" s="9" t="str">
        <f>IFERROR(MID(VLOOKUP($B96,Seqs!$A:$B,2,0),E96,1),"")</f>
        <v>E</v>
      </c>
      <c r="E96" s="9">
        <v>41</v>
      </c>
      <c r="F96" s="9" t="str">
        <f>IFERROR(MID(VLOOKUP($B96,Seqs!$A:$B,2,0),G96,1),"")</f>
        <v>T</v>
      </c>
      <c r="G96" s="9">
        <v>69</v>
      </c>
      <c r="H96" s="9" t="str">
        <f>IFERROR(MID(VLOOKUP($B96,Seqs!$A:$B,2,0),I96,1),"")</f>
        <v>Q</v>
      </c>
      <c r="I96" s="109">
        <v>70</v>
      </c>
      <c r="J96" s="9" t="str">
        <f>IFERROR(MID(VLOOKUP($B96,Seqs!$A:$B,2,0),K96,1),"")</f>
        <v>Q</v>
      </c>
      <c r="K96" s="109">
        <v>73</v>
      </c>
      <c r="L96" s="9" t="str">
        <f>IFERROR(MID(VLOOKUP($B96,Seqs!$A:$B,2,0),M96,1),"")</f>
        <v>T</v>
      </c>
      <c r="M96" s="9">
        <v>74</v>
      </c>
      <c r="N96" s="9" t="str">
        <f>IFERROR(MID(VLOOKUP($B96,Seqs!$A:$B,2,0),O96,1),"")</f>
        <v>R</v>
      </c>
      <c r="O96" s="9">
        <v>104</v>
      </c>
      <c r="P96" s="9" t="str">
        <f>IFERROR(MID(VLOOKUP($B96,Seqs!$A:$B,2,0),Q96,1),"")</f>
        <v>T</v>
      </c>
      <c r="Q96" s="9">
        <v>106</v>
      </c>
      <c r="R96" s="9" t="str">
        <f>IFERROR(MID(VLOOKUP($B96,Seqs!$A:$B,2,0),S96,1),"")</f>
        <v>W</v>
      </c>
      <c r="S96" s="9">
        <v>109</v>
      </c>
      <c r="T96" s="9" t="str">
        <f>IFERROR(MID(VLOOKUP($B96,Seqs!$A:$B,2,0),U96,1),"")</f>
        <v>G</v>
      </c>
      <c r="U96" s="9">
        <v>110</v>
      </c>
      <c r="V96" s="9" t="str">
        <f>IFERROR(MID(VLOOKUP($B96,Seqs!$A:$B,2,0),W96,1),"")</f>
        <v>S</v>
      </c>
      <c r="W96" s="9">
        <v>145</v>
      </c>
      <c r="X96" s="9" t="str">
        <f>IFERROR(MID(VLOOKUP($B96,Seqs!$A:$B,2,0),Y96,1),"")</f>
        <v>P</v>
      </c>
      <c r="Y96" s="9">
        <v>146</v>
      </c>
      <c r="Z96" s="9" t="str">
        <f>IFERROR(MID(VLOOKUP($B96,Seqs!$A:$B,2,0),AA96,1),"")</f>
        <v>M</v>
      </c>
      <c r="AA96" s="9">
        <v>153</v>
      </c>
      <c r="AB96" s="9" t="str">
        <f>IFERROR(MID(VLOOKUP($B96,Seqs!$A:$B,2,0),AC96,1),"")</f>
        <v>T</v>
      </c>
      <c r="AC96" s="9">
        <v>154</v>
      </c>
      <c r="AD96" s="9" t="str">
        <f>IFERROR(MID(VLOOKUP($B96,Seqs!$A:$B,2,0),AE96,1),"")</f>
        <v>H</v>
      </c>
      <c r="AE96" s="9">
        <v>180</v>
      </c>
      <c r="AF96" s="9" t="str">
        <f>IFERROR(MID(VLOOKUP($B96,Seqs!$A:$B,2,0),AG96,1),"")</f>
        <v>C</v>
      </c>
      <c r="AG96" s="9">
        <v>199</v>
      </c>
      <c r="AH96" s="9" t="str">
        <f>IFERROR(MID(VLOOKUP($B96,Seqs!$A:$B,2,0),AI96,1),"")</f>
        <v>F</v>
      </c>
      <c r="AI96" s="9">
        <v>201</v>
      </c>
      <c r="AJ96" s="9" t="str">
        <f>IFERROR(MID(VLOOKUP($B96,Seqs!$A:$B,2,0),AK96,1),"")</f>
        <v>N</v>
      </c>
      <c r="AK96" s="9">
        <v>204</v>
      </c>
      <c r="AL96" s="9" t="str">
        <f>IFERROR(MID(VLOOKUP($B96,Seqs!$A:$B,2,0),AM96,1),"")</f>
        <v>S</v>
      </c>
      <c r="AM96" s="9">
        <v>273</v>
      </c>
      <c r="AN96" s="9" t="str">
        <f>IFERROR(MID(VLOOKUP($B96,Seqs!$A:$B,2,0),AO96,1),"")</f>
        <v>A</v>
      </c>
      <c r="AO96" s="9">
        <v>282</v>
      </c>
      <c r="AP96" s="9" t="str">
        <f>IFERROR(MID(VLOOKUP($B96,Seqs!$A:$B,2,0),AQ96,1),"")</f>
        <v>N</v>
      </c>
      <c r="AQ96" s="9">
        <v>316</v>
      </c>
      <c r="AR96" s="9" t="str">
        <f>IFERROR(MID(VLOOKUP($B96,Seqs!$A:$B,2,0),AS96,1),"")</f>
        <v>P</v>
      </c>
      <c r="AS96" s="9">
        <v>321</v>
      </c>
      <c r="AT96" s="9" t="str">
        <f>IFERROR(MID(VLOOKUP($B96,Seqs!$A:$B,2,0),AU96,1),"")</f>
        <v>R</v>
      </c>
      <c r="AU96" s="9">
        <v>345</v>
      </c>
      <c r="AV96" s="9" t="str">
        <f>IFERROR(MID(VLOOKUP($B96,Seqs!$A:$B,2,0),AW96,1),"")</f>
        <v>S</v>
      </c>
      <c r="AW96" s="9">
        <v>346</v>
      </c>
      <c r="AX96" s="9" t="str">
        <f>IFERROR(MID(VLOOKUP($B96,Seqs!$A:$B,2,0),AY96,1),"")</f>
        <v>L</v>
      </c>
      <c r="AY96" s="9">
        <v>357</v>
      </c>
      <c r="AZ96" s="110" t="str">
        <f>VLOOKUP(B96,Classification!A:D,2,0)</f>
        <v>A</v>
      </c>
      <c r="BA96" s="98" t="str">
        <f>VLOOKUP(B96,Classification!A:D,4,0)</f>
        <v>Adrenoceptors</v>
      </c>
      <c r="BB96" s="36" t="b">
        <f t="shared" ref="BB96" si="420">AND(E96&lt;G96,OR(G96&lt;I96,I96="-"),OR(I96&lt;K96,I96="-"),OR(K96&lt;M96,K96="-"),M96&lt;O96,OR(O96&lt;Q96,Q96="-"),OR(Q96&lt;S96,Q96="-"),OR(S96&lt;U96,S96="-"),U96&lt;W96,OR(W96&lt;Y96,Y96="-"),OR(Y96&lt;AA96,Y96="-"),OR(AA96&lt;AC96,AA96="-"),AC96&lt;AE96,OR(AE96&lt;AG96,AG96="-"),OR(AG96&lt;AI96,AG96="-"),OR(AI96&lt;AK96,AI96="-"),AK96&lt;AM96,AM96&lt;AO96,AO96&lt;AQ96,AQ96&lt;AS96,AS96&lt;AU96,OR(AU96&lt;AW96,AW96="-"),OR(AW96&lt;AY96,AW96="-"))</f>
        <v>1</v>
      </c>
      <c r="BC96" s="109">
        <f t="shared" ref="BC96" si="421">_xlfn.AGGREGATE(9,6,CH96:CS96)-_xlfn.AGGREGATE(9,6,BV96:CG96)+12</f>
        <v>284</v>
      </c>
      <c r="BD96" s="13" t="s">
        <v>23</v>
      </c>
      <c r="BE96" s="9" t="s">
        <v>1297</v>
      </c>
      <c r="BF96" s="120">
        <v>2.7</v>
      </c>
      <c r="BG96" s="51" t="s">
        <v>1</v>
      </c>
      <c r="BH96" s="51" t="s">
        <v>1</v>
      </c>
      <c r="BJ96" s="111" t="s">
        <v>1293</v>
      </c>
      <c r="BK96" s="112" t="s">
        <v>1293</v>
      </c>
      <c r="BL96" s="112" t="s">
        <v>1293</v>
      </c>
      <c r="BM96" s="112" t="s">
        <v>1293</v>
      </c>
      <c r="BN96" s="112" t="s">
        <v>1293</v>
      </c>
      <c r="BO96" s="112" t="s">
        <v>1293</v>
      </c>
      <c r="BP96" s="112" t="s">
        <v>1293</v>
      </c>
      <c r="BQ96" s="112" t="s">
        <v>1293</v>
      </c>
      <c r="BR96" s="112" t="s">
        <v>1293</v>
      </c>
      <c r="BS96" s="112" t="s">
        <v>1293</v>
      </c>
      <c r="BT96" s="112" t="s">
        <v>1293</v>
      </c>
      <c r="BU96" s="112" t="s">
        <v>1293</v>
      </c>
      <c r="BV96" s="111">
        <f t="shared" ref="BV96" si="422">E96</f>
        <v>41</v>
      </c>
      <c r="BW96" s="113">
        <f t="shared" ref="BW96" si="423">I96</f>
        <v>70</v>
      </c>
      <c r="BX96" s="114">
        <f t="shared" ref="BX96" si="424">M96</f>
        <v>74</v>
      </c>
      <c r="BY96" s="113">
        <f t="shared" ref="BY96" si="425">Q96</f>
        <v>106</v>
      </c>
      <c r="BZ96" s="114">
        <f t="shared" ref="BZ96" si="426">U96</f>
        <v>110</v>
      </c>
      <c r="CA96" s="113">
        <f t="shared" ref="CA96" si="427">Y96</f>
        <v>146</v>
      </c>
      <c r="CB96" s="114">
        <f t="shared" ref="CB96" si="428">AC96</f>
        <v>154</v>
      </c>
      <c r="CC96" s="113">
        <f t="shared" ref="CC96" si="429">AG96</f>
        <v>199</v>
      </c>
      <c r="CD96" s="114">
        <f t="shared" ref="CD96" si="430">AK96</f>
        <v>204</v>
      </c>
      <c r="CE96" s="113">
        <f t="shared" ref="CE96" si="431">AO96</f>
        <v>282</v>
      </c>
      <c r="CF96" s="114">
        <f t="shared" ref="CF96" si="432">AS96</f>
        <v>321</v>
      </c>
      <c r="CG96" s="113">
        <f t="shared" ref="CG96" si="433">AW96</f>
        <v>346</v>
      </c>
      <c r="CH96" s="111">
        <f t="shared" ref="CH96" si="434">G96</f>
        <v>69</v>
      </c>
      <c r="CI96" s="113">
        <f t="shared" ref="CI96" si="435">K96</f>
        <v>73</v>
      </c>
      <c r="CJ96" s="114">
        <f t="shared" ref="CJ96" si="436">O96</f>
        <v>104</v>
      </c>
      <c r="CK96" s="114">
        <f t="shared" ref="CK96" si="437">S96</f>
        <v>109</v>
      </c>
      <c r="CL96" s="114">
        <f t="shared" ref="CL96" si="438">W96</f>
        <v>145</v>
      </c>
      <c r="CM96" s="114">
        <f t="shared" ref="CM96" si="439">AA96</f>
        <v>153</v>
      </c>
      <c r="CN96" s="114">
        <f t="shared" ref="CN96" si="440">AE96</f>
        <v>180</v>
      </c>
      <c r="CO96" s="114">
        <f t="shared" ref="CO96" si="441">AI96</f>
        <v>201</v>
      </c>
      <c r="CP96" s="114">
        <f t="shared" ref="CP96" si="442">AM96</f>
        <v>273</v>
      </c>
      <c r="CQ96" s="114">
        <f t="shared" ref="CQ96" si="443">AQ96</f>
        <v>316</v>
      </c>
      <c r="CR96" s="114">
        <f t="shared" ref="CR96" si="444">AU96</f>
        <v>345</v>
      </c>
      <c r="CS96" s="114">
        <f t="shared" ref="CS96" si="445">AY96</f>
        <v>357</v>
      </c>
      <c r="CT96" s="109">
        <f t="shared" ref="CT96" si="446">M96-K96</f>
        <v>1</v>
      </c>
    </row>
    <row r="97" spans="1:1029" s="12" customFormat="1" x14ac:dyDescent="0.2">
      <c r="A97" s="9" t="str">
        <f t="shared" ref="A97" si="447">CONCATENATE(B97,"_",C97)</f>
        <v>adrb1_melga_6H7L</v>
      </c>
      <c r="B97" s="9" t="s">
        <v>912</v>
      </c>
      <c r="C97" s="9" t="s">
        <v>1541</v>
      </c>
      <c r="D97" s="9" t="str">
        <f>IFERROR(MID(VLOOKUP($B97,Seqs!$A:$B,2,0),E97,1),"")</f>
        <v>W</v>
      </c>
      <c r="E97" s="9">
        <v>40</v>
      </c>
      <c r="F97" s="9" t="str">
        <f>IFERROR(MID(VLOOKUP($B97,Seqs!$A:$B,2,0),G97,1),"")</f>
        <v>T</v>
      </c>
      <c r="G97" s="9">
        <v>69</v>
      </c>
      <c r="H97" s="9" t="str">
        <f>IFERROR(MID(VLOOKUP($B97,Seqs!$A:$B,2,0),I97,1),"")</f>
        <v>Q</v>
      </c>
      <c r="I97" s="109">
        <v>70</v>
      </c>
      <c r="J97" s="9" t="str">
        <f>IFERROR(MID(VLOOKUP($B97,Seqs!$A:$B,2,0),K97,1),"")</f>
        <v>Q</v>
      </c>
      <c r="K97" s="109">
        <v>73</v>
      </c>
      <c r="L97" s="9" t="str">
        <f>IFERROR(MID(VLOOKUP($B97,Seqs!$A:$B,2,0),M97,1),"")</f>
        <v>T</v>
      </c>
      <c r="M97" s="9">
        <v>74</v>
      </c>
      <c r="N97" s="9" t="str">
        <f>IFERROR(MID(VLOOKUP($B97,Seqs!$A:$B,2,0),O97,1),"")</f>
        <v>R</v>
      </c>
      <c r="O97" s="9">
        <v>104</v>
      </c>
      <c r="P97" s="9" t="str">
        <f>IFERROR(MID(VLOOKUP($B97,Seqs!$A:$B,2,0),Q97,1),"")</f>
        <v>T</v>
      </c>
      <c r="Q97" s="9">
        <v>106</v>
      </c>
      <c r="R97" s="9" t="str">
        <f>IFERROR(MID(VLOOKUP($B97,Seqs!$A:$B,2,0),S97,1),"")</f>
        <v>W</v>
      </c>
      <c r="S97" s="9">
        <v>109</v>
      </c>
      <c r="T97" s="9" t="str">
        <f>IFERROR(MID(VLOOKUP($B97,Seqs!$A:$B,2,0),U97,1),"")</f>
        <v>G</v>
      </c>
      <c r="U97" s="9">
        <v>110</v>
      </c>
      <c r="V97" s="9" t="str">
        <f>IFERROR(MID(VLOOKUP($B97,Seqs!$A:$B,2,0),W97,1),"")</f>
        <v>S</v>
      </c>
      <c r="W97" s="9">
        <v>145</v>
      </c>
      <c r="X97" s="9" t="str">
        <f>IFERROR(MID(VLOOKUP($B97,Seqs!$A:$B,2,0),Y97,1),"")</f>
        <v>P</v>
      </c>
      <c r="Y97" s="9">
        <v>146</v>
      </c>
      <c r="Z97" s="9" t="str">
        <f>IFERROR(MID(VLOOKUP($B97,Seqs!$A:$B,2,0),AA97,1),"")</f>
        <v>M</v>
      </c>
      <c r="AA97" s="9">
        <v>153</v>
      </c>
      <c r="AB97" s="9" t="str">
        <f>IFERROR(MID(VLOOKUP($B97,Seqs!$A:$B,2,0),AC97,1),"")</f>
        <v>T</v>
      </c>
      <c r="AC97" s="9">
        <v>154</v>
      </c>
      <c r="AD97" s="9" t="str">
        <f>IFERROR(MID(VLOOKUP($B97,Seqs!$A:$B,2,0),AE97,1),"")</f>
        <v>H</v>
      </c>
      <c r="AE97" s="9">
        <v>180</v>
      </c>
      <c r="AF97" s="9" t="str">
        <f>IFERROR(MID(VLOOKUP($B97,Seqs!$A:$B,2,0),AG97,1),"")</f>
        <v>C</v>
      </c>
      <c r="AG97" s="9">
        <v>199</v>
      </c>
      <c r="AH97" s="9" t="str">
        <f>IFERROR(MID(VLOOKUP($B97,Seqs!$A:$B,2,0),AI97,1),"")</f>
        <v>F</v>
      </c>
      <c r="AI97" s="9">
        <v>201</v>
      </c>
      <c r="AJ97" s="9" t="str">
        <f>IFERROR(MID(VLOOKUP($B97,Seqs!$A:$B,2,0),AK97,1),"")</f>
        <v>N</v>
      </c>
      <c r="AK97" s="9">
        <v>204</v>
      </c>
      <c r="AL97" s="9" t="str">
        <f>IFERROR(MID(VLOOKUP($B97,Seqs!$A:$B,2,0),AM97,1),"")</f>
        <v>S</v>
      </c>
      <c r="AM97" s="9">
        <v>273</v>
      </c>
      <c r="AN97" s="9" t="str">
        <f>IFERROR(MID(VLOOKUP($B97,Seqs!$A:$B,2,0),AO97,1),"")</f>
        <v>A</v>
      </c>
      <c r="AO97" s="9">
        <v>282</v>
      </c>
      <c r="AP97" s="9" t="str">
        <f>IFERROR(MID(VLOOKUP($B97,Seqs!$A:$B,2,0),AQ97,1),"")</f>
        <v>N</v>
      </c>
      <c r="AQ97" s="9">
        <v>316</v>
      </c>
      <c r="AR97" s="9" t="str">
        <f>IFERROR(MID(VLOOKUP($B97,Seqs!$A:$B,2,0),AS97,1),"")</f>
        <v>P</v>
      </c>
      <c r="AS97" s="9">
        <v>321</v>
      </c>
      <c r="AT97" s="9" t="str">
        <f>IFERROR(MID(VLOOKUP($B97,Seqs!$A:$B,2,0),AU97,1),"")</f>
        <v>R</v>
      </c>
      <c r="AU97" s="9">
        <v>345</v>
      </c>
      <c r="AV97" s="9" t="str">
        <f>IFERROR(MID(VLOOKUP($B97,Seqs!$A:$B,2,0),AW97,1),"")</f>
        <v>S</v>
      </c>
      <c r="AW97" s="9">
        <v>346</v>
      </c>
      <c r="AX97" s="9" t="str">
        <f>IFERROR(MID(VLOOKUP($B97,Seqs!$A:$B,2,0),AY97,1),"")</f>
        <v>L</v>
      </c>
      <c r="AY97" s="9">
        <v>357</v>
      </c>
      <c r="AZ97" s="110" t="str">
        <f>VLOOKUP(B97,Classification!A:D,2,0)</f>
        <v>A</v>
      </c>
      <c r="BA97" s="98" t="str">
        <f>VLOOKUP(B97,Classification!A:D,4,0)</f>
        <v>Adrenoceptors</v>
      </c>
      <c r="BB97" s="36" t="b">
        <f t="shared" ref="BB97" si="448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109">
        <f t="shared" ref="BC97" si="449">_xlfn.AGGREGATE(9,6,CH97:CS97)-_xlfn.AGGREGATE(9,6,BV97:CG97)+12</f>
        <v>285</v>
      </c>
      <c r="BD97" s="13" t="s">
        <v>23</v>
      </c>
      <c r="BE97" s="9" t="s">
        <v>1297</v>
      </c>
      <c r="BF97" s="120">
        <v>2.7</v>
      </c>
      <c r="BG97" s="51" t="s">
        <v>1</v>
      </c>
      <c r="BH97" s="51" t="s">
        <v>1</v>
      </c>
      <c r="BJ97" s="111" t="s">
        <v>1293</v>
      </c>
      <c r="BK97" s="112" t="s">
        <v>1293</v>
      </c>
      <c r="BL97" s="112" t="s">
        <v>1293</v>
      </c>
      <c r="BM97" s="112" t="s">
        <v>1293</v>
      </c>
      <c r="BN97" s="112" t="s">
        <v>1293</v>
      </c>
      <c r="BO97" s="112" t="s">
        <v>1293</v>
      </c>
      <c r="BP97" s="112" t="s">
        <v>1293</v>
      </c>
      <c r="BQ97" s="112" t="s">
        <v>1293</v>
      </c>
      <c r="BR97" s="112" t="s">
        <v>1293</v>
      </c>
      <c r="BS97" s="112" t="s">
        <v>1293</v>
      </c>
      <c r="BT97" s="112" t="s">
        <v>1293</v>
      </c>
      <c r="BU97" s="112" t="s">
        <v>1293</v>
      </c>
      <c r="BV97" s="111">
        <f t="shared" ref="BV97" si="450">E97</f>
        <v>40</v>
      </c>
      <c r="BW97" s="113">
        <f t="shared" ref="BW97" si="451">I97</f>
        <v>70</v>
      </c>
      <c r="BX97" s="114">
        <f t="shared" ref="BX97" si="452">M97</f>
        <v>74</v>
      </c>
      <c r="BY97" s="113">
        <f t="shared" ref="BY97" si="453">Q97</f>
        <v>106</v>
      </c>
      <c r="BZ97" s="114">
        <f t="shared" ref="BZ97" si="454">U97</f>
        <v>110</v>
      </c>
      <c r="CA97" s="113">
        <f t="shared" ref="CA97" si="455">Y97</f>
        <v>146</v>
      </c>
      <c r="CB97" s="114">
        <f t="shared" ref="CB97" si="456">AC97</f>
        <v>154</v>
      </c>
      <c r="CC97" s="113">
        <f t="shared" ref="CC97" si="457">AG97</f>
        <v>199</v>
      </c>
      <c r="CD97" s="114">
        <f t="shared" ref="CD97" si="458">AK97</f>
        <v>204</v>
      </c>
      <c r="CE97" s="113">
        <f t="shared" ref="CE97" si="459">AO97</f>
        <v>282</v>
      </c>
      <c r="CF97" s="114">
        <f t="shared" ref="CF97" si="460">AS97</f>
        <v>321</v>
      </c>
      <c r="CG97" s="113">
        <f t="shared" ref="CG97" si="461">AW97</f>
        <v>346</v>
      </c>
      <c r="CH97" s="111">
        <f t="shared" ref="CH97" si="462">G97</f>
        <v>69</v>
      </c>
      <c r="CI97" s="113">
        <f t="shared" ref="CI97" si="463">K97</f>
        <v>73</v>
      </c>
      <c r="CJ97" s="114">
        <f t="shared" ref="CJ97" si="464">O97</f>
        <v>104</v>
      </c>
      <c r="CK97" s="114">
        <f t="shared" ref="CK97" si="465">S97</f>
        <v>109</v>
      </c>
      <c r="CL97" s="114">
        <f t="shared" ref="CL97" si="466">W97</f>
        <v>145</v>
      </c>
      <c r="CM97" s="114">
        <f t="shared" ref="CM97" si="467">AA97</f>
        <v>153</v>
      </c>
      <c r="CN97" s="114">
        <f t="shared" ref="CN97" si="468">AE97</f>
        <v>180</v>
      </c>
      <c r="CO97" s="114">
        <f t="shared" ref="CO97" si="469">AI97</f>
        <v>201</v>
      </c>
      <c r="CP97" s="114">
        <f t="shared" ref="CP97" si="470">AM97</f>
        <v>273</v>
      </c>
      <c r="CQ97" s="114">
        <f t="shared" ref="CQ97" si="471">AQ97</f>
        <v>316</v>
      </c>
      <c r="CR97" s="114">
        <f t="shared" ref="CR97" si="472">AU97</f>
        <v>345</v>
      </c>
      <c r="CS97" s="114">
        <f t="shared" ref="CS97" si="473">AY97</f>
        <v>357</v>
      </c>
      <c r="CT97" s="109">
        <f t="shared" ref="CT97" si="474">M97-K97</f>
        <v>1</v>
      </c>
    </row>
    <row r="98" spans="1:1029" s="12" customFormat="1" x14ac:dyDescent="0.2">
      <c r="A98" s="9" t="str">
        <f t="shared" ref="A98" si="475">CONCATENATE(B98,"_",C98)</f>
        <v>adrb1_melga_6H7M</v>
      </c>
      <c r="B98" s="9" t="s">
        <v>912</v>
      </c>
      <c r="C98" s="9" t="s">
        <v>1542</v>
      </c>
      <c r="D98" s="9" t="str">
        <f>IFERROR(MID(VLOOKUP($B98,Seqs!$A:$B,2,0),E98,1),"")</f>
        <v>W</v>
      </c>
      <c r="E98" s="9">
        <v>40</v>
      </c>
      <c r="F98" s="9" t="str">
        <f>IFERROR(MID(VLOOKUP($B98,Seqs!$A:$B,2,0),G98,1),"")</f>
        <v>T</v>
      </c>
      <c r="G98" s="9">
        <v>69</v>
      </c>
      <c r="H98" s="9" t="str">
        <f>IFERROR(MID(VLOOKUP($B98,Seqs!$A:$B,2,0),I98,1),"")</f>
        <v>Q</v>
      </c>
      <c r="I98" s="109">
        <v>70</v>
      </c>
      <c r="J98" s="9" t="str">
        <f>IFERROR(MID(VLOOKUP($B98,Seqs!$A:$B,2,0),K98,1),"")</f>
        <v>Q</v>
      </c>
      <c r="K98" s="109">
        <v>73</v>
      </c>
      <c r="L98" s="9" t="str">
        <f>IFERROR(MID(VLOOKUP($B98,Seqs!$A:$B,2,0),M98,1),"")</f>
        <v>T</v>
      </c>
      <c r="M98" s="9">
        <v>74</v>
      </c>
      <c r="N98" s="9" t="str">
        <f>IFERROR(MID(VLOOKUP($B98,Seqs!$A:$B,2,0),O98,1),"")</f>
        <v>R</v>
      </c>
      <c r="O98" s="9">
        <v>104</v>
      </c>
      <c r="P98" s="9" t="str">
        <f>IFERROR(MID(VLOOKUP($B98,Seqs!$A:$B,2,0),Q98,1),"")</f>
        <v>T</v>
      </c>
      <c r="Q98" s="9">
        <v>106</v>
      </c>
      <c r="R98" s="9" t="str">
        <f>IFERROR(MID(VLOOKUP($B98,Seqs!$A:$B,2,0),S98,1),"")</f>
        <v>W</v>
      </c>
      <c r="S98" s="9">
        <v>109</v>
      </c>
      <c r="T98" s="9" t="str">
        <f>IFERROR(MID(VLOOKUP($B98,Seqs!$A:$B,2,0),U98,1),"")</f>
        <v>G</v>
      </c>
      <c r="U98" s="9">
        <v>110</v>
      </c>
      <c r="V98" s="9" t="str">
        <f>IFERROR(MID(VLOOKUP($B98,Seqs!$A:$B,2,0),W98,1),"")</f>
        <v>S</v>
      </c>
      <c r="W98" s="9">
        <v>145</v>
      </c>
      <c r="X98" s="9" t="str">
        <f>IFERROR(MID(VLOOKUP($B98,Seqs!$A:$B,2,0),Y98,1),"")</f>
        <v>P</v>
      </c>
      <c r="Y98" s="9">
        <v>146</v>
      </c>
      <c r="Z98" s="9" t="str">
        <f>IFERROR(MID(VLOOKUP($B98,Seqs!$A:$B,2,0),AA98,1),"")</f>
        <v>M</v>
      </c>
      <c r="AA98" s="9">
        <v>153</v>
      </c>
      <c r="AB98" s="9" t="str">
        <f>IFERROR(MID(VLOOKUP($B98,Seqs!$A:$B,2,0),AC98,1),"")</f>
        <v>T</v>
      </c>
      <c r="AC98" s="9">
        <v>154</v>
      </c>
      <c r="AD98" s="9" t="str">
        <f>IFERROR(MID(VLOOKUP($B98,Seqs!$A:$B,2,0),AE98,1),"")</f>
        <v>H</v>
      </c>
      <c r="AE98" s="9">
        <v>180</v>
      </c>
      <c r="AF98" s="9" t="str">
        <f>IFERROR(MID(VLOOKUP($B98,Seqs!$A:$B,2,0),AG98,1),"")</f>
        <v>C</v>
      </c>
      <c r="AG98" s="9">
        <v>199</v>
      </c>
      <c r="AH98" s="9" t="str">
        <f>IFERROR(MID(VLOOKUP($B98,Seqs!$A:$B,2,0),AI98,1),"")</f>
        <v>F</v>
      </c>
      <c r="AI98" s="9">
        <v>201</v>
      </c>
      <c r="AJ98" s="9" t="str">
        <f>IFERROR(MID(VLOOKUP($B98,Seqs!$A:$B,2,0),AK98,1),"")</f>
        <v>N</v>
      </c>
      <c r="AK98" s="9">
        <v>204</v>
      </c>
      <c r="AL98" s="9" t="str">
        <f>IFERROR(MID(VLOOKUP($B98,Seqs!$A:$B,2,0),AM98,1),"")</f>
        <v>S</v>
      </c>
      <c r="AM98" s="9">
        <v>273</v>
      </c>
      <c r="AN98" s="9" t="str">
        <f>IFERROR(MID(VLOOKUP($B98,Seqs!$A:$B,2,0),AO98,1),"")</f>
        <v>A</v>
      </c>
      <c r="AO98" s="9">
        <v>282</v>
      </c>
      <c r="AP98" s="9" t="str">
        <f>IFERROR(MID(VLOOKUP($B98,Seqs!$A:$B,2,0),AQ98,1),"")</f>
        <v>N</v>
      </c>
      <c r="AQ98" s="9">
        <v>316</v>
      </c>
      <c r="AR98" s="9" t="str">
        <f>IFERROR(MID(VLOOKUP($B98,Seqs!$A:$B,2,0),AS98,1),"")</f>
        <v>P</v>
      </c>
      <c r="AS98" s="9">
        <v>321</v>
      </c>
      <c r="AT98" s="9" t="str">
        <f>IFERROR(MID(VLOOKUP($B98,Seqs!$A:$B,2,0),AU98,1),"")</f>
        <v>R</v>
      </c>
      <c r="AU98" s="9">
        <v>345</v>
      </c>
      <c r="AV98" s="9" t="str">
        <f>IFERROR(MID(VLOOKUP($B98,Seqs!$A:$B,2,0),AW98,1),"")</f>
        <v>S</v>
      </c>
      <c r="AW98" s="9">
        <v>346</v>
      </c>
      <c r="AX98" s="9" t="str">
        <f>IFERROR(MID(VLOOKUP($B98,Seqs!$A:$B,2,0),AY98,1),"")</f>
        <v>L</v>
      </c>
      <c r="AY98" s="9">
        <v>357</v>
      </c>
      <c r="AZ98" s="110" t="str">
        <f>VLOOKUP(B98,Classification!A:D,2,0)</f>
        <v>A</v>
      </c>
      <c r="BA98" s="98" t="str">
        <f>VLOOKUP(B98,Classification!A:D,4,0)</f>
        <v>Adrenoceptors</v>
      </c>
      <c r="BB98" s="36" t="b">
        <f t="shared" ref="BB98" si="476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109">
        <f t="shared" ref="BC98" si="477">_xlfn.AGGREGATE(9,6,CH98:CS98)-_xlfn.AGGREGATE(9,6,BV98:CG98)+12</f>
        <v>285</v>
      </c>
      <c r="BD98" s="13" t="s">
        <v>23</v>
      </c>
      <c r="BE98" s="9" t="s">
        <v>1297</v>
      </c>
      <c r="BF98" s="120">
        <v>2.76</v>
      </c>
      <c r="BG98" s="51" t="s">
        <v>1</v>
      </c>
      <c r="BH98" s="51" t="s">
        <v>1</v>
      </c>
      <c r="BJ98" s="111" t="s">
        <v>1293</v>
      </c>
      <c r="BK98" s="112" t="s">
        <v>1293</v>
      </c>
      <c r="BL98" s="112" t="s">
        <v>1293</v>
      </c>
      <c r="BM98" s="112" t="s">
        <v>1293</v>
      </c>
      <c r="BN98" s="112" t="s">
        <v>1293</v>
      </c>
      <c r="BO98" s="112" t="s">
        <v>1293</v>
      </c>
      <c r="BP98" s="112" t="s">
        <v>1293</v>
      </c>
      <c r="BQ98" s="112" t="s">
        <v>1293</v>
      </c>
      <c r="BR98" s="112" t="s">
        <v>1293</v>
      </c>
      <c r="BS98" s="112" t="s">
        <v>1293</v>
      </c>
      <c r="BT98" s="112" t="s">
        <v>1293</v>
      </c>
      <c r="BU98" s="112" t="s">
        <v>1293</v>
      </c>
      <c r="BV98" s="111">
        <f t="shared" ref="BV98" si="478">E98</f>
        <v>40</v>
      </c>
      <c r="BW98" s="113">
        <f t="shared" ref="BW98" si="479">I98</f>
        <v>70</v>
      </c>
      <c r="BX98" s="114">
        <f t="shared" ref="BX98" si="480">M98</f>
        <v>74</v>
      </c>
      <c r="BY98" s="113">
        <f t="shared" ref="BY98" si="481">Q98</f>
        <v>106</v>
      </c>
      <c r="BZ98" s="114">
        <f t="shared" ref="BZ98" si="482">U98</f>
        <v>110</v>
      </c>
      <c r="CA98" s="113">
        <f t="shared" ref="CA98" si="483">Y98</f>
        <v>146</v>
      </c>
      <c r="CB98" s="114">
        <f t="shared" ref="CB98" si="484">AC98</f>
        <v>154</v>
      </c>
      <c r="CC98" s="113">
        <f t="shared" ref="CC98" si="485">AG98</f>
        <v>199</v>
      </c>
      <c r="CD98" s="114">
        <f t="shared" ref="CD98" si="486">AK98</f>
        <v>204</v>
      </c>
      <c r="CE98" s="113">
        <f t="shared" ref="CE98" si="487">AO98</f>
        <v>282</v>
      </c>
      <c r="CF98" s="114">
        <f t="shared" ref="CF98" si="488">AS98</f>
        <v>321</v>
      </c>
      <c r="CG98" s="113">
        <f t="shared" ref="CG98" si="489">AW98</f>
        <v>346</v>
      </c>
      <c r="CH98" s="111">
        <f t="shared" ref="CH98" si="490">G98</f>
        <v>69</v>
      </c>
      <c r="CI98" s="113">
        <f t="shared" ref="CI98" si="491">K98</f>
        <v>73</v>
      </c>
      <c r="CJ98" s="114">
        <f t="shared" ref="CJ98" si="492">O98</f>
        <v>104</v>
      </c>
      <c r="CK98" s="114">
        <f t="shared" ref="CK98" si="493">S98</f>
        <v>109</v>
      </c>
      <c r="CL98" s="114">
        <f t="shared" ref="CL98" si="494">W98</f>
        <v>145</v>
      </c>
      <c r="CM98" s="114">
        <f t="shared" ref="CM98" si="495">AA98</f>
        <v>153</v>
      </c>
      <c r="CN98" s="114">
        <f t="shared" ref="CN98" si="496">AE98</f>
        <v>180</v>
      </c>
      <c r="CO98" s="114">
        <f t="shared" ref="CO98" si="497">AI98</f>
        <v>201</v>
      </c>
      <c r="CP98" s="114">
        <f t="shared" ref="CP98" si="498">AM98</f>
        <v>273</v>
      </c>
      <c r="CQ98" s="114">
        <f t="shared" ref="CQ98" si="499">AQ98</f>
        <v>316</v>
      </c>
      <c r="CR98" s="114">
        <f t="shared" ref="CR98" si="500">AU98</f>
        <v>345</v>
      </c>
      <c r="CS98" s="114">
        <f t="shared" ref="CS98" si="501">AY98</f>
        <v>357</v>
      </c>
      <c r="CT98" s="109">
        <f t="shared" ref="CT98" si="502">M98-K98</f>
        <v>1</v>
      </c>
    </row>
    <row r="99" spans="1:1029" s="12" customFormat="1" x14ac:dyDescent="0.2">
      <c r="A99" s="9" t="str">
        <f t="shared" ref="A99" si="503">CONCATENATE(B99,"_",C99)</f>
        <v>adrb1_melga_6H7N</v>
      </c>
      <c r="B99" s="9" t="s">
        <v>912</v>
      </c>
      <c r="C99" s="9" t="s">
        <v>1543</v>
      </c>
      <c r="D99" s="9" t="str">
        <f>IFERROR(MID(VLOOKUP($B99,Seqs!$A:$B,2,0),E99,1),"")</f>
        <v>W</v>
      </c>
      <c r="E99" s="9">
        <v>40</v>
      </c>
      <c r="F99" s="9" t="str">
        <f>IFERROR(MID(VLOOKUP($B99,Seqs!$A:$B,2,0),G99,1),"")</f>
        <v>T</v>
      </c>
      <c r="G99" s="9">
        <v>69</v>
      </c>
      <c r="H99" s="9" t="str">
        <f>IFERROR(MID(VLOOKUP($B99,Seqs!$A:$B,2,0),I99,1),"")</f>
        <v>Q</v>
      </c>
      <c r="I99" s="109">
        <v>70</v>
      </c>
      <c r="J99" s="9" t="str">
        <f>IFERROR(MID(VLOOKUP($B99,Seqs!$A:$B,2,0),K99,1),"")</f>
        <v>Q</v>
      </c>
      <c r="K99" s="109">
        <v>73</v>
      </c>
      <c r="L99" s="9" t="str">
        <f>IFERROR(MID(VLOOKUP($B99,Seqs!$A:$B,2,0),M99,1),"")</f>
        <v>T</v>
      </c>
      <c r="M99" s="9">
        <v>74</v>
      </c>
      <c r="N99" s="9" t="str">
        <f>IFERROR(MID(VLOOKUP($B99,Seqs!$A:$B,2,0),O99,1),"")</f>
        <v>R</v>
      </c>
      <c r="O99" s="9">
        <v>104</v>
      </c>
      <c r="P99" s="9" t="str">
        <f>IFERROR(MID(VLOOKUP($B99,Seqs!$A:$B,2,0),Q99,1),"")</f>
        <v>T</v>
      </c>
      <c r="Q99" s="9">
        <v>106</v>
      </c>
      <c r="R99" s="9" t="str">
        <f>IFERROR(MID(VLOOKUP($B99,Seqs!$A:$B,2,0),S99,1),"")</f>
        <v>W</v>
      </c>
      <c r="S99" s="9">
        <v>109</v>
      </c>
      <c r="T99" s="9" t="str">
        <f>IFERROR(MID(VLOOKUP($B99,Seqs!$A:$B,2,0),U99,1),"")</f>
        <v>G</v>
      </c>
      <c r="U99" s="9">
        <v>110</v>
      </c>
      <c r="V99" s="9" t="str">
        <f>IFERROR(MID(VLOOKUP($B99,Seqs!$A:$B,2,0),W99,1),"")</f>
        <v>S</v>
      </c>
      <c r="W99" s="9">
        <v>145</v>
      </c>
      <c r="X99" s="9" t="str">
        <f>IFERROR(MID(VLOOKUP($B99,Seqs!$A:$B,2,0),Y99,1),"")</f>
        <v>P</v>
      </c>
      <c r="Y99" s="9">
        <v>146</v>
      </c>
      <c r="Z99" s="9" t="str">
        <f>IFERROR(MID(VLOOKUP($B99,Seqs!$A:$B,2,0),AA99,1),"")</f>
        <v>M</v>
      </c>
      <c r="AA99" s="9">
        <v>153</v>
      </c>
      <c r="AB99" s="9" t="str">
        <f>IFERROR(MID(VLOOKUP($B99,Seqs!$A:$B,2,0),AC99,1),"")</f>
        <v>T</v>
      </c>
      <c r="AC99" s="9">
        <v>154</v>
      </c>
      <c r="AD99" s="9" t="str">
        <f>IFERROR(MID(VLOOKUP($B99,Seqs!$A:$B,2,0),AE99,1),"")</f>
        <v>H</v>
      </c>
      <c r="AE99" s="9">
        <v>180</v>
      </c>
      <c r="AF99" s="9" t="str">
        <f>IFERROR(MID(VLOOKUP($B99,Seqs!$A:$B,2,0),AG99,1),"")</f>
        <v>C</v>
      </c>
      <c r="AG99" s="9">
        <v>199</v>
      </c>
      <c r="AH99" s="9" t="str">
        <f>IFERROR(MID(VLOOKUP($B99,Seqs!$A:$B,2,0),AI99,1),"")</f>
        <v>F</v>
      </c>
      <c r="AI99" s="9">
        <v>201</v>
      </c>
      <c r="AJ99" s="9" t="str">
        <f>IFERROR(MID(VLOOKUP($B99,Seqs!$A:$B,2,0),AK99,1),"")</f>
        <v>N</v>
      </c>
      <c r="AK99" s="9">
        <v>204</v>
      </c>
      <c r="AL99" s="9" t="str">
        <f>IFERROR(MID(VLOOKUP($B99,Seqs!$A:$B,2,0),AM99,1),"")</f>
        <v>S</v>
      </c>
      <c r="AM99" s="9">
        <v>273</v>
      </c>
      <c r="AN99" s="9" t="str">
        <f>IFERROR(MID(VLOOKUP($B99,Seqs!$A:$B,2,0),AO99,1),"")</f>
        <v>A</v>
      </c>
      <c r="AO99" s="9">
        <v>282</v>
      </c>
      <c r="AP99" s="9" t="str">
        <f>IFERROR(MID(VLOOKUP($B99,Seqs!$A:$B,2,0),AQ99,1),"")</f>
        <v>N</v>
      </c>
      <c r="AQ99" s="9">
        <v>316</v>
      </c>
      <c r="AR99" s="9" t="str">
        <f>IFERROR(MID(VLOOKUP($B99,Seqs!$A:$B,2,0),AS99,1),"")</f>
        <v>P</v>
      </c>
      <c r="AS99" s="9">
        <v>321</v>
      </c>
      <c r="AT99" s="9" t="str">
        <f>IFERROR(MID(VLOOKUP($B99,Seqs!$A:$B,2,0),AU99,1),"")</f>
        <v>R</v>
      </c>
      <c r="AU99" s="9">
        <v>345</v>
      </c>
      <c r="AV99" s="9" t="str">
        <f>IFERROR(MID(VLOOKUP($B99,Seqs!$A:$B,2,0),AW99,1),"")</f>
        <v>S</v>
      </c>
      <c r="AW99" s="9">
        <v>346</v>
      </c>
      <c r="AX99" s="9" t="str">
        <f>IFERROR(MID(VLOOKUP($B99,Seqs!$A:$B,2,0),AY99,1),"")</f>
        <v>L</v>
      </c>
      <c r="AY99" s="9">
        <v>357</v>
      </c>
      <c r="AZ99" s="110" t="str">
        <f>VLOOKUP(B99,Classification!A:D,2,0)</f>
        <v>A</v>
      </c>
      <c r="BA99" s="98" t="str">
        <f>VLOOKUP(B99,Classification!A:D,4,0)</f>
        <v>Adrenoceptors</v>
      </c>
      <c r="BB99" s="36" t="b">
        <f t="shared" ref="BB99" si="504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09">
        <f t="shared" ref="BC99" si="505">_xlfn.AGGREGATE(9,6,CH99:CS99)-_xlfn.AGGREGATE(9,6,BV99:CG99)+12</f>
        <v>285</v>
      </c>
      <c r="BD99" s="13" t="s">
        <v>1382</v>
      </c>
      <c r="BE99" s="9" t="s">
        <v>1297</v>
      </c>
      <c r="BF99" s="120">
        <v>2.5</v>
      </c>
      <c r="BG99" s="51" t="s">
        <v>1</v>
      </c>
      <c r="BH99" s="51" t="s">
        <v>1</v>
      </c>
      <c r="BJ99" s="111" t="s">
        <v>1293</v>
      </c>
      <c r="BK99" s="112" t="s">
        <v>1293</v>
      </c>
      <c r="BL99" s="112" t="s">
        <v>1293</v>
      </c>
      <c r="BM99" s="112" t="s">
        <v>1293</v>
      </c>
      <c r="BN99" s="112" t="s">
        <v>1293</v>
      </c>
      <c r="BO99" s="112" t="s">
        <v>1293</v>
      </c>
      <c r="BP99" s="112" t="s">
        <v>1293</v>
      </c>
      <c r="BQ99" s="112" t="s">
        <v>1293</v>
      </c>
      <c r="BR99" s="112" t="s">
        <v>1293</v>
      </c>
      <c r="BS99" s="112" t="s">
        <v>1293</v>
      </c>
      <c r="BT99" s="112" t="s">
        <v>1293</v>
      </c>
      <c r="BU99" s="112" t="s">
        <v>1293</v>
      </c>
      <c r="BV99" s="111">
        <f t="shared" ref="BV99" si="506">E99</f>
        <v>40</v>
      </c>
      <c r="BW99" s="113">
        <f t="shared" ref="BW99" si="507">I99</f>
        <v>70</v>
      </c>
      <c r="BX99" s="114">
        <f t="shared" ref="BX99" si="508">M99</f>
        <v>74</v>
      </c>
      <c r="BY99" s="113">
        <f t="shared" ref="BY99" si="509">Q99</f>
        <v>106</v>
      </c>
      <c r="BZ99" s="114">
        <f t="shared" ref="BZ99" si="510">U99</f>
        <v>110</v>
      </c>
      <c r="CA99" s="113">
        <f t="shared" ref="CA99" si="511">Y99</f>
        <v>146</v>
      </c>
      <c r="CB99" s="114">
        <f t="shared" ref="CB99" si="512">AC99</f>
        <v>154</v>
      </c>
      <c r="CC99" s="113">
        <f t="shared" ref="CC99" si="513">AG99</f>
        <v>199</v>
      </c>
      <c r="CD99" s="114">
        <f t="shared" ref="CD99" si="514">AK99</f>
        <v>204</v>
      </c>
      <c r="CE99" s="113">
        <f t="shared" ref="CE99" si="515">AO99</f>
        <v>282</v>
      </c>
      <c r="CF99" s="114">
        <f t="shared" ref="CF99" si="516">AS99</f>
        <v>321</v>
      </c>
      <c r="CG99" s="113">
        <f t="shared" ref="CG99" si="517">AW99</f>
        <v>346</v>
      </c>
      <c r="CH99" s="111">
        <f t="shared" ref="CH99" si="518">G99</f>
        <v>69</v>
      </c>
      <c r="CI99" s="113">
        <f t="shared" ref="CI99" si="519">K99</f>
        <v>73</v>
      </c>
      <c r="CJ99" s="114">
        <f t="shared" ref="CJ99" si="520">O99</f>
        <v>104</v>
      </c>
      <c r="CK99" s="114">
        <f t="shared" ref="CK99" si="521">S99</f>
        <v>109</v>
      </c>
      <c r="CL99" s="114">
        <f t="shared" ref="CL99" si="522">W99</f>
        <v>145</v>
      </c>
      <c r="CM99" s="114">
        <f t="shared" ref="CM99" si="523">AA99</f>
        <v>153</v>
      </c>
      <c r="CN99" s="114">
        <f t="shared" ref="CN99" si="524">AE99</f>
        <v>180</v>
      </c>
      <c r="CO99" s="114">
        <f t="shared" ref="CO99" si="525">AI99</f>
        <v>201</v>
      </c>
      <c r="CP99" s="114">
        <f t="shared" ref="CP99" si="526">AM99</f>
        <v>273</v>
      </c>
      <c r="CQ99" s="114">
        <f t="shared" ref="CQ99" si="527">AQ99</f>
        <v>316</v>
      </c>
      <c r="CR99" s="114">
        <f t="shared" ref="CR99" si="528">AU99</f>
        <v>345</v>
      </c>
      <c r="CS99" s="114">
        <f t="shared" ref="CS99" si="529">AY99</f>
        <v>357</v>
      </c>
      <c r="CT99" s="109">
        <f t="shared" ref="CT99" si="530">M99-K99</f>
        <v>1</v>
      </c>
    </row>
    <row r="100" spans="1:1029" s="12" customFormat="1" x14ac:dyDescent="0.2">
      <c r="A100" s="9" t="str">
        <f t="shared" ref="A100" si="531">CONCATENATE(B100,"_",C100)</f>
        <v>adrb1_melga_6H7O</v>
      </c>
      <c r="B100" s="9" t="s">
        <v>912</v>
      </c>
      <c r="C100" s="9" t="s">
        <v>1544</v>
      </c>
      <c r="D100" s="9" t="str">
        <f>IFERROR(MID(VLOOKUP($B100,Seqs!$A:$B,2,0),E100,1),"")</f>
        <v>W</v>
      </c>
      <c r="E100" s="9">
        <v>40</v>
      </c>
      <c r="F100" s="9" t="str">
        <f>IFERROR(MID(VLOOKUP($B100,Seqs!$A:$B,2,0),G100,1),"")</f>
        <v>T</v>
      </c>
      <c r="G100" s="9">
        <v>69</v>
      </c>
      <c r="H100" s="9" t="str">
        <f>IFERROR(MID(VLOOKUP($B100,Seqs!$A:$B,2,0),I100,1),"")</f>
        <v>Q</v>
      </c>
      <c r="I100" s="109">
        <v>70</v>
      </c>
      <c r="J100" s="9" t="str">
        <f>IFERROR(MID(VLOOKUP($B100,Seqs!$A:$B,2,0),K100,1),"")</f>
        <v>Q</v>
      </c>
      <c r="K100" s="109">
        <v>73</v>
      </c>
      <c r="L100" s="9" t="str">
        <f>IFERROR(MID(VLOOKUP($B100,Seqs!$A:$B,2,0),M100,1),"")</f>
        <v>T</v>
      </c>
      <c r="M100" s="9">
        <v>74</v>
      </c>
      <c r="N100" s="9" t="str">
        <f>IFERROR(MID(VLOOKUP($B100,Seqs!$A:$B,2,0),O100,1),"")</f>
        <v>R</v>
      </c>
      <c r="O100" s="9">
        <v>104</v>
      </c>
      <c r="P100" s="9" t="str">
        <f>IFERROR(MID(VLOOKUP($B100,Seqs!$A:$B,2,0),Q100,1),"")</f>
        <v>T</v>
      </c>
      <c r="Q100" s="9">
        <v>106</v>
      </c>
      <c r="R100" s="9" t="str">
        <f>IFERROR(MID(VLOOKUP($B100,Seqs!$A:$B,2,0),S100,1),"")</f>
        <v>W</v>
      </c>
      <c r="S100" s="9">
        <v>109</v>
      </c>
      <c r="T100" s="9" t="str">
        <f>IFERROR(MID(VLOOKUP($B100,Seqs!$A:$B,2,0),U100,1),"")</f>
        <v>G</v>
      </c>
      <c r="U100" s="9">
        <v>110</v>
      </c>
      <c r="V100" s="9" t="str">
        <f>IFERROR(MID(VLOOKUP($B100,Seqs!$A:$B,2,0),W100,1),"")</f>
        <v>S</v>
      </c>
      <c r="W100" s="9">
        <v>145</v>
      </c>
      <c r="X100" s="9" t="str">
        <f>IFERROR(MID(VLOOKUP($B100,Seqs!$A:$B,2,0),Y100,1),"")</f>
        <v>P</v>
      </c>
      <c r="Y100" s="9">
        <v>146</v>
      </c>
      <c r="Z100" s="9" t="str">
        <f>IFERROR(MID(VLOOKUP($B100,Seqs!$A:$B,2,0),AA100,1),"")</f>
        <v>M</v>
      </c>
      <c r="AA100" s="9">
        <v>153</v>
      </c>
      <c r="AB100" s="9" t="str">
        <f>IFERROR(MID(VLOOKUP($B100,Seqs!$A:$B,2,0),AC100,1),"")</f>
        <v>T</v>
      </c>
      <c r="AC100" s="9">
        <v>154</v>
      </c>
      <c r="AD100" s="9" t="str">
        <f>IFERROR(MID(VLOOKUP($B100,Seqs!$A:$B,2,0),AE100,1),"")</f>
        <v>H</v>
      </c>
      <c r="AE100" s="9">
        <v>180</v>
      </c>
      <c r="AF100" s="9" t="str">
        <f>IFERROR(MID(VLOOKUP($B100,Seqs!$A:$B,2,0),AG100,1),"")</f>
        <v>C</v>
      </c>
      <c r="AG100" s="9">
        <v>199</v>
      </c>
      <c r="AH100" s="9" t="str">
        <f>IFERROR(MID(VLOOKUP($B100,Seqs!$A:$B,2,0),AI100,1),"")</f>
        <v>F</v>
      </c>
      <c r="AI100" s="9">
        <v>201</v>
      </c>
      <c r="AJ100" s="9" t="str">
        <f>IFERROR(MID(VLOOKUP($B100,Seqs!$A:$B,2,0),AK100,1),"")</f>
        <v>N</v>
      </c>
      <c r="AK100" s="9">
        <v>204</v>
      </c>
      <c r="AL100" s="9" t="str">
        <f>IFERROR(MID(VLOOKUP($B100,Seqs!$A:$B,2,0),AM100,1),"")</f>
        <v>S</v>
      </c>
      <c r="AM100" s="9">
        <v>273</v>
      </c>
      <c r="AN100" s="9" t="str">
        <f>IFERROR(MID(VLOOKUP($B100,Seqs!$A:$B,2,0),AO100,1),"")</f>
        <v>A</v>
      </c>
      <c r="AO100" s="9">
        <v>282</v>
      </c>
      <c r="AP100" s="9" t="str">
        <f>IFERROR(MID(VLOOKUP($B100,Seqs!$A:$B,2,0),AQ100,1),"")</f>
        <v>N</v>
      </c>
      <c r="AQ100" s="9">
        <v>316</v>
      </c>
      <c r="AR100" s="9" t="str">
        <f>IFERROR(MID(VLOOKUP($B100,Seqs!$A:$B,2,0),AS100,1),"")</f>
        <v>P</v>
      </c>
      <c r="AS100" s="9">
        <v>321</v>
      </c>
      <c r="AT100" s="9" t="str">
        <f>IFERROR(MID(VLOOKUP($B100,Seqs!$A:$B,2,0),AU100,1),"")</f>
        <v>R</v>
      </c>
      <c r="AU100" s="9">
        <v>345</v>
      </c>
      <c r="AV100" s="9" t="str">
        <f>IFERROR(MID(VLOOKUP($B100,Seqs!$A:$B,2,0),AW100,1),"")</f>
        <v>S</v>
      </c>
      <c r="AW100" s="9">
        <v>346</v>
      </c>
      <c r="AX100" s="9" t="str">
        <f>IFERROR(MID(VLOOKUP($B100,Seqs!$A:$B,2,0),AY100,1),"")</f>
        <v>L</v>
      </c>
      <c r="AY100" s="9">
        <v>357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" si="532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" si="533">_xlfn.AGGREGATE(9,6,CH100:CS100)-_xlfn.AGGREGATE(9,6,BV100:CG100)+12</f>
        <v>285</v>
      </c>
      <c r="BD100" s="13" t="s">
        <v>23</v>
      </c>
      <c r="BE100" s="9" t="s">
        <v>1297</v>
      </c>
      <c r="BF100" s="120">
        <v>2.8</v>
      </c>
      <c r="BG100" s="51" t="s">
        <v>1</v>
      </c>
      <c r="BH100" s="51" t="s">
        <v>1</v>
      </c>
      <c r="BJ100" s="111" t="s">
        <v>1293</v>
      </c>
      <c r="BK100" s="112" t="s">
        <v>1293</v>
      </c>
      <c r="BL100" s="112" t="s">
        <v>1293</v>
      </c>
      <c r="BM100" s="112" t="s">
        <v>1293</v>
      </c>
      <c r="BN100" s="112" t="s">
        <v>1293</v>
      </c>
      <c r="BO100" s="112" t="s">
        <v>1293</v>
      </c>
      <c r="BP100" s="112" t="s">
        <v>1293</v>
      </c>
      <c r="BQ100" s="112" t="s">
        <v>1293</v>
      </c>
      <c r="BR100" s="112" t="s">
        <v>1293</v>
      </c>
      <c r="BS100" s="112" t="s">
        <v>1293</v>
      </c>
      <c r="BT100" s="112" t="s">
        <v>1293</v>
      </c>
      <c r="BU100" s="112" t="s">
        <v>1293</v>
      </c>
      <c r="BV100" s="111">
        <f t="shared" ref="BV100" si="534">E100</f>
        <v>40</v>
      </c>
      <c r="BW100" s="113">
        <f t="shared" ref="BW100" si="535">I100</f>
        <v>70</v>
      </c>
      <c r="BX100" s="114">
        <f t="shared" ref="BX100" si="536">M100</f>
        <v>74</v>
      </c>
      <c r="BY100" s="113">
        <f t="shared" ref="BY100" si="537">Q100</f>
        <v>106</v>
      </c>
      <c r="BZ100" s="114">
        <f t="shared" ref="BZ100" si="538">U100</f>
        <v>110</v>
      </c>
      <c r="CA100" s="113">
        <f t="shared" ref="CA100" si="539">Y100</f>
        <v>146</v>
      </c>
      <c r="CB100" s="114">
        <f t="shared" ref="CB100" si="540">AC100</f>
        <v>154</v>
      </c>
      <c r="CC100" s="113">
        <f t="shared" ref="CC100" si="541">AG100</f>
        <v>199</v>
      </c>
      <c r="CD100" s="114">
        <f t="shared" ref="CD100" si="542">AK100</f>
        <v>204</v>
      </c>
      <c r="CE100" s="113">
        <f t="shared" ref="CE100" si="543">AO100</f>
        <v>282</v>
      </c>
      <c r="CF100" s="114">
        <f t="shared" ref="CF100" si="544">AS100</f>
        <v>321</v>
      </c>
      <c r="CG100" s="113">
        <f t="shared" ref="CG100" si="545">AW100</f>
        <v>346</v>
      </c>
      <c r="CH100" s="111">
        <f t="shared" ref="CH100" si="546">G100</f>
        <v>69</v>
      </c>
      <c r="CI100" s="113">
        <f t="shared" ref="CI100" si="547">K100</f>
        <v>73</v>
      </c>
      <c r="CJ100" s="114">
        <f t="shared" ref="CJ100" si="548">O100</f>
        <v>104</v>
      </c>
      <c r="CK100" s="114">
        <f t="shared" ref="CK100" si="549">S100</f>
        <v>109</v>
      </c>
      <c r="CL100" s="114">
        <f t="shared" ref="CL100" si="550">W100</f>
        <v>145</v>
      </c>
      <c r="CM100" s="114">
        <f t="shared" ref="CM100" si="551">AA100</f>
        <v>153</v>
      </c>
      <c r="CN100" s="114">
        <f t="shared" ref="CN100" si="552">AE100</f>
        <v>180</v>
      </c>
      <c r="CO100" s="114">
        <f t="shared" ref="CO100" si="553">AI100</f>
        <v>201</v>
      </c>
      <c r="CP100" s="114">
        <f t="shared" ref="CP100" si="554">AM100</f>
        <v>273</v>
      </c>
      <c r="CQ100" s="114">
        <f t="shared" ref="CQ100" si="555">AQ100</f>
        <v>316</v>
      </c>
      <c r="CR100" s="114">
        <f t="shared" ref="CR100" si="556">AU100</f>
        <v>345</v>
      </c>
      <c r="CS100" s="114">
        <f t="shared" ref="CS100" si="557">AY100</f>
        <v>357</v>
      </c>
      <c r="CT100" s="109">
        <f t="shared" ref="CT100" si="558">M100-K100</f>
        <v>1</v>
      </c>
    </row>
    <row r="101" spans="1:1029" x14ac:dyDescent="0.2">
      <c r="A101" s="3" t="str">
        <f t="shared" si="223"/>
        <v>adrb2_human__wt</v>
      </c>
      <c r="B101" s="3" t="s">
        <v>126</v>
      </c>
      <c r="C101" s="3" t="s">
        <v>100</v>
      </c>
      <c r="D101" s="3" t="str">
        <f>IFERROR(MID(VLOOKUP($B101,Seqs!$A:$B,2,0),E101,1),"")</f>
        <v>Q</v>
      </c>
      <c r="E101" s="3">
        <v>26</v>
      </c>
      <c r="F101" s="3" t="str">
        <f>IFERROR(MID(VLOOKUP($B101,Seqs!$A:$B,2,0),G101,1),"")</f>
        <v>F</v>
      </c>
      <c r="G101" s="3">
        <v>61</v>
      </c>
      <c r="H101" s="3" t="str">
        <f>IFERROR(MID(VLOOKUP($B101,Seqs!$A:$B,2,0),I101,1),"")</f>
        <v>E</v>
      </c>
      <c r="I101" s="23">
        <v>62</v>
      </c>
      <c r="J101" s="3" t="str">
        <f>IFERROR(MID(VLOOKUP($B101,Seqs!$A:$B,2,0),K101,1),"")</f>
        <v>Q</v>
      </c>
      <c r="K101" s="23">
        <v>65</v>
      </c>
      <c r="L101" s="3" t="str">
        <f>IFERROR(MID(VLOOKUP($B101,Seqs!$A:$B,2,0),M101,1),"")</f>
        <v>T</v>
      </c>
      <c r="M101" s="3">
        <v>66</v>
      </c>
      <c r="N101" s="3" t="str">
        <f>IFERROR(MID(VLOOKUP($B101,Seqs!$A:$B,2,0),O101,1),"")</f>
        <v>M</v>
      </c>
      <c r="O101" s="3">
        <v>96</v>
      </c>
      <c r="P101" s="3" t="str">
        <f>IFERROR(MID(VLOOKUP($B101,Seqs!$A:$B,2,0),Q101,1),"")</f>
        <v>M</v>
      </c>
      <c r="Q101" s="3">
        <v>98</v>
      </c>
      <c r="R101" s="3" t="str">
        <f>IFERROR(MID(VLOOKUP($B101,Seqs!$A:$B,2,0),S101,1),"")</f>
        <v>F</v>
      </c>
      <c r="S101" s="3">
        <v>101</v>
      </c>
      <c r="T101" s="3" t="str">
        <f>IFERROR(MID(VLOOKUP($B101,Seqs!$A:$B,2,0),U101,1),"")</f>
        <v>G</v>
      </c>
      <c r="U101" s="3">
        <v>102</v>
      </c>
      <c r="V101" s="3" t="str">
        <f>IFERROR(MID(VLOOKUP($B101,Seqs!$A:$B,2,0),W101,1),"")</f>
        <v>S</v>
      </c>
      <c r="W101" s="3">
        <v>137</v>
      </c>
      <c r="X101" s="3" t="str">
        <f>IFERROR(MID(VLOOKUP($B101,Seqs!$A:$B,2,0),Y101,1),"")</f>
        <v>P</v>
      </c>
      <c r="Y101" s="3">
        <v>138</v>
      </c>
      <c r="Z101" s="3" t="str">
        <f>IFERROR(MID(VLOOKUP($B101,Seqs!$A:$B,2,0),AA101,1),"")</f>
        <v>L</v>
      </c>
      <c r="AA101" s="3">
        <v>145</v>
      </c>
      <c r="AB101" s="3" t="str">
        <f>IFERROR(MID(VLOOKUP($B101,Seqs!$A:$B,2,0),AC101,1),"")</f>
        <v>T</v>
      </c>
      <c r="AC101" s="9">
        <v>146</v>
      </c>
      <c r="AD101" s="3" t="str">
        <f>IFERROR(MID(VLOOKUP($B101,Seqs!$A:$B,2,0),AE101,1),"")</f>
        <v>H</v>
      </c>
      <c r="AE101" s="3">
        <v>172</v>
      </c>
      <c r="AF101" s="3" t="str">
        <f>IFERROR(MID(VLOOKUP($B101,Seqs!$A:$B,2,0),AG101,1),"")</f>
        <v>C</v>
      </c>
      <c r="AG101" s="3">
        <v>191</v>
      </c>
      <c r="AH101" s="3" t="str">
        <f>IFERROR(MID(VLOOKUP($B101,Seqs!$A:$B,2,0),AI101,1),"")</f>
        <v>F</v>
      </c>
      <c r="AI101" s="3">
        <v>193</v>
      </c>
      <c r="AJ101" s="3" t="str">
        <f>IFERROR(MID(VLOOKUP($B101,Seqs!$A:$B,2,0),AK101,1),"")</f>
        <v>N</v>
      </c>
      <c r="AK101" s="3">
        <v>196</v>
      </c>
      <c r="AL101" s="3" t="str">
        <f>IFERROR(MID(VLOOKUP($B101,Seqs!$A:$B,2,0),AM101,1),"")</f>
        <v>E</v>
      </c>
      <c r="AM101" s="3">
        <v>237</v>
      </c>
      <c r="AN101" s="3" t="str">
        <f>IFERROR(MID(VLOOKUP($B101,Seqs!$A:$B,2,0),AO101,1),"")</f>
        <v>S</v>
      </c>
      <c r="AO101" s="3">
        <v>262</v>
      </c>
      <c r="AP101" s="3" t="str">
        <f>IFERROR(MID(VLOOKUP($B101,Seqs!$A:$B,2,0),AQ101,1),"")</f>
        <v>Q</v>
      </c>
      <c r="AQ101" s="3">
        <v>299</v>
      </c>
      <c r="AR101" s="3" t="str">
        <f>IFERROR(MID(VLOOKUP($B101,Seqs!$A:$B,2,0),AS101,1),"")</f>
        <v>R</v>
      </c>
      <c r="AS101" s="3">
        <v>304</v>
      </c>
      <c r="AT101" s="3" t="str">
        <f>IFERROR(MID(VLOOKUP($B101,Seqs!$A:$B,2,0),AU101,1),"")</f>
        <v>R</v>
      </c>
      <c r="AU101" s="3">
        <v>328</v>
      </c>
      <c r="AV101" s="3" t="str">
        <f>IFERROR(MID(VLOOKUP($B101,Seqs!$A:$B,2,0),AW101,1),"")</f>
        <v>S</v>
      </c>
      <c r="AW101" s="3">
        <v>329</v>
      </c>
      <c r="AX101" s="3" t="str">
        <f>IFERROR(MID(VLOOKUP($B101,Seqs!$A:$B,2,0),AY101,1),"")</f>
        <v>C</v>
      </c>
      <c r="AY101" s="3">
        <v>341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224"/>
        <v>1</v>
      </c>
      <c r="BC101" s="23">
        <f t="shared" si="365"/>
        <v>267</v>
      </c>
      <c r="BD101" s="56" t="s">
        <v>1379</v>
      </c>
      <c r="BE101" s="3" t="s">
        <v>23</v>
      </c>
      <c r="BF101" s="119" t="s">
        <v>23</v>
      </c>
      <c r="BG101" s="49" t="s">
        <v>1379</v>
      </c>
      <c r="BH101" s="49" t="s">
        <v>1384</v>
      </c>
      <c r="BI101" s="3" t="s">
        <v>1166</v>
      </c>
      <c r="BJ101" s="70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0">
        <f t="shared" si="366"/>
        <v>26</v>
      </c>
      <c r="BW101" s="71">
        <f t="shared" si="367"/>
        <v>62</v>
      </c>
      <c r="BX101" s="72">
        <f t="shared" si="368"/>
        <v>66</v>
      </c>
      <c r="BY101" s="71">
        <f t="shared" si="369"/>
        <v>98</v>
      </c>
      <c r="BZ101" s="72">
        <f t="shared" si="370"/>
        <v>102</v>
      </c>
      <c r="CA101" s="71">
        <f t="shared" si="371"/>
        <v>138</v>
      </c>
      <c r="CB101" s="72">
        <f t="shared" si="372"/>
        <v>146</v>
      </c>
      <c r="CC101" s="71">
        <f t="shared" si="373"/>
        <v>191</v>
      </c>
      <c r="CD101" s="72">
        <f t="shared" si="374"/>
        <v>196</v>
      </c>
      <c r="CE101" s="71">
        <f t="shared" si="375"/>
        <v>262</v>
      </c>
      <c r="CF101" s="72">
        <f t="shared" si="376"/>
        <v>304</v>
      </c>
      <c r="CG101" s="71">
        <f t="shared" si="377"/>
        <v>329</v>
      </c>
      <c r="CH101" s="70">
        <f t="shared" si="378"/>
        <v>61</v>
      </c>
      <c r="CI101" s="71">
        <f t="shared" si="379"/>
        <v>65</v>
      </c>
      <c r="CJ101" s="72">
        <f t="shared" si="380"/>
        <v>96</v>
      </c>
      <c r="CK101" s="72">
        <f t="shared" si="381"/>
        <v>101</v>
      </c>
      <c r="CL101" s="72">
        <f t="shared" si="382"/>
        <v>137</v>
      </c>
      <c r="CM101" s="72">
        <f t="shared" si="383"/>
        <v>145</v>
      </c>
      <c r="CN101" s="72">
        <f t="shared" si="384"/>
        <v>172</v>
      </c>
      <c r="CO101" s="72">
        <f t="shared" si="385"/>
        <v>193</v>
      </c>
      <c r="CP101" s="72">
        <f t="shared" si="386"/>
        <v>237</v>
      </c>
      <c r="CQ101" s="72">
        <f t="shared" si="387"/>
        <v>299</v>
      </c>
      <c r="CR101" s="72">
        <f t="shared" si="388"/>
        <v>328</v>
      </c>
      <c r="CS101" s="72">
        <f t="shared" si="389"/>
        <v>341</v>
      </c>
      <c r="CT101" s="23">
        <f t="shared" si="39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223"/>
        <v>adrb2_human_2RH1</v>
      </c>
      <c r="B102" s="3" t="s">
        <v>126</v>
      </c>
      <c r="C102" s="3" t="s">
        <v>75</v>
      </c>
      <c r="D102" s="3" t="str">
        <f>IFERROR(MID(VLOOKUP($B102,Seqs!$A:$B,2,0),E102,1),"")</f>
        <v>D</v>
      </c>
      <c r="E102" s="3">
        <v>29</v>
      </c>
      <c r="F102" s="3" t="str">
        <f>IFERROR(MID(VLOOKUP($B102,Seqs!$A:$B,2,0),G102,1),"")</f>
        <v>F</v>
      </c>
      <c r="G102" s="3">
        <v>61</v>
      </c>
      <c r="H102" s="3" t="str">
        <f>IFERROR(MID(VLOOKUP($B102,Seqs!$A:$B,2,0),I102,1),"")</f>
        <v>E</v>
      </c>
      <c r="I102" s="23">
        <v>62</v>
      </c>
      <c r="J102" s="3" t="str">
        <f>IFERROR(MID(VLOOKUP($B102,Seqs!$A:$B,2,0),K102,1),"")</f>
        <v>Q</v>
      </c>
      <c r="K102" s="23">
        <v>65</v>
      </c>
      <c r="L102" s="3" t="str">
        <f>IFERROR(MID(VLOOKUP($B102,Seqs!$A:$B,2,0),M102,1),"")</f>
        <v>T</v>
      </c>
      <c r="M102" s="3">
        <v>66</v>
      </c>
      <c r="N102" s="3" t="str">
        <f>IFERROR(MID(VLOOKUP($B102,Seqs!$A:$B,2,0),O102,1),"")</f>
        <v>M</v>
      </c>
      <c r="O102" s="3">
        <v>96</v>
      </c>
      <c r="P102" s="3" t="str">
        <f>IFERROR(MID(VLOOKUP($B102,Seqs!$A:$B,2,0),Q102,1),"")</f>
        <v>M</v>
      </c>
      <c r="Q102" s="3">
        <v>98</v>
      </c>
      <c r="R102" s="3" t="str">
        <f>IFERROR(MID(VLOOKUP($B102,Seqs!$A:$B,2,0),S102,1),"")</f>
        <v>F</v>
      </c>
      <c r="S102" s="3">
        <v>101</v>
      </c>
      <c r="T102" s="3" t="str">
        <f>IFERROR(MID(VLOOKUP($B102,Seqs!$A:$B,2,0),U102,1),"")</f>
        <v>G</v>
      </c>
      <c r="U102" s="3">
        <v>102</v>
      </c>
      <c r="V102" s="3" t="str">
        <f>IFERROR(MID(VLOOKUP($B102,Seqs!$A:$B,2,0),W102,1),"")</f>
        <v>S</v>
      </c>
      <c r="W102" s="3">
        <v>137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T</v>
      </c>
      <c r="AC102" s="9">
        <v>146</v>
      </c>
      <c r="AD102" s="3" t="str">
        <f>IFERROR(MID(VLOOKUP($B102,Seqs!$A:$B,2,0),AE102,1),"")</f>
        <v>H</v>
      </c>
      <c r="AE102" s="3">
        <v>172</v>
      </c>
      <c r="AF102" s="3" t="str">
        <f>IFERROR(MID(VLOOKUP($B102,Seqs!$A:$B,2,0),AG102,1),"")</f>
        <v>C</v>
      </c>
      <c r="AG102" s="3">
        <v>191</v>
      </c>
      <c r="AH102" s="3" t="str">
        <f>IFERROR(MID(VLOOKUP($B102,Seqs!$A:$B,2,0),AI102,1),"")</f>
        <v>F</v>
      </c>
      <c r="AI102" s="3">
        <v>193</v>
      </c>
      <c r="AJ102" s="3" t="str">
        <f>IFERROR(MID(VLOOKUP($B102,Seqs!$A:$B,2,0),AK102,1),"")</f>
        <v>N</v>
      </c>
      <c r="AK102" s="3">
        <v>196</v>
      </c>
      <c r="AL102" s="3" t="str">
        <f>IFERROR(MID(VLOOKUP($B102,Seqs!$A:$B,2,0),AM102,1),"")</f>
        <v>Q</v>
      </c>
      <c r="AM102" s="3">
        <v>229</v>
      </c>
      <c r="AN102" s="3" t="str">
        <f>IFERROR(MID(VLOOKUP($B102,Seqs!$A:$B,2,0),AO102,1),"")</f>
        <v>K</v>
      </c>
      <c r="AO102" s="3">
        <v>267</v>
      </c>
      <c r="AP102" s="3" t="str">
        <f>IFERROR(MID(VLOOKUP($B102,Seqs!$A:$B,2,0),AQ102,1),"")</f>
        <v>Q</v>
      </c>
      <c r="AQ102" s="3">
        <v>299</v>
      </c>
      <c r="AR102" s="3" t="str">
        <f>IFERROR(MID(VLOOKUP($B102,Seqs!$A:$B,2,0),AS102,1),"")</f>
        <v>R</v>
      </c>
      <c r="AS102" s="3">
        <v>304</v>
      </c>
      <c r="AT102" s="3" t="str">
        <f>IFERROR(MID(VLOOKUP($B102,Seqs!$A:$B,2,0),AU102,1),"")</f>
        <v>R</v>
      </c>
      <c r="AU102" s="3">
        <v>328</v>
      </c>
      <c r="AV102" s="3" t="str">
        <f>IFERROR(MID(VLOOKUP($B102,Seqs!$A:$B,2,0),AW102,1),"")</f>
        <v>S</v>
      </c>
      <c r="AW102" s="3">
        <v>329</v>
      </c>
      <c r="AX102" s="3" t="str">
        <f>IFERROR(MID(VLOOKUP($B102,Seqs!$A:$B,2,0),AY102,1),"")</f>
        <v>C</v>
      </c>
      <c r="AY102" s="3">
        <v>341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224"/>
        <v>1</v>
      </c>
      <c r="BC102" s="23">
        <f t="shared" si="365"/>
        <v>244</v>
      </c>
      <c r="BD102" s="4" t="s">
        <v>23</v>
      </c>
      <c r="BE102" s="3" t="s">
        <v>1381</v>
      </c>
      <c r="BF102" s="119">
        <v>2.4</v>
      </c>
      <c r="BG102" s="49" t="s">
        <v>1384</v>
      </c>
      <c r="BH102" s="49" t="s">
        <v>1384</v>
      </c>
      <c r="BI102" s="1"/>
      <c r="BJ102" s="70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0">
        <f t="shared" si="366"/>
        <v>29</v>
      </c>
      <c r="BW102" s="71">
        <f t="shared" si="367"/>
        <v>62</v>
      </c>
      <c r="BX102" s="72">
        <f t="shared" si="368"/>
        <v>66</v>
      </c>
      <c r="BY102" s="71">
        <f t="shared" si="369"/>
        <v>98</v>
      </c>
      <c r="BZ102" s="72">
        <f t="shared" si="370"/>
        <v>102</v>
      </c>
      <c r="CA102" s="71" t="str">
        <f t="shared" si="371"/>
        <v>-</v>
      </c>
      <c r="CB102" s="72">
        <f t="shared" si="372"/>
        <v>146</v>
      </c>
      <c r="CC102" s="71">
        <f t="shared" si="373"/>
        <v>191</v>
      </c>
      <c r="CD102" s="72">
        <f t="shared" si="374"/>
        <v>196</v>
      </c>
      <c r="CE102" s="71">
        <f t="shared" si="375"/>
        <v>267</v>
      </c>
      <c r="CF102" s="72">
        <f t="shared" si="376"/>
        <v>304</v>
      </c>
      <c r="CG102" s="71">
        <f t="shared" si="377"/>
        <v>329</v>
      </c>
      <c r="CH102" s="70">
        <f t="shared" si="378"/>
        <v>61</v>
      </c>
      <c r="CI102" s="71">
        <f t="shared" si="379"/>
        <v>65</v>
      </c>
      <c r="CJ102" s="72">
        <f t="shared" si="380"/>
        <v>96</v>
      </c>
      <c r="CK102" s="72">
        <f t="shared" si="381"/>
        <v>101</v>
      </c>
      <c r="CL102" s="72">
        <f t="shared" si="382"/>
        <v>137</v>
      </c>
      <c r="CM102" s="72" t="str">
        <f t="shared" si="383"/>
        <v>-</v>
      </c>
      <c r="CN102" s="72">
        <f t="shared" si="384"/>
        <v>172</v>
      </c>
      <c r="CO102" s="72">
        <f t="shared" si="385"/>
        <v>193</v>
      </c>
      <c r="CP102" s="72">
        <f t="shared" si="386"/>
        <v>229</v>
      </c>
      <c r="CQ102" s="72">
        <f t="shared" si="387"/>
        <v>299</v>
      </c>
      <c r="CR102" s="72">
        <f t="shared" si="388"/>
        <v>328</v>
      </c>
      <c r="CS102" s="72">
        <f t="shared" si="389"/>
        <v>341</v>
      </c>
      <c r="CT102" s="23">
        <f t="shared" si="39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223"/>
        <v>adrb2_human_3D4S</v>
      </c>
      <c r="B103" s="3" t="s">
        <v>126</v>
      </c>
      <c r="C103" s="3" t="s">
        <v>76</v>
      </c>
      <c r="D103" s="3" t="str">
        <f>IFERROR(MID(VLOOKUP($B103,Seqs!$A:$B,2,0),E103,1),"")</f>
        <v>W</v>
      </c>
      <c r="E103" s="3">
        <v>32</v>
      </c>
      <c r="F103" s="3" t="str">
        <f>IFERROR(MID(VLOOKUP($B103,Seqs!$A:$B,2,0),G103,1),"")</f>
        <v>F</v>
      </c>
      <c r="G103" s="3">
        <v>61</v>
      </c>
      <c r="H103" s="3" t="str">
        <f>IFERROR(MID(VLOOKUP($B103,Seqs!$A:$B,2,0),I103,1),"")</f>
        <v>E</v>
      </c>
      <c r="I103" s="23">
        <v>62</v>
      </c>
      <c r="J103" s="3" t="str">
        <f>IFERROR(MID(VLOOKUP($B103,Seqs!$A:$B,2,0),K103,1),"")</f>
        <v>Q</v>
      </c>
      <c r="K103" s="23">
        <v>65</v>
      </c>
      <c r="L103" s="3" t="str">
        <f>IFERROR(MID(VLOOKUP($B103,Seqs!$A:$B,2,0),M103,1),"")</f>
        <v>T</v>
      </c>
      <c r="M103" s="3">
        <v>66</v>
      </c>
      <c r="N103" s="3" t="str">
        <f>IFERROR(MID(VLOOKUP($B103,Seqs!$A:$B,2,0),O103,1),"")</f>
        <v>M</v>
      </c>
      <c r="O103" s="3">
        <v>96</v>
      </c>
      <c r="P103" s="3" t="str">
        <f>IFERROR(MID(VLOOKUP($B103,Seqs!$A:$B,2,0),Q103,1),"")</f>
        <v>M</v>
      </c>
      <c r="Q103" s="3">
        <v>98</v>
      </c>
      <c r="R103" s="3" t="str">
        <f>IFERROR(MID(VLOOKUP($B103,Seqs!$A:$B,2,0),S103,1),"")</f>
        <v>F</v>
      </c>
      <c r="S103" s="3">
        <v>101</v>
      </c>
      <c r="T103" s="3" t="str">
        <f>IFERROR(MID(VLOOKUP($B103,Seqs!$A:$B,2,0),U103,1),"")</f>
        <v>G</v>
      </c>
      <c r="U103" s="3">
        <v>102</v>
      </c>
      <c r="V103" s="3" t="str">
        <f>IFERROR(MID(VLOOKUP($B103,Seqs!$A:$B,2,0),W103,1),"")</f>
        <v>S</v>
      </c>
      <c r="W103" s="3">
        <v>137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T</v>
      </c>
      <c r="AC103" s="9">
        <v>146</v>
      </c>
      <c r="AD103" s="3" t="str">
        <f>IFERROR(MID(VLOOKUP($B103,Seqs!$A:$B,2,0),AE103,1),"")</f>
        <v>H</v>
      </c>
      <c r="AE103" s="3">
        <v>172</v>
      </c>
      <c r="AF103" s="3" t="str">
        <f>IFERROR(MID(VLOOKUP($B103,Seqs!$A:$B,2,0),AG103,1),"")</f>
        <v>C</v>
      </c>
      <c r="AG103" s="3">
        <v>191</v>
      </c>
      <c r="AH103" s="3" t="str">
        <f>IFERROR(MID(VLOOKUP($B103,Seqs!$A:$B,2,0),AI103,1),"")</f>
        <v>F</v>
      </c>
      <c r="AI103" s="3">
        <v>193</v>
      </c>
      <c r="AJ103" s="3" t="str">
        <f>IFERROR(MID(VLOOKUP($B103,Seqs!$A:$B,2,0),AK103,1),"")</f>
        <v>N</v>
      </c>
      <c r="AK103" s="3">
        <v>196</v>
      </c>
      <c r="AL103" s="3" t="str">
        <f>IFERROR(MID(VLOOKUP($B103,Seqs!$A:$B,2,0),AM103,1),"")</f>
        <v>Q</v>
      </c>
      <c r="AM103" s="3">
        <v>229</v>
      </c>
      <c r="AN103" s="3" t="str">
        <f>IFERROR(MID(VLOOKUP($B103,Seqs!$A:$B,2,0),AO103,1),"")</f>
        <v>K</v>
      </c>
      <c r="AO103" s="3">
        <v>267</v>
      </c>
      <c r="AP103" s="3" t="str">
        <f>IFERROR(MID(VLOOKUP($B103,Seqs!$A:$B,2,0),AQ103,1),"")</f>
        <v>Q</v>
      </c>
      <c r="AQ103" s="3">
        <v>299</v>
      </c>
      <c r="AR103" s="3" t="str">
        <f>IFERROR(MID(VLOOKUP($B103,Seqs!$A:$B,2,0),AS103,1),"")</f>
        <v>R</v>
      </c>
      <c r="AS103" s="3">
        <v>304</v>
      </c>
      <c r="AT103" s="3" t="str">
        <f>IFERROR(MID(VLOOKUP($B103,Seqs!$A:$B,2,0),AU103,1),"")</f>
        <v>R</v>
      </c>
      <c r="AU103" s="3">
        <v>328</v>
      </c>
      <c r="AV103" s="3" t="str">
        <f>IFERROR(MID(VLOOKUP($B103,Seqs!$A:$B,2,0),AW103,1),"")</f>
        <v>S</v>
      </c>
      <c r="AW103" s="3">
        <v>329</v>
      </c>
      <c r="AX103" s="3" t="str">
        <f>IFERROR(MID(VLOOKUP($B103,Seqs!$A:$B,2,0),AY103,1),"")</f>
        <v>C</v>
      </c>
      <c r="AY103" s="3">
        <v>341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224"/>
        <v>1</v>
      </c>
      <c r="BC103" s="23">
        <f t="shared" si="365"/>
        <v>241</v>
      </c>
      <c r="BD103" s="4" t="s">
        <v>23</v>
      </c>
      <c r="BE103" s="3" t="s">
        <v>1381</v>
      </c>
      <c r="BF103" s="119">
        <v>2.8</v>
      </c>
      <c r="BG103" s="49" t="s">
        <v>1384</v>
      </c>
      <c r="BH103" s="49" t="s">
        <v>1384</v>
      </c>
      <c r="BI103" s="1"/>
      <c r="BJ103" s="70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0">
        <f t="shared" si="366"/>
        <v>32</v>
      </c>
      <c r="BW103" s="71">
        <f t="shared" si="367"/>
        <v>62</v>
      </c>
      <c r="BX103" s="72">
        <f t="shared" si="368"/>
        <v>66</v>
      </c>
      <c r="BY103" s="71">
        <f t="shared" si="369"/>
        <v>98</v>
      </c>
      <c r="BZ103" s="72">
        <f t="shared" si="370"/>
        <v>102</v>
      </c>
      <c r="CA103" s="71" t="str">
        <f t="shared" si="371"/>
        <v>-</v>
      </c>
      <c r="CB103" s="72">
        <f t="shared" si="372"/>
        <v>146</v>
      </c>
      <c r="CC103" s="71">
        <f t="shared" si="373"/>
        <v>191</v>
      </c>
      <c r="CD103" s="72">
        <f t="shared" si="374"/>
        <v>196</v>
      </c>
      <c r="CE103" s="71">
        <f t="shared" si="375"/>
        <v>267</v>
      </c>
      <c r="CF103" s="72">
        <f t="shared" si="376"/>
        <v>304</v>
      </c>
      <c r="CG103" s="71">
        <f t="shared" si="377"/>
        <v>329</v>
      </c>
      <c r="CH103" s="70">
        <f t="shared" si="378"/>
        <v>61</v>
      </c>
      <c r="CI103" s="71">
        <f t="shared" si="379"/>
        <v>65</v>
      </c>
      <c r="CJ103" s="72">
        <f t="shared" si="380"/>
        <v>96</v>
      </c>
      <c r="CK103" s="72">
        <f t="shared" si="381"/>
        <v>101</v>
      </c>
      <c r="CL103" s="72">
        <f t="shared" si="382"/>
        <v>137</v>
      </c>
      <c r="CM103" s="72" t="str">
        <f t="shared" si="383"/>
        <v>-</v>
      </c>
      <c r="CN103" s="72">
        <f t="shared" si="384"/>
        <v>172</v>
      </c>
      <c r="CO103" s="72">
        <f t="shared" si="385"/>
        <v>193</v>
      </c>
      <c r="CP103" s="72">
        <f t="shared" si="386"/>
        <v>229</v>
      </c>
      <c r="CQ103" s="72">
        <f t="shared" si="387"/>
        <v>299</v>
      </c>
      <c r="CR103" s="72">
        <f t="shared" si="388"/>
        <v>328</v>
      </c>
      <c r="CS103" s="72">
        <f t="shared" si="389"/>
        <v>341</v>
      </c>
      <c r="CT103" s="23">
        <f t="shared" si="39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223"/>
        <v>adrb2_human_3NY8</v>
      </c>
      <c r="B104" s="3" t="s">
        <v>126</v>
      </c>
      <c r="C104" s="3" t="s">
        <v>1339</v>
      </c>
      <c r="D104" s="3" t="str">
        <f>IFERROR(MID(VLOOKUP($B104,Seqs!$A:$B,2,0),E104,1),"")</f>
        <v>W</v>
      </c>
      <c r="E104" s="3">
        <v>32</v>
      </c>
      <c r="F104" s="3" t="str">
        <f>IFERROR(MID(VLOOKUP($B104,Seqs!$A:$B,2,0),G104,1),"")</f>
        <v>F</v>
      </c>
      <c r="G104" s="3">
        <v>61</v>
      </c>
      <c r="H104" s="3" t="str">
        <f>IFERROR(MID(VLOOKUP($B104,Seqs!$A:$B,2,0),I104,1),"")</f>
        <v>E</v>
      </c>
      <c r="I104" s="23">
        <v>62</v>
      </c>
      <c r="J104" s="3" t="str">
        <f>IFERROR(MID(VLOOKUP($B104,Seqs!$A:$B,2,0),K104,1),"")</f>
        <v>Q</v>
      </c>
      <c r="K104" s="23">
        <v>65</v>
      </c>
      <c r="L104" s="3" t="str">
        <f>IFERROR(MID(VLOOKUP($B104,Seqs!$A:$B,2,0),M104,1),"")</f>
        <v>T</v>
      </c>
      <c r="M104" s="3">
        <v>66</v>
      </c>
      <c r="N104" s="3" t="str">
        <f>IFERROR(MID(VLOOKUP($B104,Seqs!$A:$B,2,0),O104,1),"")</f>
        <v>M</v>
      </c>
      <c r="O104" s="3">
        <v>96</v>
      </c>
      <c r="P104" s="3" t="str">
        <f>IFERROR(MID(VLOOKUP($B104,Seqs!$A:$B,2,0),Q104,1),"")</f>
        <v>M</v>
      </c>
      <c r="Q104" s="3">
        <v>98</v>
      </c>
      <c r="R104" s="3" t="str">
        <f>IFERROR(MID(VLOOKUP($B104,Seqs!$A:$B,2,0),S104,1),"")</f>
        <v>F</v>
      </c>
      <c r="S104" s="3">
        <v>101</v>
      </c>
      <c r="T104" s="3" t="str">
        <f>IFERROR(MID(VLOOKUP($B104,Seqs!$A:$B,2,0),U104,1),"")</f>
        <v>G</v>
      </c>
      <c r="U104" s="3">
        <v>102</v>
      </c>
      <c r="V104" s="3" t="str">
        <f>IFERROR(MID(VLOOKUP($B104,Seqs!$A:$B,2,0),W104,1),"")</f>
        <v>S</v>
      </c>
      <c r="W104" s="3">
        <v>137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T</v>
      </c>
      <c r="AC104" s="9">
        <v>146</v>
      </c>
      <c r="AD104" s="3" t="str">
        <f>IFERROR(MID(VLOOKUP($B104,Seqs!$A:$B,2,0),AE104,1),"")</f>
        <v>H</v>
      </c>
      <c r="AE104" s="3">
        <v>172</v>
      </c>
      <c r="AF104" s="3" t="str">
        <f>IFERROR(MID(VLOOKUP($B104,Seqs!$A:$B,2,0),AG104,1),"")</f>
        <v>C</v>
      </c>
      <c r="AG104" s="3">
        <v>191</v>
      </c>
      <c r="AH104" s="3" t="str">
        <f>IFERROR(MID(VLOOKUP($B104,Seqs!$A:$B,2,0),AI104,1),"")</f>
        <v>F</v>
      </c>
      <c r="AI104" s="3">
        <v>193</v>
      </c>
      <c r="AJ104" s="3" t="str">
        <f>IFERROR(MID(VLOOKUP($B104,Seqs!$A:$B,2,0),AK104,1),"")</f>
        <v>N</v>
      </c>
      <c r="AK104" s="3">
        <v>196</v>
      </c>
      <c r="AL104" s="3" t="str">
        <f>IFERROR(MID(VLOOKUP($B104,Seqs!$A:$B,2,0),AM104,1),"")</f>
        <v>Q</v>
      </c>
      <c r="AM104" s="3">
        <v>229</v>
      </c>
      <c r="AN104" s="3" t="str">
        <f>IFERROR(MID(VLOOKUP($B104,Seqs!$A:$B,2,0),AO104,1),"")</f>
        <v>K</v>
      </c>
      <c r="AO104" s="3">
        <v>267</v>
      </c>
      <c r="AP104" s="3" t="str">
        <f>IFERROR(MID(VLOOKUP($B104,Seqs!$A:$B,2,0),AQ104,1),"")</f>
        <v>Q</v>
      </c>
      <c r="AQ104" s="3">
        <v>299</v>
      </c>
      <c r="AR104" s="3" t="str">
        <f>IFERROR(MID(VLOOKUP($B104,Seqs!$A:$B,2,0),AS104,1),"")</f>
        <v>R</v>
      </c>
      <c r="AS104" s="3">
        <v>304</v>
      </c>
      <c r="AT104" s="3" t="str">
        <f>IFERROR(MID(VLOOKUP($B104,Seqs!$A:$B,2,0),AU104,1),"")</f>
        <v>R</v>
      </c>
      <c r="AU104" s="3">
        <v>328</v>
      </c>
      <c r="AV104" s="3" t="str">
        <f>IFERROR(MID(VLOOKUP($B104,Seqs!$A:$B,2,0),AW104,1),"")</f>
        <v>S</v>
      </c>
      <c r="AW104" s="3">
        <v>329</v>
      </c>
      <c r="AX104" s="3" t="str">
        <f>IFERROR(MID(VLOOKUP($B104,Seqs!$A:$B,2,0),AY104,1),"")</f>
        <v>C</v>
      </c>
      <c r="AY104" s="3">
        <v>341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224"/>
        <v>1</v>
      </c>
      <c r="BC104" s="23">
        <f t="shared" si="365"/>
        <v>241</v>
      </c>
      <c r="BD104" s="4" t="s">
        <v>23</v>
      </c>
      <c r="BE104" s="3" t="s">
        <v>1381</v>
      </c>
      <c r="BF104" s="119">
        <v>2.84</v>
      </c>
      <c r="BG104" s="49" t="s">
        <v>1384</v>
      </c>
      <c r="BH104" s="49" t="s">
        <v>1384</v>
      </c>
      <c r="BI104" s="1"/>
      <c r="BJ104" s="70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0">
        <f t="shared" si="366"/>
        <v>32</v>
      </c>
      <c r="BW104" s="71">
        <f t="shared" si="367"/>
        <v>62</v>
      </c>
      <c r="BX104" s="72">
        <f t="shared" si="368"/>
        <v>66</v>
      </c>
      <c r="BY104" s="71">
        <f t="shared" si="369"/>
        <v>98</v>
      </c>
      <c r="BZ104" s="72">
        <f t="shared" si="370"/>
        <v>102</v>
      </c>
      <c r="CA104" s="71" t="str">
        <f t="shared" si="371"/>
        <v>-</v>
      </c>
      <c r="CB104" s="72">
        <f t="shared" si="372"/>
        <v>146</v>
      </c>
      <c r="CC104" s="71">
        <f t="shared" si="373"/>
        <v>191</v>
      </c>
      <c r="CD104" s="72">
        <f t="shared" si="374"/>
        <v>196</v>
      </c>
      <c r="CE104" s="71">
        <f t="shared" si="375"/>
        <v>267</v>
      </c>
      <c r="CF104" s="72">
        <f t="shared" si="376"/>
        <v>304</v>
      </c>
      <c r="CG104" s="71">
        <f t="shared" si="377"/>
        <v>329</v>
      </c>
      <c r="CH104" s="70">
        <f t="shared" si="378"/>
        <v>61</v>
      </c>
      <c r="CI104" s="71">
        <f t="shared" si="379"/>
        <v>65</v>
      </c>
      <c r="CJ104" s="72">
        <f t="shared" si="380"/>
        <v>96</v>
      </c>
      <c r="CK104" s="72">
        <f t="shared" si="381"/>
        <v>101</v>
      </c>
      <c r="CL104" s="72">
        <f t="shared" si="382"/>
        <v>137</v>
      </c>
      <c r="CM104" s="72" t="str">
        <f t="shared" si="383"/>
        <v>-</v>
      </c>
      <c r="CN104" s="72">
        <f t="shared" si="384"/>
        <v>172</v>
      </c>
      <c r="CO104" s="72">
        <f t="shared" si="385"/>
        <v>193</v>
      </c>
      <c r="CP104" s="72">
        <f t="shared" si="386"/>
        <v>229</v>
      </c>
      <c r="CQ104" s="72">
        <f t="shared" si="387"/>
        <v>299</v>
      </c>
      <c r="CR104" s="72">
        <f t="shared" si="388"/>
        <v>328</v>
      </c>
      <c r="CS104" s="72">
        <f t="shared" si="389"/>
        <v>341</v>
      </c>
      <c r="CT104" s="23">
        <f t="shared" si="39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223"/>
        <v>adrb2_human_3NY9</v>
      </c>
      <c r="B105" s="3" t="s">
        <v>126</v>
      </c>
      <c r="C105" s="3" t="s">
        <v>1030</v>
      </c>
      <c r="D105" s="3" t="str">
        <f>IFERROR(MID(VLOOKUP($B105,Seqs!$A:$B,2,0),E105,1),"")</f>
        <v>W</v>
      </c>
      <c r="E105" s="3">
        <v>32</v>
      </c>
      <c r="F105" s="3" t="str">
        <f>IFERROR(MID(VLOOKUP($B105,Seqs!$A:$B,2,0),G105,1),"")</f>
        <v>F</v>
      </c>
      <c r="G105" s="3">
        <v>61</v>
      </c>
      <c r="H105" s="3" t="str">
        <f>IFERROR(MID(VLOOKUP($B105,Seqs!$A:$B,2,0),I105,1),"")</f>
        <v>E</v>
      </c>
      <c r="I105" s="23">
        <v>62</v>
      </c>
      <c r="J105" s="3" t="str">
        <f>IFERROR(MID(VLOOKUP($B105,Seqs!$A:$B,2,0),K105,1),"")</f>
        <v>Q</v>
      </c>
      <c r="K105" s="23">
        <v>65</v>
      </c>
      <c r="L105" s="3" t="str">
        <f>IFERROR(MID(VLOOKUP($B105,Seqs!$A:$B,2,0),M105,1),"")</f>
        <v>T</v>
      </c>
      <c r="M105" s="3">
        <v>66</v>
      </c>
      <c r="N105" s="3" t="str">
        <f>IFERROR(MID(VLOOKUP($B105,Seqs!$A:$B,2,0),O105,1),"")</f>
        <v>M</v>
      </c>
      <c r="O105" s="3">
        <v>96</v>
      </c>
      <c r="P105" s="3" t="str">
        <f>IFERROR(MID(VLOOKUP($B105,Seqs!$A:$B,2,0),Q105,1),"")</f>
        <v>M</v>
      </c>
      <c r="Q105" s="3">
        <v>98</v>
      </c>
      <c r="R105" s="3" t="str">
        <f>IFERROR(MID(VLOOKUP($B105,Seqs!$A:$B,2,0),S105,1),"")</f>
        <v>F</v>
      </c>
      <c r="S105" s="3">
        <v>101</v>
      </c>
      <c r="T105" s="3" t="str">
        <f>IFERROR(MID(VLOOKUP($B105,Seqs!$A:$B,2,0),U105,1),"")</f>
        <v>G</v>
      </c>
      <c r="U105" s="3">
        <v>102</v>
      </c>
      <c r="V105" s="3" t="str">
        <f>IFERROR(MID(VLOOKUP($B105,Seqs!$A:$B,2,0),W105,1),"")</f>
        <v>S</v>
      </c>
      <c r="W105" s="3">
        <v>137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T</v>
      </c>
      <c r="AC105" s="9">
        <v>146</v>
      </c>
      <c r="AD105" s="3" t="str">
        <f>IFERROR(MID(VLOOKUP($B105,Seqs!$A:$B,2,0),AE105,1),"")</f>
        <v>H</v>
      </c>
      <c r="AE105" s="3">
        <v>172</v>
      </c>
      <c r="AF105" s="3" t="str">
        <f>IFERROR(MID(VLOOKUP($B105,Seqs!$A:$B,2,0),AG105,1),"")</f>
        <v>C</v>
      </c>
      <c r="AG105" s="3">
        <v>191</v>
      </c>
      <c r="AH105" s="3" t="str">
        <f>IFERROR(MID(VLOOKUP($B105,Seqs!$A:$B,2,0),AI105,1),"")</f>
        <v>F</v>
      </c>
      <c r="AI105" s="3">
        <v>193</v>
      </c>
      <c r="AJ105" s="3" t="str">
        <f>IFERROR(MID(VLOOKUP($B105,Seqs!$A:$B,2,0),AK105,1),"")</f>
        <v>N</v>
      </c>
      <c r="AK105" s="3">
        <v>196</v>
      </c>
      <c r="AL105" s="3" t="str">
        <f>IFERROR(MID(VLOOKUP($B105,Seqs!$A:$B,2,0),AM105,1),"")</f>
        <v>Q</v>
      </c>
      <c r="AM105" s="3">
        <v>229</v>
      </c>
      <c r="AN105" s="3" t="str">
        <f>IFERROR(MID(VLOOKUP($B105,Seqs!$A:$B,2,0),AO105,1),"")</f>
        <v>K</v>
      </c>
      <c r="AO105" s="3">
        <v>267</v>
      </c>
      <c r="AP105" s="3" t="str">
        <f>IFERROR(MID(VLOOKUP($B105,Seqs!$A:$B,2,0),AQ105,1),"")</f>
        <v>Q</v>
      </c>
      <c r="AQ105" s="3">
        <v>299</v>
      </c>
      <c r="AR105" s="3" t="str">
        <f>IFERROR(MID(VLOOKUP($B105,Seqs!$A:$B,2,0),AS105,1),"")</f>
        <v>R</v>
      </c>
      <c r="AS105" s="3">
        <v>304</v>
      </c>
      <c r="AT105" s="3" t="str">
        <f>IFERROR(MID(VLOOKUP($B105,Seqs!$A:$B,2,0),AU105,1),"")</f>
        <v>R</v>
      </c>
      <c r="AU105" s="3">
        <v>328</v>
      </c>
      <c r="AV105" s="3" t="str">
        <f>IFERROR(MID(VLOOKUP($B105,Seqs!$A:$B,2,0),AW105,1),"")</f>
        <v>S</v>
      </c>
      <c r="AW105" s="3">
        <v>329</v>
      </c>
      <c r="AX105" s="3" t="str">
        <f>IFERROR(MID(VLOOKUP($B105,Seqs!$A:$B,2,0),AY105,1),"")</f>
        <v>C</v>
      </c>
      <c r="AY105" s="3">
        <v>341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224"/>
        <v>1</v>
      </c>
      <c r="BC105" s="23">
        <f t="shared" si="365"/>
        <v>241</v>
      </c>
      <c r="BD105" s="4" t="s">
        <v>23</v>
      </c>
      <c r="BE105" s="3" t="s">
        <v>1381</v>
      </c>
      <c r="BF105" s="119">
        <v>2.84</v>
      </c>
      <c r="BG105" s="49" t="s">
        <v>1384</v>
      </c>
      <c r="BH105" s="49" t="s">
        <v>1384</v>
      </c>
      <c r="BI105" s="1"/>
      <c r="BJ105" s="70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0">
        <f t="shared" si="366"/>
        <v>32</v>
      </c>
      <c r="BW105" s="71">
        <f t="shared" si="367"/>
        <v>62</v>
      </c>
      <c r="BX105" s="72">
        <f t="shared" si="368"/>
        <v>66</v>
      </c>
      <c r="BY105" s="71">
        <f t="shared" si="369"/>
        <v>98</v>
      </c>
      <c r="BZ105" s="72">
        <f t="shared" si="370"/>
        <v>102</v>
      </c>
      <c r="CA105" s="71" t="str">
        <f t="shared" si="371"/>
        <v>-</v>
      </c>
      <c r="CB105" s="72">
        <f t="shared" si="372"/>
        <v>146</v>
      </c>
      <c r="CC105" s="71">
        <f t="shared" si="373"/>
        <v>191</v>
      </c>
      <c r="CD105" s="72">
        <f t="shared" si="374"/>
        <v>196</v>
      </c>
      <c r="CE105" s="71">
        <f t="shared" si="375"/>
        <v>267</v>
      </c>
      <c r="CF105" s="72">
        <f t="shared" si="376"/>
        <v>304</v>
      </c>
      <c r="CG105" s="71">
        <f t="shared" si="377"/>
        <v>329</v>
      </c>
      <c r="CH105" s="70">
        <f t="shared" si="378"/>
        <v>61</v>
      </c>
      <c r="CI105" s="71">
        <f t="shared" si="379"/>
        <v>65</v>
      </c>
      <c r="CJ105" s="72">
        <f t="shared" si="380"/>
        <v>96</v>
      </c>
      <c r="CK105" s="72">
        <f t="shared" si="381"/>
        <v>101</v>
      </c>
      <c r="CL105" s="72">
        <f t="shared" si="382"/>
        <v>137</v>
      </c>
      <c r="CM105" s="72" t="str">
        <f t="shared" si="383"/>
        <v>-</v>
      </c>
      <c r="CN105" s="72">
        <f t="shared" si="384"/>
        <v>172</v>
      </c>
      <c r="CO105" s="72">
        <f t="shared" si="385"/>
        <v>193</v>
      </c>
      <c r="CP105" s="72">
        <f t="shared" si="386"/>
        <v>229</v>
      </c>
      <c r="CQ105" s="72">
        <f t="shared" si="387"/>
        <v>299</v>
      </c>
      <c r="CR105" s="72">
        <f t="shared" si="388"/>
        <v>328</v>
      </c>
      <c r="CS105" s="72">
        <f t="shared" si="389"/>
        <v>341</v>
      </c>
      <c r="CT105" s="23">
        <f t="shared" si="39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223"/>
        <v>adrb2_human_3NYA</v>
      </c>
      <c r="B106" s="3" t="s">
        <v>126</v>
      </c>
      <c r="C106" s="3" t="s">
        <v>1340</v>
      </c>
      <c r="D106" s="3" t="str">
        <f>IFERROR(MID(VLOOKUP($B106,Seqs!$A:$B,2,0),E106,1),"")</f>
        <v>W</v>
      </c>
      <c r="E106" s="3">
        <v>32</v>
      </c>
      <c r="F106" s="3" t="str">
        <f>IFERROR(MID(VLOOKUP($B106,Seqs!$A:$B,2,0),G106,1),"")</f>
        <v>F</v>
      </c>
      <c r="G106" s="3">
        <v>61</v>
      </c>
      <c r="H106" s="3" t="str">
        <f>IFERROR(MID(VLOOKUP($B106,Seqs!$A:$B,2,0),I106,1),"")</f>
        <v>E</v>
      </c>
      <c r="I106" s="23">
        <v>62</v>
      </c>
      <c r="J106" s="3" t="str">
        <f>IFERROR(MID(VLOOKUP($B106,Seqs!$A:$B,2,0),K106,1),"")</f>
        <v>Q</v>
      </c>
      <c r="K106" s="23">
        <v>65</v>
      </c>
      <c r="L106" s="3" t="str">
        <f>IFERROR(MID(VLOOKUP($B106,Seqs!$A:$B,2,0),M106,1),"")</f>
        <v>T</v>
      </c>
      <c r="M106" s="3">
        <v>66</v>
      </c>
      <c r="N106" s="3" t="str">
        <f>IFERROR(MID(VLOOKUP($B106,Seqs!$A:$B,2,0),O106,1),"")</f>
        <v>M</v>
      </c>
      <c r="O106" s="3">
        <v>96</v>
      </c>
      <c r="P106" s="3" t="str">
        <f>IFERROR(MID(VLOOKUP($B106,Seqs!$A:$B,2,0),Q106,1),"")</f>
        <v>M</v>
      </c>
      <c r="Q106" s="3">
        <v>98</v>
      </c>
      <c r="R106" s="3" t="str">
        <f>IFERROR(MID(VLOOKUP($B106,Seqs!$A:$B,2,0),S106,1),"")</f>
        <v>F</v>
      </c>
      <c r="S106" s="3">
        <v>101</v>
      </c>
      <c r="T106" s="3" t="str">
        <f>IFERROR(MID(VLOOKUP($B106,Seqs!$A:$B,2,0),U106,1),"")</f>
        <v>G</v>
      </c>
      <c r="U106" s="3">
        <v>102</v>
      </c>
      <c r="V106" s="3" t="str">
        <f>IFERROR(MID(VLOOKUP($B106,Seqs!$A:$B,2,0),W106,1),"")</f>
        <v>S</v>
      </c>
      <c r="W106" s="3">
        <v>137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T</v>
      </c>
      <c r="AC106" s="9">
        <v>146</v>
      </c>
      <c r="AD106" s="3" t="str">
        <f>IFERROR(MID(VLOOKUP($B106,Seqs!$A:$B,2,0),AE106,1),"")</f>
        <v>H</v>
      </c>
      <c r="AE106" s="3">
        <v>172</v>
      </c>
      <c r="AF106" s="3" t="str">
        <f>IFERROR(MID(VLOOKUP($B106,Seqs!$A:$B,2,0),AG106,1),"")</f>
        <v>C</v>
      </c>
      <c r="AG106" s="3">
        <v>191</v>
      </c>
      <c r="AH106" s="3" t="str">
        <f>IFERROR(MID(VLOOKUP($B106,Seqs!$A:$B,2,0),AI106,1),"")</f>
        <v>F</v>
      </c>
      <c r="AI106" s="3">
        <v>193</v>
      </c>
      <c r="AJ106" s="3" t="str">
        <f>IFERROR(MID(VLOOKUP($B106,Seqs!$A:$B,2,0),AK106,1),"")</f>
        <v>N</v>
      </c>
      <c r="AK106" s="3">
        <v>196</v>
      </c>
      <c r="AL106" s="3" t="str">
        <f>IFERROR(MID(VLOOKUP($B106,Seqs!$A:$B,2,0),AM106,1),"")</f>
        <v>Q</v>
      </c>
      <c r="AM106" s="3">
        <v>229</v>
      </c>
      <c r="AN106" s="3" t="str">
        <f>IFERROR(MID(VLOOKUP($B106,Seqs!$A:$B,2,0),AO106,1),"")</f>
        <v>K</v>
      </c>
      <c r="AO106" s="3">
        <v>267</v>
      </c>
      <c r="AP106" s="3" t="str">
        <f>IFERROR(MID(VLOOKUP($B106,Seqs!$A:$B,2,0),AQ106,1),"")</f>
        <v>Q</v>
      </c>
      <c r="AQ106" s="3">
        <v>299</v>
      </c>
      <c r="AR106" s="3" t="str">
        <f>IFERROR(MID(VLOOKUP($B106,Seqs!$A:$B,2,0),AS106,1),"")</f>
        <v>R</v>
      </c>
      <c r="AS106" s="3">
        <v>304</v>
      </c>
      <c r="AT106" s="3" t="str">
        <f>IFERROR(MID(VLOOKUP($B106,Seqs!$A:$B,2,0),AU106,1),"")</f>
        <v>R</v>
      </c>
      <c r="AU106" s="3">
        <v>328</v>
      </c>
      <c r="AV106" s="3" t="str">
        <f>IFERROR(MID(VLOOKUP($B106,Seqs!$A:$B,2,0),AW106,1),"")</f>
        <v>S</v>
      </c>
      <c r="AW106" s="3">
        <v>329</v>
      </c>
      <c r="AX106" s="3" t="str">
        <f>IFERROR(MID(VLOOKUP($B106,Seqs!$A:$B,2,0),AY106,1),"")</f>
        <v>C</v>
      </c>
      <c r="AY106" s="3">
        <v>341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224"/>
        <v>1</v>
      </c>
      <c r="BC106" s="23">
        <f t="shared" si="365"/>
        <v>241</v>
      </c>
      <c r="BD106" s="4" t="s">
        <v>23</v>
      </c>
      <c r="BE106" s="3" t="s">
        <v>1381</v>
      </c>
      <c r="BF106" s="119">
        <v>3.16</v>
      </c>
      <c r="BG106" s="49" t="s">
        <v>1384</v>
      </c>
      <c r="BH106" s="49" t="s">
        <v>1384</v>
      </c>
      <c r="BI106" s="1"/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si="366"/>
        <v>32</v>
      </c>
      <c r="BW106" s="71">
        <f t="shared" si="367"/>
        <v>62</v>
      </c>
      <c r="BX106" s="72">
        <f t="shared" si="368"/>
        <v>66</v>
      </c>
      <c r="BY106" s="71">
        <f t="shared" si="369"/>
        <v>98</v>
      </c>
      <c r="BZ106" s="72">
        <f t="shared" si="370"/>
        <v>102</v>
      </c>
      <c r="CA106" s="71" t="str">
        <f t="shared" si="371"/>
        <v>-</v>
      </c>
      <c r="CB106" s="72">
        <f t="shared" si="372"/>
        <v>146</v>
      </c>
      <c r="CC106" s="71">
        <f t="shared" si="373"/>
        <v>191</v>
      </c>
      <c r="CD106" s="72">
        <f t="shared" si="374"/>
        <v>196</v>
      </c>
      <c r="CE106" s="71">
        <f t="shared" si="375"/>
        <v>267</v>
      </c>
      <c r="CF106" s="72">
        <f t="shared" si="376"/>
        <v>304</v>
      </c>
      <c r="CG106" s="71">
        <f t="shared" si="377"/>
        <v>329</v>
      </c>
      <c r="CH106" s="70">
        <f t="shared" si="378"/>
        <v>61</v>
      </c>
      <c r="CI106" s="71">
        <f t="shared" si="379"/>
        <v>65</v>
      </c>
      <c r="CJ106" s="72">
        <f t="shared" si="380"/>
        <v>96</v>
      </c>
      <c r="CK106" s="72">
        <f t="shared" si="381"/>
        <v>101</v>
      </c>
      <c r="CL106" s="72">
        <f t="shared" si="382"/>
        <v>137</v>
      </c>
      <c r="CM106" s="72" t="str">
        <f t="shared" si="383"/>
        <v>-</v>
      </c>
      <c r="CN106" s="72">
        <f t="shared" si="384"/>
        <v>172</v>
      </c>
      <c r="CO106" s="72">
        <f t="shared" si="385"/>
        <v>193</v>
      </c>
      <c r="CP106" s="72">
        <f t="shared" si="386"/>
        <v>229</v>
      </c>
      <c r="CQ106" s="72">
        <f t="shared" si="387"/>
        <v>299</v>
      </c>
      <c r="CR106" s="72">
        <f t="shared" si="388"/>
        <v>328</v>
      </c>
      <c r="CS106" s="72">
        <f t="shared" si="389"/>
        <v>341</v>
      </c>
      <c r="CT106" s="23">
        <f t="shared" si="390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223"/>
        <v>adrb2_human_3P0G</v>
      </c>
      <c r="B107" s="3" t="s">
        <v>126</v>
      </c>
      <c r="C107" s="3" t="s">
        <v>66</v>
      </c>
      <c r="D107" s="3" t="str">
        <f>IFERROR(MID(VLOOKUP($B107,Seqs!$A:$B,2,0),E107,1),"")</f>
        <v>Q</v>
      </c>
      <c r="E107" s="3">
        <v>26</v>
      </c>
      <c r="F107" s="3" t="str">
        <f>IFERROR(MID(VLOOKUP($B107,Seqs!$A:$B,2,0),G107,1),"")</f>
        <v>F</v>
      </c>
      <c r="G107" s="3">
        <v>61</v>
      </c>
      <c r="H107" s="3" t="str">
        <f>IFERROR(MID(VLOOKUP($B107,Seqs!$A:$B,2,0),I107,1),"")</f>
        <v>E</v>
      </c>
      <c r="I107" s="23">
        <v>62</v>
      </c>
      <c r="J107" s="3" t="str">
        <f>IFERROR(MID(VLOOKUP($B107,Seqs!$A:$B,2,0),K107,1),"")</f>
        <v>Q</v>
      </c>
      <c r="K107" s="23">
        <v>65</v>
      </c>
      <c r="L107" s="3" t="str">
        <f>IFERROR(MID(VLOOKUP($B107,Seqs!$A:$B,2,0),M107,1),"")</f>
        <v>T</v>
      </c>
      <c r="M107" s="3">
        <v>66</v>
      </c>
      <c r="N107" s="3" t="str">
        <f>IFERROR(MID(VLOOKUP($B107,Seqs!$A:$B,2,0),O107,1),"")</f>
        <v>M</v>
      </c>
      <c r="O107" s="3">
        <v>96</v>
      </c>
      <c r="P107" s="3" t="str">
        <f>IFERROR(MID(VLOOKUP($B107,Seqs!$A:$B,2,0),Q107,1),"")</f>
        <v>M</v>
      </c>
      <c r="Q107" s="3">
        <v>98</v>
      </c>
      <c r="R107" s="3" t="str">
        <f>IFERROR(MID(VLOOKUP($B107,Seqs!$A:$B,2,0),S107,1),"")</f>
        <v>F</v>
      </c>
      <c r="S107" s="3">
        <v>101</v>
      </c>
      <c r="T107" s="3" t="str">
        <f>IFERROR(MID(VLOOKUP($B107,Seqs!$A:$B,2,0),U107,1),"")</f>
        <v>G</v>
      </c>
      <c r="U107" s="3">
        <v>102</v>
      </c>
      <c r="V107" s="3" t="str">
        <f>IFERROR(MID(VLOOKUP($B107,Seqs!$A:$B,2,0),W107,1),"")</f>
        <v>S</v>
      </c>
      <c r="W107" s="3">
        <v>137</v>
      </c>
      <c r="X107" s="3" t="str">
        <f>IFERROR(MID(VLOOKUP($B107,Seqs!$A:$B,2,0),Y107,1),"")</f>
        <v>P</v>
      </c>
      <c r="Y107" s="3">
        <v>138</v>
      </c>
      <c r="Z107" s="3" t="str">
        <f>IFERROR(MID(VLOOKUP($B107,Seqs!$A:$B,2,0),AA107,1),"")</f>
        <v>L</v>
      </c>
      <c r="AA107" s="3">
        <v>145</v>
      </c>
      <c r="AB107" s="3" t="str">
        <f>IFERROR(MID(VLOOKUP($B107,Seqs!$A:$B,2,0),AC107,1),"")</f>
        <v>T</v>
      </c>
      <c r="AC107" s="9">
        <v>146</v>
      </c>
      <c r="AD107" s="3" t="str">
        <f>IFERROR(MID(VLOOKUP($B107,Seqs!$A:$B,2,0),AE107,1),"")</f>
        <v>H</v>
      </c>
      <c r="AE107" s="3">
        <v>172</v>
      </c>
      <c r="AF107" s="3" t="str">
        <f>IFERROR(MID(VLOOKUP($B107,Seqs!$A:$B,2,0),AG107,1),"")</f>
        <v>C</v>
      </c>
      <c r="AG107" s="3">
        <v>191</v>
      </c>
      <c r="AH107" s="3" t="str">
        <f>IFERROR(MID(VLOOKUP($B107,Seqs!$A:$B,2,0),AI107,1),"")</f>
        <v>F</v>
      </c>
      <c r="AI107" s="3">
        <v>193</v>
      </c>
      <c r="AJ107" s="3" t="str">
        <f>IFERROR(MID(VLOOKUP($B107,Seqs!$A:$B,2,0),AK107,1),"")</f>
        <v>N</v>
      </c>
      <c r="AK107" s="3">
        <v>196</v>
      </c>
      <c r="AL107" s="3" t="str">
        <f>IFERROR(MID(VLOOKUP($B107,Seqs!$A:$B,2,0),AM107,1),"")</f>
        <v>A</v>
      </c>
      <c r="AM107" s="3">
        <v>226</v>
      </c>
      <c r="AN107" s="3" t="str">
        <f>IFERROR(MID(VLOOKUP($B107,Seqs!$A:$B,2,0),AO107,1),"")</f>
        <v>H</v>
      </c>
      <c r="AO107" s="3">
        <v>269</v>
      </c>
      <c r="AP107" s="3" t="str">
        <f>IFERROR(MID(VLOOKUP($B107,Seqs!$A:$B,2,0),AQ107,1),"")</f>
        <v>Q</v>
      </c>
      <c r="AQ107" s="3">
        <v>299</v>
      </c>
      <c r="AR107" s="3" t="str">
        <f>IFERROR(MID(VLOOKUP($B107,Seqs!$A:$B,2,0),AS107,1),"")</f>
        <v>R</v>
      </c>
      <c r="AS107" s="3">
        <v>304</v>
      </c>
      <c r="AT107" s="3" t="str">
        <f>IFERROR(MID(VLOOKUP($B107,Seqs!$A:$B,2,0),AU107,1),"")</f>
        <v>R</v>
      </c>
      <c r="AU107" s="3">
        <v>328</v>
      </c>
      <c r="AV107" s="3" t="str">
        <f>IFERROR(MID(VLOOKUP($B107,Seqs!$A:$B,2,0),AW107,1),"")</f>
        <v>S</v>
      </c>
      <c r="AW107" s="3">
        <v>329</v>
      </c>
      <c r="AX107" s="3" t="str">
        <f>IFERROR(MID(VLOOKUP($B107,Seqs!$A:$B,2,0),AY107,1),"")</f>
        <v>C</v>
      </c>
      <c r="AY107" s="3">
        <v>341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224"/>
        <v>1</v>
      </c>
      <c r="BC107" s="23">
        <f t="shared" si="365"/>
        <v>249</v>
      </c>
      <c r="BD107" s="16" t="s">
        <v>23</v>
      </c>
      <c r="BE107" s="3" t="s">
        <v>1297</v>
      </c>
      <c r="BF107" s="119">
        <v>3.5</v>
      </c>
      <c r="BG107" s="49" t="s">
        <v>1384</v>
      </c>
      <c r="BH107" s="49" t="s">
        <v>1384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366"/>
        <v>26</v>
      </c>
      <c r="BW107" s="71">
        <f t="shared" si="367"/>
        <v>62</v>
      </c>
      <c r="BX107" s="72">
        <f t="shared" si="368"/>
        <v>66</v>
      </c>
      <c r="BY107" s="71">
        <f t="shared" si="369"/>
        <v>98</v>
      </c>
      <c r="BZ107" s="72">
        <f t="shared" si="370"/>
        <v>102</v>
      </c>
      <c r="CA107" s="71">
        <f t="shared" si="371"/>
        <v>138</v>
      </c>
      <c r="CB107" s="72">
        <f t="shared" si="372"/>
        <v>146</v>
      </c>
      <c r="CC107" s="71">
        <f t="shared" si="373"/>
        <v>191</v>
      </c>
      <c r="CD107" s="72">
        <f t="shared" si="374"/>
        <v>196</v>
      </c>
      <c r="CE107" s="71">
        <f t="shared" si="375"/>
        <v>269</v>
      </c>
      <c r="CF107" s="72">
        <f t="shared" si="376"/>
        <v>304</v>
      </c>
      <c r="CG107" s="71">
        <f t="shared" si="377"/>
        <v>329</v>
      </c>
      <c r="CH107" s="70">
        <f t="shared" si="378"/>
        <v>61</v>
      </c>
      <c r="CI107" s="71">
        <f t="shared" si="379"/>
        <v>65</v>
      </c>
      <c r="CJ107" s="72">
        <f t="shared" si="380"/>
        <v>96</v>
      </c>
      <c r="CK107" s="72">
        <f t="shared" si="381"/>
        <v>101</v>
      </c>
      <c r="CL107" s="72">
        <f t="shared" si="382"/>
        <v>137</v>
      </c>
      <c r="CM107" s="72">
        <f t="shared" si="383"/>
        <v>145</v>
      </c>
      <c r="CN107" s="72">
        <f t="shared" si="384"/>
        <v>172</v>
      </c>
      <c r="CO107" s="72">
        <f t="shared" si="385"/>
        <v>193</v>
      </c>
      <c r="CP107" s="72">
        <f t="shared" si="386"/>
        <v>226</v>
      </c>
      <c r="CQ107" s="72">
        <f t="shared" si="387"/>
        <v>299</v>
      </c>
      <c r="CR107" s="72">
        <f t="shared" si="388"/>
        <v>328</v>
      </c>
      <c r="CS107" s="72">
        <f t="shared" si="389"/>
        <v>341</v>
      </c>
      <c r="CT107" s="23">
        <f t="shared" si="390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223"/>
        <v>adrb2_human_3PDS</v>
      </c>
      <c r="B108" s="3" t="s">
        <v>126</v>
      </c>
      <c r="C108" s="3" t="s">
        <v>1341</v>
      </c>
      <c r="D108" s="3" t="str">
        <f>IFERROR(MID(VLOOKUP($B108,Seqs!$A:$B,2,0),E108,1),"")</f>
        <v>D</v>
      </c>
      <c r="E108" s="3">
        <v>29</v>
      </c>
      <c r="F108" s="3" t="str">
        <f>IFERROR(MID(VLOOKUP($B108,Seqs!$A:$B,2,0),G108,1),"")</f>
        <v>F</v>
      </c>
      <c r="G108" s="3">
        <v>61</v>
      </c>
      <c r="H108" s="3" t="str">
        <f>IFERROR(MID(VLOOKUP($B108,Seqs!$A:$B,2,0),I108,1),"")</f>
        <v>E</v>
      </c>
      <c r="I108" s="23">
        <v>62</v>
      </c>
      <c r="J108" s="3" t="str">
        <f>IFERROR(MID(VLOOKUP($B108,Seqs!$A:$B,2,0),K108,1),"")</f>
        <v>Q</v>
      </c>
      <c r="K108" s="23">
        <v>65</v>
      </c>
      <c r="L108" s="3" t="str">
        <f>IFERROR(MID(VLOOKUP($B108,Seqs!$A:$B,2,0),M108,1),"")</f>
        <v>T</v>
      </c>
      <c r="M108" s="3">
        <v>66</v>
      </c>
      <c r="N108" s="3" t="str">
        <f>IFERROR(MID(VLOOKUP($B108,Seqs!$A:$B,2,0),O108,1),"")</f>
        <v>M</v>
      </c>
      <c r="O108" s="3">
        <v>96</v>
      </c>
      <c r="P108" s="3" t="str">
        <f>IFERROR(MID(VLOOKUP($B108,Seqs!$A:$B,2,0),Q108,1),"")</f>
        <v>M</v>
      </c>
      <c r="Q108" s="3">
        <v>98</v>
      </c>
      <c r="R108" s="3" t="str">
        <f>IFERROR(MID(VLOOKUP($B108,Seqs!$A:$B,2,0),S108,1),"")</f>
        <v>F</v>
      </c>
      <c r="S108" s="3">
        <v>101</v>
      </c>
      <c r="T108" s="3" t="str">
        <f>IFERROR(MID(VLOOKUP($B108,Seqs!$A:$B,2,0),U108,1),"")</f>
        <v>G</v>
      </c>
      <c r="U108" s="3">
        <v>102</v>
      </c>
      <c r="V108" s="3" t="str">
        <f>IFERROR(MID(VLOOKUP($B108,Seqs!$A:$B,2,0),W108,1),"")</f>
        <v>S</v>
      </c>
      <c r="W108" s="3">
        <v>137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146</v>
      </c>
      <c r="AD108" s="3" t="str">
        <f>IFERROR(MID(VLOOKUP($B108,Seqs!$A:$B,2,0),AE108,1),"")</f>
        <v>H</v>
      </c>
      <c r="AE108" s="3">
        <v>172</v>
      </c>
      <c r="AF108" s="3" t="str">
        <f>IFERROR(MID(VLOOKUP($B108,Seqs!$A:$B,2,0),AG108,1),"")</f>
        <v>C</v>
      </c>
      <c r="AG108" s="3">
        <v>191</v>
      </c>
      <c r="AH108" s="3" t="str">
        <f>IFERROR(MID(VLOOKUP($B108,Seqs!$A:$B,2,0),AI108,1),"")</f>
        <v>F</v>
      </c>
      <c r="AI108" s="3">
        <v>193</v>
      </c>
      <c r="AJ108" s="3" t="str">
        <f>IFERROR(MID(VLOOKUP($B108,Seqs!$A:$B,2,0),AK108,1),"")</f>
        <v>N</v>
      </c>
      <c r="AK108" s="3">
        <v>196</v>
      </c>
      <c r="AL108" s="3" t="str">
        <f>IFERROR(MID(VLOOKUP($B108,Seqs!$A:$B,2,0),AM108,1),"")</f>
        <v>Q</v>
      </c>
      <c r="AM108" s="3">
        <v>229</v>
      </c>
      <c r="AN108" s="3" t="str">
        <f>IFERROR(MID(VLOOKUP($B108,Seqs!$A:$B,2,0),AO108,1),"")</f>
        <v>L</v>
      </c>
      <c r="AO108" s="3">
        <v>266</v>
      </c>
      <c r="AP108" s="3" t="str">
        <f>IFERROR(MID(VLOOKUP($B108,Seqs!$A:$B,2,0),AQ108,1),"")</f>
        <v>Q</v>
      </c>
      <c r="AQ108" s="3">
        <v>299</v>
      </c>
      <c r="AR108" s="3" t="str">
        <f>IFERROR(MID(VLOOKUP($B108,Seqs!$A:$B,2,0),AS108,1),"")</f>
        <v>R</v>
      </c>
      <c r="AS108" s="3">
        <v>304</v>
      </c>
      <c r="AT108" s="3" t="str">
        <f>IFERROR(MID(VLOOKUP($B108,Seqs!$A:$B,2,0),AU108,1),"")</f>
        <v>R</v>
      </c>
      <c r="AU108" s="3">
        <v>328</v>
      </c>
      <c r="AV108" s="3" t="str">
        <f>IFERROR(MID(VLOOKUP($B108,Seqs!$A:$B,2,0),AW108,1),"")</f>
        <v>S</v>
      </c>
      <c r="AW108" s="3">
        <v>329</v>
      </c>
      <c r="AX108" s="3" t="str">
        <f>IFERROR(MID(VLOOKUP($B108,Seqs!$A:$B,2,0),AY108,1),"")</f>
        <v>C</v>
      </c>
      <c r="AY108" s="3">
        <v>341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224"/>
        <v>1</v>
      </c>
      <c r="BC108" s="23">
        <f t="shared" si="365"/>
        <v>245</v>
      </c>
      <c r="BD108" s="5" t="s">
        <v>23</v>
      </c>
      <c r="BE108" s="3" t="s">
        <v>1381</v>
      </c>
      <c r="BF108" s="119">
        <v>3.5</v>
      </c>
      <c r="BG108" s="49" t="s">
        <v>1384</v>
      </c>
      <c r="BH108" s="49" t="s">
        <v>1384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366"/>
        <v>29</v>
      </c>
      <c r="BW108" s="71">
        <f t="shared" si="367"/>
        <v>62</v>
      </c>
      <c r="BX108" s="72">
        <f t="shared" si="368"/>
        <v>66</v>
      </c>
      <c r="BY108" s="71">
        <f t="shared" si="369"/>
        <v>98</v>
      </c>
      <c r="BZ108" s="72">
        <f t="shared" si="370"/>
        <v>102</v>
      </c>
      <c r="CA108" s="71" t="str">
        <f t="shared" si="371"/>
        <v>-</v>
      </c>
      <c r="CB108" s="72">
        <f t="shared" si="372"/>
        <v>146</v>
      </c>
      <c r="CC108" s="71">
        <f t="shared" si="373"/>
        <v>191</v>
      </c>
      <c r="CD108" s="72">
        <f t="shared" si="374"/>
        <v>196</v>
      </c>
      <c r="CE108" s="71">
        <f t="shared" si="375"/>
        <v>266</v>
      </c>
      <c r="CF108" s="72">
        <f t="shared" si="376"/>
        <v>304</v>
      </c>
      <c r="CG108" s="71">
        <f t="shared" si="377"/>
        <v>329</v>
      </c>
      <c r="CH108" s="70">
        <f t="shared" si="378"/>
        <v>61</v>
      </c>
      <c r="CI108" s="71">
        <f t="shared" si="379"/>
        <v>65</v>
      </c>
      <c r="CJ108" s="72">
        <f t="shared" si="380"/>
        <v>96</v>
      </c>
      <c r="CK108" s="72">
        <f t="shared" si="381"/>
        <v>101</v>
      </c>
      <c r="CL108" s="72">
        <f t="shared" si="382"/>
        <v>137</v>
      </c>
      <c r="CM108" s="72" t="str">
        <f t="shared" si="383"/>
        <v>-</v>
      </c>
      <c r="CN108" s="72">
        <f t="shared" si="384"/>
        <v>172</v>
      </c>
      <c r="CO108" s="72">
        <f t="shared" si="385"/>
        <v>193</v>
      </c>
      <c r="CP108" s="72">
        <f t="shared" si="386"/>
        <v>229</v>
      </c>
      <c r="CQ108" s="72">
        <f t="shared" si="387"/>
        <v>299</v>
      </c>
      <c r="CR108" s="72">
        <f t="shared" si="388"/>
        <v>328</v>
      </c>
      <c r="CS108" s="72">
        <f t="shared" si="389"/>
        <v>341</v>
      </c>
      <c r="CT108" s="23">
        <f t="shared" si="39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ht="17" customHeight="1" x14ac:dyDescent="0.2">
      <c r="A109" s="3" t="str">
        <f t="shared" si="223"/>
        <v>adrb2_human_3SN6</v>
      </c>
      <c r="B109" s="3" t="s">
        <v>126</v>
      </c>
      <c r="C109" s="3" t="s">
        <v>85</v>
      </c>
      <c r="D109" s="3" t="str">
        <f>IFERROR(MID(VLOOKUP($B109,Seqs!$A:$B,2,0),E109,1),"")</f>
        <v>D</v>
      </c>
      <c r="E109" s="3">
        <v>29</v>
      </c>
      <c r="F109" s="3" t="str">
        <f>IFERROR(MID(VLOOKUP($B109,Seqs!$A:$B,2,0),G109,1),"")</f>
        <v>F</v>
      </c>
      <c r="G109" s="3">
        <v>61</v>
      </c>
      <c r="H109" s="3" t="str">
        <f>IFERROR(MID(VLOOKUP($B109,Seqs!$A:$B,2,0),I109,1),"")</f>
        <v>E</v>
      </c>
      <c r="I109" s="23">
        <v>62</v>
      </c>
      <c r="J109" s="3" t="str">
        <f>IFERROR(MID(VLOOKUP($B109,Seqs!$A:$B,2,0),K109,1),"")</f>
        <v>Q</v>
      </c>
      <c r="K109" s="23">
        <v>65</v>
      </c>
      <c r="L109" s="3" t="str">
        <f>IFERROR(MID(VLOOKUP($B109,Seqs!$A:$B,2,0),M109,1),"")</f>
        <v>T</v>
      </c>
      <c r="M109" s="3">
        <v>66</v>
      </c>
      <c r="N109" s="3" t="str">
        <f>IFERROR(MID(VLOOKUP($B109,Seqs!$A:$B,2,0),O109,1),"")</f>
        <v>M</v>
      </c>
      <c r="O109" s="3">
        <v>96</v>
      </c>
      <c r="P109" s="3" t="str">
        <f>IFERROR(MID(VLOOKUP($B109,Seqs!$A:$B,2,0),Q109,1),"")</f>
        <v>M</v>
      </c>
      <c r="Q109" s="3">
        <v>98</v>
      </c>
      <c r="R109" s="3" t="str">
        <f>IFERROR(MID(VLOOKUP($B109,Seqs!$A:$B,2,0),S109,1),"")</f>
        <v>F</v>
      </c>
      <c r="S109" s="3">
        <v>101</v>
      </c>
      <c r="T109" s="3" t="str">
        <f>IFERROR(MID(VLOOKUP($B109,Seqs!$A:$B,2,0),U109,1),"")</f>
        <v>G</v>
      </c>
      <c r="U109" s="3">
        <v>102</v>
      </c>
      <c r="V109" s="3" t="str">
        <f>IFERROR(MID(VLOOKUP($B109,Seqs!$A:$B,2,0),W109,1),"")</f>
        <v>S</v>
      </c>
      <c r="W109" s="3">
        <v>137</v>
      </c>
      <c r="X109" s="3" t="str">
        <f>IFERROR(MID(VLOOKUP($B109,Seqs!$A:$B,2,0),Y109,1),"")</f>
        <v>P</v>
      </c>
      <c r="Y109" s="3">
        <v>138</v>
      </c>
      <c r="Z109" s="3" t="str">
        <f>IFERROR(MID(VLOOKUP($B109,Seqs!$A:$B,2,0),AA109,1),"")</f>
        <v>L</v>
      </c>
      <c r="AA109" s="3">
        <v>145</v>
      </c>
      <c r="AB109" s="3" t="str">
        <f>IFERROR(MID(VLOOKUP($B109,Seqs!$A:$B,2,0),AC109,1),"")</f>
        <v>T</v>
      </c>
      <c r="AC109" s="9">
        <v>146</v>
      </c>
      <c r="AD109" s="3" t="str">
        <f>IFERROR(MID(VLOOKUP($B109,Seqs!$A:$B,2,0),AE109,1),"")</f>
        <v>H</v>
      </c>
      <c r="AE109" s="3">
        <v>172</v>
      </c>
      <c r="AF109" s="3" t="str">
        <f>IFERROR(MID(VLOOKUP($B109,Seqs!$A:$B,2,0),AG109,1),"")</f>
        <v>C</v>
      </c>
      <c r="AG109" s="3">
        <v>191</v>
      </c>
      <c r="AH109" s="3" t="str">
        <f>IFERROR(MID(VLOOKUP($B109,Seqs!$A:$B,2,0),AI109,1),"")</f>
        <v>F</v>
      </c>
      <c r="AI109" s="3">
        <v>193</v>
      </c>
      <c r="AJ109" s="3" t="str">
        <f>IFERROR(MID(VLOOKUP($B109,Seqs!$A:$B,2,0),AK109,1),"")</f>
        <v>N</v>
      </c>
      <c r="AK109" s="3">
        <v>196</v>
      </c>
      <c r="AL109" s="3" t="str">
        <f>IFERROR(MID(VLOOKUP($B109,Seqs!$A:$B,2,0),AM109,1),"")</f>
        <v>E</v>
      </c>
      <c r="AM109" s="3">
        <v>237</v>
      </c>
      <c r="AN109" s="3" t="str">
        <f>IFERROR(MID(VLOOKUP($B109,Seqs!$A:$B,2,0),AO109,1),"")</f>
        <v>C</v>
      </c>
      <c r="AO109" s="3">
        <v>265</v>
      </c>
      <c r="AP109" s="3" t="str">
        <f>IFERROR(MID(VLOOKUP($B109,Seqs!$A:$B,2,0),AQ109,1),"")</f>
        <v>Q</v>
      </c>
      <c r="AQ109" s="3">
        <v>299</v>
      </c>
      <c r="AR109" s="3" t="str">
        <f>IFERROR(MID(VLOOKUP($B109,Seqs!$A:$B,2,0),AS109,1),"")</f>
        <v>R</v>
      </c>
      <c r="AS109" s="3">
        <v>304</v>
      </c>
      <c r="AT109" s="3" t="str">
        <f>IFERROR(MID(VLOOKUP($B109,Seqs!$A:$B,2,0),AU109,1),"")</f>
        <v>R</v>
      </c>
      <c r="AU109" s="3">
        <v>328</v>
      </c>
      <c r="AV109" s="3" t="str">
        <f>IFERROR(MID(VLOOKUP($B109,Seqs!$A:$B,2,0),AW109,1),"")</f>
        <v>S</v>
      </c>
      <c r="AW109" s="3">
        <v>329</v>
      </c>
      <c r="AX109" s="3" t="str">
        <f>IFERROR(MID(VLOOKUP($B109,Seqs!$A:$B,2,0),AY109,1),"")</f>
        <v>C</v>
      </c>
      <c r="AY109" s="3">
        <v>341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224"/>
        <v>1</v>
      </c>
      <c r="BC109" s="23">
        <f t="shared" si="365"/>
        <v>261</v>
      </c>
      <c r="BD109" s="4" t="s">
        <v>1382</v>
      </c>
      <c r="BE109" s="3" t="s">
        <v>1297</v>
      </c>
      <c r="BF109" s="119">
        <v>3.2</v>
      </c>
      <c r="BG109" s="49" t="s">
        <v>1384</v>
      </c>
      <c r="BH109" s="49" t="s">
        <v>1384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366"/>
        <v>29</v>
      </c>
      <c r="BW109" s="71">
        <f t="shared" si="367"/>
        <v>62</v>
      </c>
      <c r="BX109" s="72">
        <f t="shared" si="368"/>
        <v>66</v>
      </c>
      <c r="BY109" s="71">
        <f t="shared" si="369"/>
        <v>98</v>
      </c>
      <c r="BZ109" s="72">
        <f t="shared" si="370"/>
        <v>102</v>
      </c>
      <c r="CA109" s="71">
        <f t="shared" si="371"/>
        <v>138</v>
      </c>
      <c r="CB109" s="72">
        <f t="shared" si="372"/>
        <v>146</v>
      </c>
      <c r="CC109" s="71">
        <f t="shared" si="373"/>
        <v>191</v>
      </c>
      <c r="CD109" s="72">
        <f t="shared" si="374"/>
        <v>196</v>
      </c>
      <c r="CE109" s="71">
        <f t="shared" si="375"/>
        <v>265</v>
      </c>
      <c r="CF109" s="72">
        <f t="shared" si="376"/>
        <v>304</v>
      </c>
      <c r="CG109" s="71">
        <f t="shared" si="377"/>
        <v>329</v>
      </c>
      <c r="CH109" s="70">
        <f t="shared" si="378"/>
        <v>61</v>
      </c>
      <c r="CI109" s="71">
        <f t="shared" si="379"/>
        <v>65</v>
      </c>
      <c r="CJ109" s="72">
        <f t="shared" si="380"/>
        <v>96</v>
      </c>
      <c r="CK109" s="72">
        <f t="shared" si="381"/>
        <v>101</v>
      </c>
      <c r="CL109" s="72">
        <f t="shared" si="382"/>
        <v>137</v>
      </c>
      <c r="CM109" s="72">
        <f t="shared" si="383"/>
        <v>145</v>
      </c>
      <c r="CN109" s="72">
        <f t="shared" si="384"/>
        <v>172</v>
      </c>
      <c r="CO109" s="72">
        <f t="shared" si="385"/>
        <v>193</v>
      </c>
      <c r="CP109" s="72">
        <f t="shared" si="386"/>
        <v>237</v>
      </c>
      <c r="CQ109" s="72">
        <f t="shared" si="387"/>
        <v>299</v>
      </c>
      <c r="CR109" s="72">
        <f t="shared" si="388"/>
        <v>328</v>
      </c>
      <c r="CS109" s="72">
        <f t="shared" si="389"/>
        <v>341</v>
      </c>
      <c r="CT109" s="23">
        <f t="shared" si="39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ref="A110:A174" si="559">CONCATENATE(B110,"_",C110)</f>
        <v>adrb2_human_4LDE</v>
      </c>
      <c r="B110" s="3" t="s">
        <v>126</v>
      </c>
      <c r="C110" s="3" t="s">
        <v>77</v>
      </c>
      <c r="D110" s="3" t="str">
        <f>IFERROR(MID(VLOOKUP($B110,Seqs!$A:$B,2,0),E110,1),"")</f>
        <v>D</v>
      </c>
      <c r="E110" s="3">
        <v>29</v>
      </c>
      <c r="F110" s="3" t="str">
        <f>IFERROR(MID(VLOOKUP($B110,Seqs!$A:$B,2,0),G110,1),"")</f>
        <v>F</v>
      </c>
      <c r="G110" s="3">
        <v>61</v>
      </c>
      <c r="H110" s="3" t="str">
        <f>IFERROR(MID(VLOOKUP($B110,Seqs!$A:$B,2,0),I110,1),"")</f>
        <v>E</v>
      </c>
      <c r="I110" s="23">
        <v>62</v>
      </c>
      <c r="J110" s="3" t="str">
        <f>IFERROR(MID(VLOOKUP($B110,Seqs!$A:$B,2,0),K110,1),"")</f>
        <v>Q</v>
      </c>
      <c r="K110" s="23">
        <v>65</v>
      </c>
      <c r="L110" s="3" t="str">
        <f>IFERROR(MID(VLOOKUP($B110,Seqs!$A:$B,2,0),M110,1),"")</f>
        <v>T</v>
      </c>
      <c r="M110" s="3">
        <v>66</v>
      </c>
      <c r="N110" s="3" t="str">
        <f>IFERROR(MID(VLOOKUP($B110,Seqs!$A:$B,2,0),O110,1),"")</f>
        <v>M</v>
      </c>
      <c r="O110" s="3">
        <v>96</v>
      </c>
      <c r="P110" s="3" t="str">
        <f>IFERROR(MID(VLOOKUP($B110,Seqs!$A:$B,2,0),Q110,1),"")</f>
        <v>M</v>
      </c>
      <c r="Q110" s="3">
        <v>98</v>
      </c>
      <c r="R110" s="3" t="str">
        <f>IFERROR(MID(VLOOKUP($B110,Seqs!$A:$B,2,0),S110,1),"")</f>
        <v>F</v>
      </c>
      <c r="S110" s="3">
        <v>101</v>
      </c>
      <c r="T110" s="3" t="str">
        <f>IFERROR(MID(VLOOKUP($B110,Seqs!$A:$B,2,0),U110,1),"")</f>
        <v>G</v>
      </c>
      <c r="U110" s="3">
        <v>102</v>
      </c>
      <c r="V110" s="3" t="str">
        <f>IFERROR(MID(VLOOKUP($B110,Seqs!$A:$B,2,0),W110,1),"")</f>
        <v>S</v>
      </c>
      <c r="W110" s="3">
        <v>137</v>
      </c>
      <c r="X110" s="3" t="str">
        <f>IFERROR(MID(VLOOKUP($B110,Seqs!$A:$B,2,0),Y110,1),"")</f>
        <v>P</v>
      </c>
      <c r="Y110" s="3">
        <v>138</v>
      </c>
      <c r="Z110" s="3" t="str">
        <f>IFERROR(MID(VLOOKUP($B110,Seqs!$A:$B,2,0),AA110,1),"")</f>
        <v>L</v>
      </c>
      <c r="AA110" s="3">
        <v>145</v>
      </c>
      <c r="AB110" s="3" t="str">
        <f>IFERROR(MID(VLOOKUP($B110,Seqs!$A:$B,2,0),AC110,1),"")</f>
        <v>T</v>
      </c>
      <c r="AC110" s="9">
        <v>146</v>
      </c>
      <c r="AD110" s="3" t="str">
        <f>IFERROR(MID(VLOOKUP($B110,Seqs!$A:$B,2,0),AE110,1),"")</f>
        <v>H</v>
      </c>
      <c r="AE110" s="3">
        <v>172</v>
      </c>
      <c r="AF110" s="3" t="str">
        <f>IFERROR(MID(VLOOKUP($B110,Seqs!$A:$B,2,0),AG110,1),"")</f>
        <v>C</v>
      </c>
      <c r="AG110" s="3">
        <v>191</v>
      </c>
      <c r="AH110" s="3" t="str">
        <f>IFERROR(MID(VLOOKUP($B110,Seqs!$A:$B,2,0),AI110,1),"")</f>
        <v>F</v>
      </c>
      <c r="AI110" s="3">
        <v>193</v>
      </c>
      <c r="AJ110" s="3" t="str">
        <f>IFERROR(MID(VLOOKUP($B110,Seqs!$A:$B,2,0),AK110,1),"")</f>
        <v>N</v>
      </c>
      <c r="AK110" s="3">
        <v>196</v>
      </c>
      <c r="AL110" s="3" t="str">
        <f>IFERROR(MID(VLOOKUP($B110,Seqs!$A:$B,2,0),AM110,1),"")</f>
        <v>E</v>
      </c>
      <c r="AM110" s="3">
        <v>225</v>
      </c>
      <c r="AN110" s="3" t="str">
        <f>IFERROR(MID(VLOOKUP($B110,Seqs!$A:$B,2,0),AO110,1),"")</f>
        <v>L</v>
      </c>
      <c r="AO110" s="3">
        <v>266</v>
      </c>
      <c r="AP110" s="3" t="str">
        <f>IFERROR(MID(VLOOKUP($B110,Seqs!$A:$B,2,0),AQ110,1),"")</f>
        <v>Q</v>
      </c>
      <c r="AQ110" s="3">
        <v>299</v>
      </c>
      <c r="AR110" s="3" t="str">
        <f>IFERROR(MID(VLOOKUP($B110,Seqs!$A:$B,2,0),AS110,1),"")</f>
        <v>R</v>
      </c>
      <c r="AS110" s="3">
        <v>304</v>
      </c>
      <c r="AT110" s="3" t="str">
        <f>IFERROR(MID(VLOOKUP($B110,Seqs!$A:$B,2,0),AU110,1),"")</f>
        <v>R</v>
      </c>
      <c r="AU110" s="3">
        <v>328</v>
      </c>
      <c r="AV110" s="3" t="str">
        <f>IFERROR(MID(VLOOKUP($B110,Seqs!$A:$B,2,0),AW110,1),"")</f>
        <v>S</v>
      </c>
      <c r="AW110" s="3">
        <v>329</v>
      </c>
      <c r="AX110" s="3" t="str">
        <f>IFERROR(MID(VLOOKUP($B110,Seqs!$A:$B,2,0),AY110,1),"")</f>
        <v>C</v>
      </c>
      <c r="AY110" s="3">
        <v>341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ref="BB110:BB174" si="560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23">
        <f t="shared" si="365"/>
        <v>248</v>
      </c>
      <c r="BD110" s="4" t="s">
        <v>23</v>
      </c>
      <c r="BE110" s="3" t="s">
        <v>1297</v>
      </c>
      <c r="BF110" s="119">
        <v>2.79</v>
      </c>
      <c r="BG110" s="49" t="s">
        <v>1384</v>
      </c>
      <c r="BH110" s="49" t="s">
        <v>1384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366"/>
        <v>29</v>
      </c>
      <c r="BW110" s="71">
        <f t="shared" si="367"/>
        <v>62</v>
      </c>
      <c r="BX110" s="72">
        <f t="shared" si="368"/>
        <v>66</v>
      </c>
      <c r="BY110" s="71">
        <f t="shared" si="369"/>
        <v>98</v>
      </c>
      <c r="BZ110" s="72">
        <f t="shared" si="370"/>
        <v>102</v>
      </c>
      <c r="CA110" s="71">
        <f t="shared" si="371"/>
        <v>138</v>
      </c>
      <c r="CB110" s="72">
        <f t="shared" si="372"/>
        <v>146</v>
      </c>
      <c r="CC110" s="71">
        <f t="shared" si="373"/>
        <v>191</v>
      </c>
      <c r="CD110" s="72">
        <f t="shared" si="374"/>
        <v>196</v>
      </c>
      <c r="CE110" s="71">
        <f t="shared" si="375"/>
        <v>266</v>
      </c>
      <c r="CF110" s="72">
        <f t="shared" si="376"/>
        <v>304</v>
      </c>
      <c r="CG110" s="71">
        <f t="shared" si="377"/>
        <v>329</v>
      </c>
      <c r="CH110" s="70">
        <f t="shared" si="378"/>
        <v>61</v>
      </c>
      <c r="CI110" s="71">
        <f t="shared" si="379"/>
        <v>65</v>
      </c>
      <c r="CJ110" s="72">
        <f t="shared" si="380"/>
        <v>96</v>
      </c>
      <c r="CK110" s="72">
        <f t="shared" si="381"/>
        <v>101</v>
      </c>
      <c r="CL110" s="72">
        <f t="shared" si="382"/>
        <v>137</v>
      </c>
      <c r="CM110" s="72">
        <f t="shared" si="383"/>
        <v>145</v>
      </c>
      <c r="CN110" s="72">
        <f t="shared" si="384"/>
        <v>172</v>
      </c>
      <c r="CO110" s="72">
        <f t="shared" si="385"/>
        <v>193</v>
      </c>
      <c r="CP110" s="72">
        <f t="shared" si="386"/>
        <v>225</v>
      </c>
      <c r="CQ110" s="72">
        <f t="shared" si="387"/>
        <v>299</v>
      </c>
      <c r="CR110" s="72">
        <f t="shared" si="388"/>
        <v>328</v>
      </c>
      <c r="CS110" s="72">
        <f t="shared" si="389"/>
        <v>341</v>
      </c>
      <c r="CT110" s="23">
        <f t="shared" si="39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59"/>
        <v>adrb2_human_4LDL</v>
      </c>
      <c r="B111" s="3" t="s">
        <v>126</v>
      </c>
      <c r="C111" s="3" t="s">
        <v>1045</v>
      </c>
      <c r="D111" s="3" t="str">
        <f>IFERROR(MID(VLOOKUP($B111,Seqs!$A:$B,2,0),E111,1),"")</f>
        <v>D</v>
      </c>
      <c r="E111" s="3">
        <v>29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>P</v>
      </c>
      <c r="Y111" s="3">
        <v>138</v>
      </c>
      <c r="Z111" s="3" t="str">
        <f>IFERROR(MID(VLOOKUP($B111,Seqs!$A:$B,2,0),AA111,1),"")</f>
        <v>L</v>
      </c>
      <c r="AA111" s="3">
        <v>145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E</v>
      </c>
      <c r="AM111" s="3">
        <v>225</v>
      </c>
      <c r="AN111" s="3" t="str">
        <f>IFERROR(MID(VLOOKUP($B111,Seqs!$A:$B,2,0),AO111,1),"")</f>
        <v>L</v>
      </c>
      <c r="AO111" s="3">
        <v>266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60"/>
        <v>1</v>
      </c>
      <c r="BC111" s="23">
        <f t="shared" si="365"/>
        <v>248</v>
      </c>
      <c r="BD111" s="4" t="s">
        <v>23</v>
      </c>
      <c r="BE111" s="3" t="s">
        <v>1297</v>
      </c>
      <c r="BF111" s="119">
        <v>3.1</v>
      </c>
      <c r="BG111" s="49" t="s">
        <v>1384</v>
      </c>
      <c r="BH111" s="49" t="s">
        <v>1384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366"/>
        <v>29</v>
      </c>
      <c r="BW111" s="71">
        <f t="shared" si="367"/>
        <v>62</v>
      </c>
      <c r="BX111" s="72">
        <f t="shared" si="368"/>
        <v>66</v>
      </c>
      <c r="BY111" s="71">
        <f t="shared" si="369"/>
        <v>98</v>
      </c>
      <c r="BZ111" s="72">
        <f t="shared" si="370"/>
        <v>102</v>
      </c>
      <c r="CA111" s="71">
        <f t="shared" si="371"/>
        <v>138</v>
      </c>
      <c r="CB111" s="72">
        <f t="shared" si="372"/>
        <v>146</v>
      </c>
      <c r="CC111" s="71">
        <f t="shared" si="373"/>
        <v>191</v>
      </c>
      <c r="CD111" s="72">
        <f t="shared" si="374"/>
        <v>196</v>
      </c>
      <c r="CE111" s="71">
        <f t="shared" si="375"/>
        <v>266</v>
      </c>
      <c r="CF111" s="72">
        <f t="shared" si="376"/>
        <v>304</v>
      </c>
      <c r="CG111" s="71">
        <f t="shared" si="377"/>
        <v>329</v>
      </c>
      <c r="CH111" s="70">
        <f t="shared" si="378"/>
        <v>61</v>
      </c>
      <c r="CI111" s="71">
        <f t="shared" si="379"/>
        <v>65</v>
      </c>
      <c r="CJ111" s="72">
        <f t="shared" si="380"/>
        <v>96</v>
      </c>
      <c r="CK111" s="72">
        <f t="shared" si="381"/>
        <v>101</v>
      </c>
      <c r="CL111" s="72">
        <f t="shared" si="382"/>
        <v>137</v>
      </c>
      <c r="CM111" s="72">
        <f t="shared" si="383"/>
        <v>145</v>
      </c>
      <c r="CN111" s="72">
        <f t="shared" si="384"/>
        <v>172</v>
      </c>
      <c r="CO111" s="72">
        <f t="shared" si="385"/>
        <v>193</v>
      </c>
      <c r="CP111" s="72">
        <f t="shared" si="386"/>
        <v>225</v>
      </c>
      <c r="CQ111" s="72">
        <f t="shared" si="387"/>
        <v>299</v>
      </c>
      <c r="CR111" s="72">
        <f t="shared" si="388"/>
        <v>328</v>
      </c>
      <c r="CS111" s="72">
        <f t="shared" si="389"/>
        <v>341</v>
      </c>
      <c r="CT111" s="23">
        <f t="shared" si="39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ht="17" customHeight="1" x14ac:dyDescent="0.2">
      <c r="A112" s="3" t="str">
        <f t="shared" si="559"/>
        <v>adrb2_human_4LDO</v>
      </c>
      <c r="B112" s="3" t="s">
        <v>126</v>
      </c>
      <c r="C112" s="3" t="s">
        <v>1046</v>
      </c>
      <c r="D112" s="3" t="str">
        <f>IFERROR(MID(VLOOKUP($B112,Seqs!$A:$B,2,0),E112,1),"")</f>
        <v>D</v>
      </c>
      <c r="E112" s="3">
        <v>29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E</v>
      </c>
      <c r="AM112" s="3">
        <v>225</v>
      </c>
      <c r="AN112" s="3" t="str">
        <f>IFERROR(MID(VLOOKUP($B112,Seqs!$A:$B,2,0),AO112,1),"")</f>
        <v>L</v>
      </c>
      <c r="AO112" s="3">
        <v>266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560"/>
        <v>1</v>
      </c>
      <c r="BC112" s="23">
        <f t="shared" si="365"/>
        <v>248</v>
      </c>
      <c r="BD112" s="4" t="s">
        <v>23</v>
      </c>
      <c r="BE112" s="3" t="s">
        <v>1297</v>
      </c>
      <c r="BF112" s="119">
        <v>3.2</v>
      </c>
      <c r="BG112" s="49" t="s">
        <v>1384</v>
      </c>
      <c r="BH112" s="49" t="s">
        <v>1384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366"/>
        <v>29</v>
      </c>
      <c r="BW112" s="71">
        <f t="shared" si="367"/>
        <v>62</v>
      </c>
      <c r="BX112" s="72">
        <f t="shared" si="368"/>
        <v>66</v>
      </c>
      <c r="BY112" s="71">
        <f t="shared" si="369"/>
        <v>98</v>
      </c>
      <c r="BZ112" s="72">
        <f t="shared" si="370"/>
        <v>102</v>
      </c>
      <c r="CA112" s="71">
        <f t="shared" si="371"/>
        <v>138</v>
      </c>
      <c r="CB112" s="72">
        <f t="shared" si="372"/>
        <v>146</v>
      </c>
      <c r="CC112" s="71">
        <f t="shared" si="373"/>
        <v>191</v>
      </c>
      <c r="CD112" s="72">
        <f t="shared" si="374"/>
        <v>196</v>
      </c>
      <c r="CE112" s="71">
        <f t="shared" si="375"/>
        <v>266</v>
      </c>
      <c r="CF112" s="72">
        <f t="shared" si="376"/>
        <v>304</v>
      </c>
      <c r="CG112" s="71">
        <f t="shared" si="377"/>
        <v>329</v>
      </c>
      <c r="CH112" s="70">
        <f t="shared" si="378"/>
        <v>61</v>
      </c>
      <c r="CI112" s="71">
        <f t="shared" si="379"/>
        <v>65</v>
      </c>
      <c r="CJ112" s="72">
        <f t="shared" si="380"/>
        <v>96</v>
      </c>
      <c r="CK112" s="72">
        <f t="shared" si="381"/>
        <v>101</v>
      </c>
      <c r="CL112" s="72">
        <f t="shared" si="382"/>
        <v>137</v>
      </c>
      <c r="CM112" s="72">
        <f t="shared" si="383"/>
        <v>145</v>
      </c>
      <c r="CN112" s="72">
        <f t="shared" si="384"/>
        <v>172</v>
      </c>
      <c r="CO112" s="72">
        <f t="shared" si="385"/>
        <v>193</v>
      </c>
      <c r="CP112" s="72">
        <f t="shared" si="386"/>
        <v>225</v>
      </c>
      <c r="CQ112" s="72">
        <f t="shared" si="387"/>
        <v>299</v>
      </c>
      <c r="CR112" s="72">
        <f t="shared" si="388"/>
        <v>328</v>
      </c>
      <c r="CS112" s="72">
        <f t="shared" si="389"/>
        <v>341</v>
      </c>
      <c r="CT112" s="23">
        <f t="shared" si="39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559"/>
        <v>adrb2_human_4QKX</v>
      </c>
      <c r="B113" s="3" t="s">
        <v>126</v>
      </c>
      <c r="C113" s="3" t="s">
        <v>78</v>
      </c>
      <c r="D113" s="3" t="str">
        <f>IFERROR(MID(VLOOKUP($B113,Seqs!$A:$B,2,0),E113,1),"")</f>
        <v>D</v>
      </c>
      <c r="E113" s="3">
        <v>29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>P</v>
      </c>
      <c r="Y113" s="3">
        <v>138</v>
      </c>
      <c r="Z113" s="3" t="str">
        <f>IFERROR(MID(VLOOKUP($B113,Seqs!$A:$B,2,0),AA113,1),"")</f>
        <v>L</v>
      </c>
      <c r="AA113" s="3">
        <v>145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E</v>
      </c>
      <c r="AM113" s="3">
        <v>225</v>
      </c>
      <c r="AN113" s="3" t="str">
        <f>IFERROR(MID(VLOOKUP($B113,Seqs!$A:$B,2,0),AO113,1),"")</f>
        <v>L</v>
      </c>
      <c r="AO113" s="3">
        <v>266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560"/>
        <v>1</v>
      </c>
      <c r="BC113" s="23">
        <f t="shared" si="365"/>
        <v>248</v>
      </c>
      <c r="BD113" s="4" t="s">
        <v>23</v>
      </c>
      <c r="BE113" s="3" t="s">
        <v>1297</v>
      </c>
      <c r="BF113" s="119">
        <v>3.3</v>
      </c>
      <c r="BG113" s="49" t="s">
        <v>1384</v>
      </c>
      <c r="BH113" s="49" t="s">
        <v>1384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366"/>
        <v>29</v>
      </c>
      <c r="BW113" s="71">
        <f t="shared" si="367"/>
        <v>62</v>
      </c>
      <c r="BX113" s="72">
        <f t="shared" si="368"/>
        <v>66</v>
      </c>
      <c r="BY113" s="71">
        <f t="shared" si="369"/>
        <v>98</v>
      </c>
      <c r="BZ113" s="72">
        <f t="shared" si="370"/>
        <v>102</v>
      </c>
      <c r="CA113" s="71">
        <f t="shared" si="371"/>
        <v>138</v>
      </c>
      <c r="CB113" s="72">
        <f t="shared" si="372"/>
        <v>146</v>
      </c>
      <c r="CC113" s="71">
        <f t="shared" si="373"/>
        <v>191</v>
      </c>
      <c r="CD113" s="72">
        <f t="shared" si="374"/>
        <v>196</v>
      </c>
      <c r="CE113" s="71">
        <f t="shared" si="375"/>
        <v>266</v>
      </c>
      <c r="CF113" s="72">
        <f t="shared" si="376"/>
        <v>304</v>
      </c>
      <c r="CG113" s="71">
        <f t="shared" si="377"/>
        <v>329</v>
      </c>
      <c r="CH113" s="70">
        <f t="shared" si="378"/>
        <v>61</v>
      </c>
      <c r="CI113" s="71">
        <f t="shared" si="379"/>
        <v>65</v>
      </c>
      <c r="CJ113" s="72">
        <f t="shared" si="380"/>
        <v>96</v>
      </c>
      <c r="CK113" s="72">
        <f t="shared" si="381"/>
        <v>101</v>
      </c>
      <c r="CL113" s="72">
        <f t="shared" si="382"/>
        <v>137</v>
      </c>
      <c r="CM113" s="72">
        <f t="shared" si="383"/>
        <v>145</v>
      </c>
      <c r="CN113" s="72">
        <f t="shared" si="384"/>
        <v>172</v>
      </c>
      <c r="CO113" s="72">
        <f t="shared" si="385"/>
        <v>193</v>
      </c>
      <c r="CP113" s="72">
        <f t="shared" si="386"/>
        <v>225</v>
      </c>
      <c r="CQ113" s="72">
        <f t="shared" si="387"/>
        <v>299</v>
      </c>
      <c r="CR113" s="72">
        <f t="shared" si="388"/>
        <v>328</v>
      </c>
      <c r="CS113" s="72">
        <f t="shared" si="389"/>
        <v>341</v>
      </c>
      <c r="CT113" s="23">
        <f t="shared" si="39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559"/>
        <v>adrb2_human_5D6L</v>
      </c>
      <c r="B114" s="3" t="s">
        <v>126</v>
      </c>
      <c r="C114" s="3" t="s">
        <v>1349</v>
      </c>
      <c r="D114" s="3" t="str">
        <f>IFERROR(MID(VLOOKUP($B114,Seqs!$A:$B,2,0),E114,1),"")</f>
        <v>D</v>
      </c>
      <c r="E114" s="3">
        <v>29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Q</v>
      </c>
      <c r="AM114" s="3">
        <v>229</v>
      </c>
      <c r="AN114" s="3" t="str">
        <f>IFERROR(MID(VLOOKUP($B114,Seqs!$A:$B,2,0),AO114,1),"")</f>
        <v>K</v>
      </c>
      <c r="AO114" s="3">
        <v>267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560"/>
        <v>1</v>
      </c>
      <c r="BC114" s="23">
        <f t="shared" si="365"/>
        <v>244</v>
      </c>
      <c r="BD114" s="4" t="s">
        <v>23</v>
      </c>
      <c r="BE114" s="3" t="s">
        <v>1381</v>
      </c>
      <c r="BF114" s="119">
        <v>3.2</v>
      </c>
      <c r="BG114" s="49" t="s">
        <v>1</v>
      </c>
      <c r="BH114" s="49" t="s">
        <v>1384</v>
      </c>
      <c r="BI114" s="1"/>
      <c r="BJ114" s="70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0">
        <f t="shared" si="366"/>
        <v>29</v>
      </c>
      <c r="BW114" s="71">
        <f t="shared" si="367"/>
        <v>62</v>
      </c>
      <c r="BX114" s="72">
        <f t="shared" si="368"/>
        <v>66</v>
      </c>
      <c r="BY114" s="71">
        <f t="shared" si="369"/>
        <v>98</v>
      </c>
      <c r="BZ114" s="72">
        <f t="shared" si="370"/>
        <v>102</v>
      </c>
      <c r="CA114" s="71" t="str">
        <f t="shared" si="371"/>
        <v>-</v>
      </c>
      <c r="CB114" s="72">
        <f t="shared" si="372"/>
        <v>146</v>
      </c>
      <c r="CC114" s="71">
        <f t="shared" si="373"/>
        <v>191</v>
      </c>
      <c r="CD114" s="72">
        <f t="shared" si="374"/>
        <v>196</v>
      </c>
      <c r="CE114" s="71">
        <f t="shared" si="375"/>
        <v>267</v>
      </c>
      <c r="CF114" s="72">
        <f t="shared" si="376"/>
        <v>304</v>
      </c>
      <c r="CG114" s="71">
        <f t="shared" si="377"/>
        <v>329</v>
      </c>
      <c r="CH114" s="70">
        <f t="shared" si="378"/>
        <v>61</v>
      </c>
      <c r="CI114" s="71">
        <f t="shared" si="379"/>
        <v>65</v>
      </c>
      <c r="CJ114" s="72">
        <f t="shared" si="380"/>
        <v>96</v>
      </c>
      <c r="CK114" s="72">
        <f t="shared" si="381"/>
        <v>101</v>
      </c>
      <c r="CL114" s="72">
        <f t="shared" si="382"/>
        <v>137</v>
      </c>
      <c r="CM114" s="72" t="str">
        <f t="shared" si="383"/>
        <v>-</v>
      </c>
      <c r="CN114" s="72">
        <f t="shared" si="384"/>
        <v>172</v>
      </c>
      <c r="CO114" s="72">
        <f t="shared" si="385"/>
        <v>193</v>
      </c>
      <c r="CP114" s="72">
        <f t="shared" si="386"/>
        <v>229</v>
      </c>
      <c r="CQ114" s="72">
        <f t="shared" si="387"/>
        <v>299</v>
      </c>
      <c r="CR114" s="72">
        <f t="shared" si="388"/>
        <v>328</v>
      </c>
      <c r="CS114" s="72">
        <f t="shared" si="389"/>
        <v>341</v>
      </c>
      <c r="CT114" s="23">
        <f t="shared" si="39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559"/>
        <v>adrb2_human_5JQH</v>
      </c>
      <c r="B115" s="3" t="s">
        <v>126</v>
      </c>
      <c r="C115" s="3" t="s">
        <v>1350</v>
      </c>
      <c r="D115" s="3" t="str">
        <f>IFERROR(MID(VLOOKUP($B115,Seqs!$A:$B,2,0),E115,1),"")</f>
        <v>D</v>
      </c>
      <c r="E115" s="3">
        <v>23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L</v>
      </c>
      <c r="AM115" s="3">
        <v>230</v>
      </c>
      <c r="AN115" s="3" t="str">
        <f>IFERROR(MID(VLOOKUP($B115,Seqs!$A:$B,2,0),AO115,1),"")</f>
        <v>A</v>
      </c>
      <c r="AO115" s="3">
        <v>271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560"/>
        <v>1</v>
      </c>
      <c r="BC115" s="23">
        <f t="shared" si="365"/>
        <v>247</v>
      </c>
      <c r="BD115" s="74" t="s">
        <v>23</v>
      </c>
      <c r="BE115" s="3" t="s">
        <v>1381</v>
      </c>
      <c r="BF115" s="119">
        <v>3.2</v>
      </c>
      <c r="BG115" s="49" t="s">
        <v>1287</v>
      </c>
      <c r="BH115" s="49" t="s">
        <v>1384</v>
      </c>
      <c r="BI115" s="1"/>
      <c r="BJ115" s="70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0">
        <f t="shared" si="366"/>
        <v>23</v>
      </c>
      <c r="BW115" s="71">
        <f t="shared" si="367"/>
        <v>62</v>
      </c>
      <c r="BX115" s="72">
        <f t="shared" si="368"/>
        <v>66</v>
      </c>
      <c r="BY115" s="71">
        <f t="shared" si="369"/>
        <v>98</v>
      </c>
      <c r="BZ115" s="72">
        <f t="shared" si="370"/>
        <v>102</v>
      </c>
      <c r="CA115" s="71" t="str">
        <f t="shared" si="371"/>
        <v>-</v>
      </c>
      <c r="CB115" s="72">
        <f t="shared" si="372"/>
        <v>146</v>
      </c>
      <c r="CC115" s="71">
        <f t="shared" si="373"/>
        <v>191</v>
      </c>
      <c r="CD115" s="72">
        <f t="shared" si="374"/>
        <v>196</v>
      </c>
      <c r="CE115" s="71">
        <f t="shared" si="375"/>
        <v>271</v>
      </c>
      <c r="CF115" s="72">
        <f t="shared" si="376"/>
        <v>304</v>
      </c>
      <c r="CG115" s="71">
        <f t="shared" si="377"/>
        <v>329</v>
      </c>
      <c r="CH115" s="70">
        <f t="shared" si="378"/>
        <v>61</v>
      </c>
      <c r="CI115" s="71">
        <f t="shared" si="379"/>
        <v>65</v>
      </c>
      <c r="CJ115" s="72">
        <f t="shared" si="380"/>
        <v>96</v>
      </c>
      <c r="CK115" s="72">
        <f t="shared" si="381"/>
        <v>101</v>
      </c>
      <c r="CL115" s="72">
        <f t="shared" si="382"/>
        <v>137</v>
      </c>
      <c r="CM115" s="72" t="str">
        <f t="shared" si="383"/>
        <v>-</v>
      </c>
      <c r="CN115" s="72">
        <f t="shared" si="384"/>
        <v>172</v>
      </c>
      <c r="CO115" s="72">
        <f t="shared" si="385"/>
        <v>193</v>
      </c>
      <c r="CP115" s="72">
        <f t="shared" si="386"/>
        <v>230</v>
      </c>
      <c r="CQ115" s="72">
        <f t="shared" si="387"/>
        <v>299</v>
      </c>
      <c r="CR115" s="72">
        <f t="shared" si="388"/>
        <v>328</v>
      </c>
      <c r="CS115" s="72">
        <f t="shared" si="389"/>
        <v>341</v>
      </c>
      <c r="CT115" s="23">
        <f t="shared" si="39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>CONCATENATE(B116,"_",C116)</f>
        <v>adrb2_human_5X7D</v>
      </c>
      <c r="B116" s="3" t="s">
        <v>126</v>
      </c>
      <c r="C116" s="3" t="s">
        <v>1448</v>
      </c>
      <c r="D116" s="3" t="str">
        <f>IFERROR(MID(VLOOKUP($B116,Seqs!$A:$B,2,0),E116,1),"")</f>
        <v>V</v>
      </c>
      <c r="E116" s="3">
        <v>33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T</v>
      </c>
      <c r="W116" s="3">
        <v>136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3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L</v>
      </c>
      <c r="AM116" s="3">
        <v>230</v>
      </c>
      <c r="AN116" s="3" t="str">
        <f>IFERROR(MID(VLOOKUP($B116,Seqs!$A:$B,2,0),AO116,1),"")</f>
        <v>A</v>
      </c>
      <c r="AO116" s="3">
        <v>271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>_xlfn.AGGREGATE(9,6,CH116:CS116)-_xlfn.AGGREGATE(9,6,BV116:CG116)+12</f>
        <v>236</v>
      </c>
      <c r="BD116" s="74" t="s">
        <v>23</v>
      </c>
      <c r="BE116" s="3" t="s">
        <v>1381</v>
      </c>
      <c r="BF116" s="119">
        <v>4.2</v>
      </c>
      <c r="BG116" s="49" t="s">
        <v>1287</v>
      </c>
      <c r="BH116" s="49" t="s">
        <v>1384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>E116</f>
        <v>33</v>
      </c>
      <c r="BW116" s="71">
        <f>I116</f>
        <v>62</v>
      </c>
      <c r="BX116" s="72">
        <f>M116</f>
        <v>66</v>
      </c>
      <c r="BY116" s="71">
        <f>Q116</f>
        <v>98</v>
      </c>
      <c r="BZ116" s="72">
        <f>U116</f>
        <v>102</v>
      </c>
      <c r="CA116" s="71" t="str">
        <f>Y116</f>
        <v>-</v>
      </c>
      <c r="CB116" s="72">
        <f>AC116</f>
        <v>146</v>
      </c>
      <c r="CC116" s="71">
        <f>AG116</f>
        <v>191</v>
      </c>
      <c r="CD116" s="72">
        <f>AK116</f>
        <v>196</v>
      </c>
      <c r="CE116" s="71">
        <f>AO116</f>
        <v>271</v>
      </c>
      <c r="CF116" s="72">
        <f>AS116</f>
        <v>304</v>
      </c>
      <c r="CG116" s="71">
        <f>AW116</f>
        <v>329</v>
      </c>
      <c r="CH116" s="70">
        <f>G116</f>
        <v>61</v>
      </c>
      <c r="CI116" s="71">
        <f>K116</f>
        <v>65</v>
      </c>
      <c r="CJ116" s="72">
        <f>O116</f>
        <v>96</v>
      </c>
      <c r="CK116" s="72">
        <f>S116</f>
        <v>101</v>
      </c>
      <c r="CL116" s="72">
        <f>W116</f>
        <v>136</v>
      </c>
      <c r="CM116" s="72" t="str">
        <f>AA116</f>
        <v>-</v>
      </c>
      <c r="CN116" s="72">
        <f>AE116</f>
        <v>172</v>
      </c>
      <c r="CO116" s="72">
        <f>AI116</f>
        <v>193</v>
      </c>
      <c r="CP116" s="72">
        <f>AM116</f>
        <v>230</v>
      </c>
      <c r="CQ116" s="72">
        <f>AQ116</f>
        <v>299</v>
      </c>
      <c r="CR116" s="72">
        <f>AU116</f>
        <v>328</v>
      </c>
      <c r="CS116" s="72">
        <f>AY116</f>
        <v>341</v>
      </c>
      <c r="CT116" s="23">
        <f>M116-K116</f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s="12" customFormat="1" x14ac:dyDescent="0.2">
      <c r="A117" s="9" t="str">
        <f>CONCATENATE(B117,"_",C117)</f>
        <v>adrb2_human_6MXT</v>
      </c>
      <c r="B117" s="9" t="s">
        <v>126</v>
      </c>
      <c r="C117" s="9" t="s">
        <v>1547</v>
      </c>
      <c r="D117" s="9" t="str">
        <f>IFERROR(MID(VLOOKUP($B117,Seqs!$A:$B,2,0),E117,1),"")</f>
        <v>D</v>
      </c>
      <c r="E117" s="9">
        <v>29</v>
      </c>
      <c r="F117" s="9" t="str">
        <f>IFERROR(MID(VLOOKUP($B117,Seqs!$A:$B,2,0),G117,1),"")</f>
        <v>F</v>
      </c>
      <c r="G117" s="9">
        <v>61</v>
      </c>
      <c r="H117" s="9" t="str">
        <f>IFERROR(MID(VLOOKUP($B117,Seqs!$A:$B,2,0),I117,1),"")</f>
        <v>E</v>
      </c>
      <c r="I117" s="109">
        <v>62</v>
      </c>
      <c r="J117" s="9" t="str">
        <f>IFERROR(MID(VLOOKUP($B117,Seqs!$A:$B,2,0),K117,1),"")</f>
        <v>Q</v>
      </c>
      <c r="K117" s="109">
        <v>65</v>
      </c>
      <c r="L117" s="9" t="str">
        <f>IFERROR(MID(VLOOKUP($B117,Seqs!$A:$B,2,0),M117,1),"")</f>
        <v>T</v>
      </c>
      <c r="M117" s="9">
        <v>66</v>
      </c>
      <c r="N117" s="9" t="str">
        <f>IFERROR(MID(VLOOKUP($B117,Seqs!$A:$B,2,0),O117,1),"")</f>
        <v>M</v>
      </c>
      <c r="O117" s="9">
        <v>96</v>
      </c>
      <c r="P117" s="9" t="str">
        <f>IFERROR(MID(VLOOKUP($B117,Seqs!$A:$B,2,0),Q117,1),"")</f>
        <v>M</v>
      </c>
      <c r="Q117" s="9">
        <v>98</v>
      </c>
      <c r="R117" s="9" t="str">
        <f>IFERROR(MID(VLOOKUP($B117,Seqs!$A:$B,2,0),S117,1),"")</f>
        <v>F</v>
      </c>
      <c r="S117" s="9">
        <v>101</v>
      </c>
      <c r="T117" s="9" t="str">
        <f>IFERROR(MID(VLOOKUP($B117,Seqs!$A:$B,2,0),U117,1),"")</f>
        <v>G</v>
      </c>
      <c r="U117" s="9">
        <v>102</v>
      </c>
      <c r="V117" s="9" t="str">
        <f>IFERROR(MID(VLOOKUP($B117,Seqs!$A:$B,2,0),W117,1),"")</f>
        <v>S</v>
      </c>
      <c r="W117" s="9">
        <v>137</v>
      </c>
      <c r="X117" s="9" t="str">
        <f>IFERROR(MID(VLOOKUP($B117,Seqs!$A:$B,2,0),Y117,1),"")</f>
        <v>P</v>
      </c>
      <c r="Y117" s="9">
        <v>138</v>
      </c>
      <c r="Z117" s="9" t="str">
        <f>IFERROR(MID(VLOOKUP($B117,Seqs!$A:$B,2,0),AA117,1),"")</f>
        <v>L</v>
      </c>
      <c r="AA117" s="9">
        <v>145</v>
      </c>
      <c r="AB117" s="9" t="str">
        <f>IFERROR(MID(VLOOKUP($B117,Seqs!$A:$B,2,0),AC117,1),"")</f>
        <v>T</v>
      </c>
      <c r="AC117" s="9">
        <v>146</v>
      </c>
      <c r="AD117" s="9" t="str">
        <f>IFERROR(MID(VLOOKUP($B117,Seqs!$A:$B,2,0),AE117,1),"")</f>
        <v>H</v>
      </c>
      <c r="AE117" s="9">
        <v>172</v>
      </c>
      <c r="AF117" s="9" t="str">
        <f>IFERROR(MID(VLOOKUP($B117,Seqs!$A:$B,2,0),AG117,1),"")</f>
        <v>C</v>
      </c>
      <c r="AG117" s="9">
        <v>191</v>
      </c>
      <c r="AH117" s="9" t="str">
        <f>IFERROR(MID(VLOOKUP($B117,Seqs!$A:$B,2,0),AI117,1),"")</f>
        <v>F</v>
      </c>
      <c r="AI117" s="9">
        <v>193</v>
      </c>
      <c r="AJ117" s="9" t="str">
        <f>IFERROR(MID(VLOOKUP($B117,Seqs!$A:$B,2,0),AK117,1),"")</f>
        <v>N</v>
      </c>
      <c r="AK117" s="9">
        <v>196</v>
      </c>
      <c r="AL117" s="9" t="str">
        <f>IFERROR(MID(VLOOKUP($B117,Seqs!$A:$B,2,0),AM117,1),"")</f>
        <v>K</v>
      </c>
      <c r="AM117" s="9">
        <v>232</v>
      </c>
      <c r="AN117" s="9" t="str">
        <f>IFERROR(MID(VLOOKUP($B117,Seqs!$A:$B,2,0),AO117,1),"")</f>
        <v>C</v>
      </c>
      <c r="AO117" s="9">
        <v>265</v>
      </c>
      <c r="AP117" s="9" t="str">
        <f>IFERROR(MID(VLOOKUP($B117,Seqs!$A:$B,2,0),AQ117,1),"")</f>
        <v>Q</v>
      </c>
      <c r="AQ117" s="9">
        <v>299</v>
      </c>
      <c r="AR117" s="9" t="str">
        <f>IFERROR(MID(VLOOKUP($B117,Seqs!$A:$B,2,0),AS117,1),"")</f>
        <v>R</v>
      </c>
      <c r="AS117" s="9">
        <v>304</v>
      </c>
      <c r="AT117" s="9" t="str">
        <f>IFERROR(MID(VLOOKUP($B117,Seqs!$A:$B,2,0),AU117,1),"")</f>
        <v>Y</v>
      </c>
      <c r="AU117" s="9">
        <v>326</v>
      </c>
      <c r="AV117" s="9" t="str">
        <f>IFERROR(MID(VLOOKUP($B117,Seqs!$A:$B,2,0),AW117,1),"")</f>
        <v>S</v>
      </c>
      <c r="AW117" s="9">
        <v>329</v>
      </c>
      <c r="AX117" s="9" t="str">
        <f>IFERROR(MID(VLOOKUP($B117,Seqs!$A:$B,2,0),AY117,1),"")</f>
        <v>L</v>
      </c>
      <c r="AY117" s="9">
        <v>342</v>
      </c>
      <c r="AZ117" s="110" t="str">
        <f>VLOOKUP(B117,Classification!A:D,2,0)</f>
        <v>A</v>
      </c>
      <c r="BA117" s="98" t="str">
        <f>VLOOKUP(B117,Classification!A:D,4,0)</f>
        <v>Adrenoceptors</v>
      </c>
      <c r="BB117" s="36" t="b">
        <f>AND(E117&lt;G117,OR(G117&lt;I117,I117="-"),OR(I117&lt;K117,I117="-"),OR(K117&lt;M117,K117="-"),M117&lt;O117,OR(O117&lt;Q117,Q117="-"),OR(Q117&lt;S117,Q117="-"),OR(S117&lt;U117,S117="-"),U117&lt;W117,OR(W117&lt;Y117,Y117="-"),OR(Y117&lt;AA117,Y117="-"),OR(AA117&lt;AC117,AA117="-"),AC117&lt;AE117,OR(AE117&lt;AG117,AG117="-"),OR(AG117&lt;AI117,AG117="-"),OR(AI117&lt;AK117,AI117="-"),AK117&lt;AM117,AM117&lt;AO117,AO117&lt;AQ117,AQ117&lt;AS117,AS117&lt;AU117,OR(AU117&lt;AW117,AW117="-"),OR(AW117&lt;AY117,AW117="-"))</f>
        <v>1</v>
      </c>
      <c r="BC117" s="109">
        <f>_xlfn.AGGREGATE(9,6,CH117:CS117)-_xlfn.AGGREGATE(9,6,BV117:CG117)+12</f>
        <v>255</v>
      </c>
      <c r="BD117" s="126" t="s">
        <v>23</v>
      </c>
      <c r="BE117" s="9" t="s">
        <v>1297</v>
      </c>
      <c r="BF117" s="120">
        <v>2.96</v>
      </c>
      <c r="BG117" s="51" t="s">
        <v>1</v>
      </c>
      <c r="BH117" s="51" t="s">
        <v>1</v>
      </c>
      <c r="BJ117" s="111" t="s">
        <v>1293</v>
      </c>
      <c r="BK117" s="112" t="s">
        <v>1293</v>
      </c>
      <c r="BL117" s="112" t="s">
        <v>1293</v>
      </c>
      <c r="BM117" s="112" t="s">
        <v>1293</v>
      </c>
      <c r="BN117" s="112" t="s">
        <v>1293</v>
      </c>
      <c r="BO117" s="112" t="s">
        <v>1293</v>
      </c>
      <c r="BP117" s="112" t="s">
        <v>1293</v>
      </c>
      <c r="BQ117" s="112" t="s">
        <v>1293</v>
      </c>
      <c r="BR117" s="112" t="s">
        <v>1293</v>
      </c>
      <c r="BS117" s="112" t="s">
        <v>1293</v>
      </c>
      <c r="BT117" s="112" t="s">
        <v>1293</v>
      </c>
      <c r="BU117" s="112" t="s">
        <v>1293</v>
      </c>
      <c r="BV117" s="111">
        <f>E117</f>
        <v>29</v>
      </c>
      <c r="BW117" s="113">
        <f>I117</f>
        <v>62</v>
      </c>
      <c r="BX117" s="114">
        <f>M117</f>
        <v>66</v>
      </c>
      <c r="BY117" s="113">
        <f>Q117</f>
        <v>98</v>
      </c>
      <c r="BZ117" s="114">
        <f>U117</f>
        <v>102</v>
      </c>
      <c r="CA117" s="113">
        <f>Y117</f>
        <v>138</v>
      </c>
      <c r="CB117" s="114">
        <f>AC117</f>
        <v>146</v>
      </c>
      <c r="CC117" s="113">
        <f>AG117</f>
        <v>191</v>
      </c>
      <c r="CD117" s="114">
        <f>AK117</f>
        <v>196</v>
      </c>
      <c r="CE117" s="113">
        <f>AO117</f>
        <v>265</v>
      </c>
      <c r="CF117" s="114">
        <f>AS117</f>
        <v>304</v>
      </c>
      <c r="CG117" s="113">
        <f>AW117</f>
        <v>329</v>
      </c>
      <c r="CH117" s="111">
        <f>G117</f>
        <v>61</v>
      </c>
      <c r="CI117" s="113">
        <f>K117</f>
        <v>65</v>
      </c>
      <c r="CJ117" s="114">
        <f>O117</f>
        <v>96</v>
      </c>
      <c r="CK117" s="114">
        <f>S117</f>
        <v>101</v>
      </c>
      <c r="CL117" s="114">
        <f>W117</f>
        <v>137</v>
      </c>
      <c r="CM117" s="114">
        <f>AA117</f>
        <v>145</v>
      </c>
      <c r="CN117" s="114">
        <f>AE117</f>
        <v>172</v>
      </c>
      <c r="CO117" s="114">
        <f>AI117</f>
        <v>193</v>
      </c>
      <c r="CP117" s="114">
        <f>AM117</f>
        <v>232</v>
      </c>
      <c r="CQ117" s="114">
        <f>AQ117</f>
        <v>299</v>
      </c>
      <c r="CR117" s="114">
        <f>AU117</f>
        <v>326</v>
      </c>
      <c r="CS117" s="114">
        <f>AY117</f>
        <v>342</v>
      </c>
      <c r="CT117" s="109">
        <f>M117-K117</f>
        <v>1</v>
      </c>
    </row>
    <row r="118" spans="1:1029" x14ac:dyDescent="0.2">
      <c r="A118" s="3" t="str">
        <f t="shared" si="559"/>
        <v>agtr1_human__wt</v>
      </c>
      <c r="B118" s="3" t="s">
        <v>158</v>
      </c>
      <c r="C118" s="3" t="s">
        <v>100</v>
      </c>
      <c r="D118" s="3" t="str">
        <f>IFERROR(MID(VLOOKUP($B118,Seqs!$A:$B,2,0),E118,1),"")</f>
        <v>Y</v>
      </c>
      <c r="E118" s="3">
        <v>26</v>
      </c>
      <c r="F118" s="3" t="str">
        <f>IFERROR(MID(VLOOKUP($B118,Seqs!$A:$B,2,0),G118,1),"")</f>
        <v>Y</v>
      </c>
      <c r="G118" s="3">
        <v>56</v>
      </c>
      <c r="H118" s="3" t="str">
        <f>IFERROR(MID(VLOOKUP($B118,Seqs!$A:$B,2,0),I118,1),"")</f>
        <v>M</v>
      </c>
      <c r="I118" s="23">
        <v>57</v>
      </c>
      <c r="J118" s="3" t="str">
        <f>IFERROR(MID(VLOOKUP($B118,Seqs!$A:$B,2,0),K118,1),"")</f>
        <v>K</v>
      </c>
      <c r="K118" s="23">
        <v>60</v>
      </c>
      <c r="L118" s="3" t="str">
        <f>IFERROR(MID(VLOOKUP($B118,Seqs!$A:$B,2,0),M118,1),"")</f>
        <v>T</v>
      </c>
      <c r="M118" s="3">
        <v>61</v>
      </c>
      <c r="N118" s="3" t="str">
        <f>IFERROR(MID(VLOOKUP($B118,Seqs!$A:$B,2,0),O118,1),"")</f>
        <v>M</v>
      </c>
      <c r="O118" s="3">
        <v>90</v>
      </c>
      <c r="P118" s="3" t="str">
        <f>IFERROR(MID(VLOOKUP($B118,Seqs!$A:$B,2,0),Q118,1),"")</f>
        <v>R</v>
      </c>
      <c r="Q118" s="3">
        <v>93</v>
      </c>
      <c r="R118" s="3" t="str">
        <f>IFERROR(MID(VLOOKUP($B118,Seqs!$A:$B,2,0),S118,1),"")</f>
        <v>F</v>
      </c>
      <c r="S118" s="3">
        <v>96</v>
      </c>
      <c r="T118" s="3" t="str">
        <f>IFERROR(MID(VLOOKUP($B118,Seqs!$A:$B,2,0),U118,1),"")</f>
        <v>G</v>
      </c>
      <c r="U118" s="3">
        <v>97</v>
      </c>
      <c r="V118" s="3" t="str">
        <f>IFERROR(MID(VLOOKUP($B118,Seqs!$A:$B,2,0),W118,1),"")</f>
        <v>H</v>
      </c>
      <c r="W118" s="3">
        <v>132</v>
      </c>
      <c r="X118" s="3" t="str">
        <f>IFERROR(MID(VLOOKUP($B118,Seqs!$A:$B,2,0),Y118,1),"")</f>
        <v>P</v>
      </c>
      <c r="Y118" s="3">
        <v>133</v>
      </c>
      <c r="Z118" s="3" t="str">
        <f>IFERROR(MID(VLOOKUP($B118,Seqs!$A:$B,2,0),AA118,1),"")</f>
        <v>R</v>
      </c>
      <c r="AA118" s="3">
        <v>140</v>
      </c>
      <c r="AB118" s="3" t="str">
        <f>IFERROR(MID(VLOOKUP($B118,Seqs!$A:$B,2,0),AC118,1),"")</f>
        <v>T</v>
      </c>
      <c r="AC118" s="9">
        <v>141</v>
      </c>
      <c r="AD118" s="3" t="str">
        <f>IFERROR(MID(VLOOKUP($B118,Seqs!$A:$B,2,0),AE118,1),"")</f>
        <v>R</v>
      </c>
      <c r="AE118" s="3">
        <v>167</v>
      </c>
      <c r="AF118" s="3" t="str">
        <f>IFERROR(MID(VLOOKUP($B118,Seqs!$A:$B,2,0),AG118,1),"")</f>
        <v>C</v>
      </c>
      <c r="AG118" s="3">
        <v>180</v>
      </c>
      <c r="AH118" s="3" t="str">
        <f>IFERROR(MID(VLOOKUP($B118,Seqs!$A:$B,2,0),AI118,1),"")</f>
        <v>F</v>
      </c>
      <c r="AI118" s="3">
        <v>182</v>
      </c>
      <c r="AJ118" s="3" t="str">
        <f>IFERROR(MID(VLOOKUP($B118,Seqs!$A:$B,2,0),AK118,1),"")</f>
        <v>L</v>
      </c>
      <c r="AK118" s="3">
        <v>191</v>
      </c>
      <c r="AL118" s="3" t="str">
        <f>IFERROR(MID(VLOOKUP($B118,Seqs!$A:$B,2,0),AM118,1),"")</f>
        <v>A</v>
      </c>
      <c r="AM118" s="3">
        <v>225</v>
      </c>
      <c r="AN118" s="3" t="str">
        <f>IFERROR(MID(VLOOKUP($B118,Seqs!$A:$B,2,0),AO118,1),"")</f>
        <v>P</v>
      </c>
      <c r="AO118" s="3">
        <v>233</v>
      </c>
      <c r="AP118" s="3" t="str">
        <f>IFERROR(MID(VLOOKUP($B118,Seqs!$A:$B,2,0),AQ118,1),"")</f>
        <v>G</v>
      </c>
      <c r="AQ118" s="3">
        <v>269</v>
      </c>
      <c r="AR118" s="3" t="str">
        <f>IFERROR(MID(VLOOKUP($B118,Seqs!$A:$B,2,0),AS118,1),"")</f>
        <v>D</v>
      </c>
      <c r="AS118" s="3">
        <v>273</v>
      </c>
      <c r="AT118" s="3" t="str">
        <f>IFERROR(MID(VLOOKUP($B118,Seqs!$A:$B,2,0),AU118,1),"")</f>
        <v>L</v>
      </c>
      <c r="AU118" s="3">
        <v>305</v>
      </c>
      <c r="AV118" s="3" t="str">
        <f>IFERROR(MID(VLOOKUP($B118,Seqs!$A:$B,2,0),AW118,1),"")</f>
        <v>G</v>
      </c>
      <c r="AW118" s="3">
        <v>306</v>
      </c>
      <c r="AX118" s="3" t="str">
        <f>IFERROR(MID(VLOOKUP($B118,Seqs!$A:$B,2,0),AY118,1),"")</f>
        <v>I</v>
      </c>
      <c r="AY118" s="3">
        <v>320</v>
      </c>
      <c r="AZ118" s="77" t="str">
        <f>VLOOKUP(B118,Classification!A:D,2,0)</f>
        <v>A</v>
      </c>
      <c r="BA118" s="94" t="str">
        <f>VLOOKUP(B118,Classification!A:D,4,0)</f>
        <v>Angiotensin</v>
      </c>
      <c r="BB118" s="27" t="b">
        <f t="shared" si="560"/>
        <v>1</v>
      </c>
      <c r="BC118" s="23">
        <f t="shared" si="365"/>
        <v>263</v>
      </c>
      <c r="BD118" s="56" t="s">
        <v>1379</v>
      </c>
      <c r="BE118" s="3" t="s">
        <v>23</v>
      </c>
      <c r="BF118" s="119" t="s">
        <v>23</v>
      </c>
      <c r="BG118" s="49" t="s">
        <v>1379</v>
      </c>
      <c r="BH118" s="49" t="s">
        <v>1384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366"/>
        <v>26</v>
      </c>
      <c r="BW118" s="71">
        <f t="shared" si="367"/>
        <v>57</v>
      </c>
      <c r="BX118" s="72">
        <f t="shared" si="368"/>
        <v>61</v>
      </c>
      <c r="BY118" s="71">
        <f t="shared" si="369"/>
        <v>93</v>
      </c>
      <c r="BZ118" s="72">
        <f t="shared" si="370"/>
        <v>97</v>
      </c>
      <c r="CA118" s="71">
        <f t="shared" si="371"/>
        <v>133</v>
      </c>
      <c r="CB118" s="72">
        <f t="shared" si="372"/>
        <v>141</v>
      </c>
      <c r="CC118" s="71">
        <f t="shared" si="373"/>
        <v>180</v>
      </c>
      <c r="CD118" s="72">
        <f t="shared" si="374"/>
        <v>191</v>
      </c>
      <c r="CE118" s="71">
        <f t="shared" si="375"/>
        <v>233</v>
      </c>
      <c r="CF118" s="72">
        <f t="shared" si="376"/>
        <v>273</v>
      </c>
      <c r="CG118" s="71">
        <f t="shared" si="377"/>
        <v>306</v>
      </c>
      <c r="CH118" s="70">
        <f t="shared" si="378"/>
        <v>56</v>
      </c>
      <c r="CI118" s="71">
        <f t="shared" si="379"/>
        <v>60</v>
      </c>
      <c r="CJ118" s="72">
        <f t="shared" si="380"/>
        <v>90</v>
      </c>
      <c r="CK118" s="72">
        <f t="shared" si="381"/>
        <v>96</v>
      </c>
      <c r="CL118" s="72">
        <f t="shared" si="382"/>
        <v>132</v>
      </c>
      <c r="CM118" s="72">
        <f t="shared" si="383"/>
        <v>140</v>
      </c>
      <c r="CN118" s="72">
        <f t="shared" si="384"/>
        <v>167</v>
      </c>
      <c r="CO118" s="72">
        <f t="shared" si="385"/>
        <v>182</v>
      </c>
      <c r="CP118" s="72">
        <f t="shared" si="386"/>
        <v>225</v>
      </c>
      <c r="CQ118" s="72">
        <f t="shared" si="387"/>
        <v>269</v>
      </c>
      <c r="CR118" s="72">
        <f t="shared" si="388"/>
        <v>305</v>
      </c>
      <c r="CS118" s="72">
        <f t="shared" si="389"/>
        <v>320</v>
      </c>
      <c r="CT118" s="23">
        <f t="shared" si="390"/>
        <v>1</v>
      </c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  <c r="AML118" s="2"/>
      <c r="AMM118" s="2"/>
      <c r="AMN118" s="2"/>
      <c r="AMO118" s="2"/>
    </row>
    <row r="119" spans="1:1029" x14ac:dyDescent="0.2">
      <c r="A119" s="3" t="str">
        <f t="shared" si="559"/>
        <v>agtr1_human_4YAY</v>
      </c>
      <c r="B119" s="3" t="s">
        <v>158</v>
      </c>
      <c r="C119" s="3" t="s">
        <v>69</v>
      </c>
      <c r="D119" s="3" t="str">
        <f>IFERROR(MID(VLOOKUP($B119,Seqs!$A:$B,2,0),E119,1),"")</f>
        <v>Y</v>
      </c>
      <c r="E119" s="3">
        <v>26</v>
      </c>
      <c r="F119" s="3" t="str">
        <f>IFERROR(MID(VLOOKUP($B119,Seqs!$A:$B,2,0),G119,1),"")</f>
        <v>Y</v>
      </c>
      <c r="G119" s="3">
        <v>56</v>
      </c>
      <c r="H119" s="3" t="str">
        <f>IFERROR(MID(VLOOKUP($B119,Seqs!$A:$B,2,0),I119,1),"")</f>
        <v>M</v>
      </c>
      <c r="I119" s="23">
        <v>57</v>
      </c>
      <c r="J119" s="3" t="str">
        <f>IFERROR(MID(VLOOKUP($B119,Seqs!$A:$B,2,0),K119,1),"")</f>
        <v>K</v>
      </c>
      <c r="K119" s="23">
        <v>60</v>
      </c>
      <c r="L119" s="3" t="str">
        <f>IFERROR(MID(VLOOKUP($B119,Seqs!$A:$B,2,0),M119,1),"")</f>
        <v>T</v>
      </c>
      <c r="M119" s="3">
        <v>61</v>
      </c>
      <c r="N119" s="3" t="str">
        <f>IFERROR(MID(VLOOKUP($B119,Seqs!$A:$B,2,0),O119,1),"")</f>
        <v>M</v>
      </c>
      <c r="O119" s="3">
        <v>90</v>
      </c>
      <c r="P119" s="3" t="str">
        <f>IFERROR(MID(VLOOKUP($B119,Seqs!$A:$B,2,0),Q119,1),"")</f>
        <v>R</v>
      </c>
      <c r="Q119" s="3">
        <v>93</v>
      </c>
      <c r="R119" s="3" t="str">
        <f>IFERROR(MID(VLOOKUP($B119,Seqs!$A:$B,2,0),S119,1),"")</f>
        <v>F</v>
      </c>
      <c r="S119" s="3">
        <v>96</v>
      </c>
      <c r="T119" s="3" t="str">
        <f>IFERROR(MID(VLOOKUP($B119,Seqs!$A:$B,2,0),U119,1),"")</f>
        <v>G</v>
      </c>
      <c r="U119" s="3">
        <v>97</v>
      </c>
      <c r="V119" s="3" t="str">
        <f>IFERROR(MID(VLOOKUP($B119,Seqs!$A:$B,2,0),W119,1),"")</f>
        <v>H</v>
      </c>
      <c r="W119" s="3">
        <v>132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R</v>
      </c>
      <c r="AC119" s="9">
        <v>137</v>
      </c>
      <c r="AD119" s="3" t="str">
        <f>IFERROR(MID(VLOOKUP($B119,Seqs!$A:$B,2,0),AE119,1),"")</f>
        <v>R</v>
      </c>
      <c r="AE119" s="3">
        <v>167</v>
      </c>
      <c r="AF119" s="3" t="str">
        <f>IFERROR(MID(VLOOKUP($B119,Seqs!$A:$B,2,0),AG119,1),"")</f>
        <v>C</v>
      </c>
      <c r="AG119" s="3">
        <v>180</v>
      </c>
      <c r="AH119" s="3" t="str">
        <f>IFERROR(MID(VLOOKUP($B119,Seqs!$A:$B,2,0),AI119,1),"")</f>
        <v>F</v>
      </c>
      <c r="AI119" s="3">
        <v>182</v>
      </c>
      <c r="AJ119" s="3" t="str">
        <f>IFERROR(MID(VLOOKUP($B119,Seqs!$A:$B,2,0),AK119,1),"")</f>
        <v>L</v>
      </c>
      <c r="AK119" s="3">
        <v>191</v>
      </c>
      <c r="AL119" s="3" t="str">
        <f>IFERROR(MID(VLOOKUP($B119,Seqs!$A:$B,2,0),AM119,1),"")</f>
        <v>L</v>
      </c>
      <c r="AM119" s="3">
        <v>222</v>
      </c>
      <c r="AN119" s="3" t="str">
        <f>IFERROR(MID(VLOOKUP($B119,Seqs!$A:$B,2,0),AO119,1),"")</f>
        <v>N</v>
      </c>
      <c r="AO119" s="3">
        <v>235</v>
      </c>
      <c r="AP119" s="3" t="str">
        <f>IFERROR(MID(VLOOKUP($B119,Seqs!$A:$B,2,0),AQ119,1),"")</f>
        <v>G</v>
      </c>
      <c r="AQ119" s="3">
        <v>269</v>
      </c>
      <c r="AR119" s="3" t="str">
        <f>IFERROR(MID(VLOOKUP($B119,Seqs!$A:$B,2,0),AS119,1),"")</f>
        <v>D</v>
      </c>
      <c r="AS119" s="3">
        <v>273</v>
      </c>
      <c r="AT119" s="3" t="str">
        <f>IFERROR(MID(VLOOKUP($B119,Seqs!$A:$B,2,0),AU119,1),"")</f>
        <v>N</v>
      </c>
      <c r="AU119" s="3">
        <v>298</v>
      </c>
      <c r="AV119" s="3" t="str">
        <f>IFERROR(MID(VLOOKUP($B119,Seqs!$A:$B,2,0),AW119,1),"")</f>
        <v/>
      </c>
      <c r="AW119" s="3" t="s">
        <v>23</v>
      </c>
      <c r="AX119" s="3" t="str">
        <f>IFERROR(MID(VLOOKUP($B119,Seqs!$A:$B,2,0),AY119,1),"")</f>
        <v/>
      </c>
      <c r="AY119" s="3" t="s">
        <v>23</v>
      </c>
      <c r="AZ119" s="77" t="str">
        <f>VLOOKUP(B119,Classification!A:D,2,0)</f>
        <v>A</v>
      </c>
      <c r="BA119" s="94" t="str">
        <f>VLOOKUP(B119,Classification!A:D,4,0)</f>
        <v>Angiotensin</v>
      </c>
      <c r="BB119" s="27" t="b">
        <f t="shared" si="560"/>
        <v>1</v>
      </c>
      <c r="BC119" s="23">
        <f t="shared" si="365"/>
        <v>234</v>
      </c>
      <c r="BD119" s="4" t="s">
        <v>23</v>
      </c>
      <c r="BE119" s="3" t="s">
        <v>1381</v>
      </c>
      <c r="BF119" s="119">
        <v>2.9</v>
      </c>
      <c r="BG119" s="49" t="s">
        <v>1384</v>
      </c>
      <c r="BH119" s="49" t="s">
        <v>1384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366"/>
        <v>26</v>
      </c>
      <c r="BW119" s="71">
        <f t="shared" si="367"/>
        <v>57</v>
      </c>
      <c r="BX119" s="72">
        <f t="shared" si="368"/>
        <v>61</v>
      </c>
      <c r="BY119" s="71">
        <f t="shared" si="369"/>
        <v>93</v>
      </c>
      <c r="BZ119" s="72">
        <f t="shared" si="370"/>
        <v>97</v>
      </c>
      <c r="CA119" s="71" t="str">
        <f t="shared" si="371"/>
        <v>-</v>
      </c>
      <c r="CB119" s="72">
        <f t="shared" si="372"/>
        <v>137</v>
      </c>
      <c r="CC119" s="71">
        <f t="shared" si="373"/>
        <v>180</v>
      </c>
      <c r="CD119" s="72">
        <f t="shared" si="374"/>
        <v>191</v>
      </c>
      <c r="CE119" s="71">
        <f t="shared" si="375"/>
        <v>235</v>
      </c>
      <c r="CF119" s="72">
        <f t="shared" si="376"/>
        <v>273</v>
      </c>
      <c r="CG119" s="71" t="str">
        <f t="shared" si="377"/>
        <v>-</v>
      </c>
      <c r="CH119" s="70">
        <f t="shared" si="378"/>
        <v>56</v>
      </c>
      <c r="CI119" s="71">
        <f t="shared" si="379"/>
        <v>60</v>
      </c>
      <c r="CJ119" s="72">
        <f t="shared" si="380"/>
        <v>90</v>
      </c>
      <c r="CK119" s="72">
        <f t="shared" si="381"/>
        <v>96</v>
      </c>
      <c r="CL119" s="72">
        <f t="shared" si="382"/>
        <v>132</v>
      </c>
      <c r="CM119" s="72" t="str">
        <f t="shared" si="383"/>
        <v>-</v>
      </c>
      <c r="CN119" s="72">
        <f t="shared" si="384"/>
        <v>167</v>
      </c>
      <c r="CO119" s="72">
        <f t="shared" si="385"/>
        <v>182</v>
      </c>
      <c r="CP119" s="72">
        <f t="shared" si="386"/>
        <v>222</v>
      </c>
      <c r="CQ119" s="72">
        <f t="shared" si="387"/>
        <v>269</v>
      </c>
      <c r="CR119" s="72">
        <f t="shared" si="388"/>
        <v>298</v>
      </c>
      <c r="CS119" s="72" t="str">
        <f t="shared" si="389"/>
        <v>-</v>
      </c>
      <c r="CT119" s="23">
        <f t="shared" si="390"/>
        <v>1</v>
      </c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</row>
    <row r="120" spans="1:1029" x14ac:dyDescent="0.2">
      <c r="A120" s="3" t="str">
        <f t="shared" si="559"/>
        <v>agtr1_human_4YAY_dist</v>
      </c>
      <c r="B120" s="3" t="s">
        <v>158</v>
      </c>
      <c r="C120" s="3" t="s">
        <v>1160</v>
      </c>
      <c r="D120" s="3" t="str">
        <f>IFERROR(MID(VLOOKUP($B120,Seqs!$A:$B,2,0),E120,1),"")</f>
        <v>Y</v>
      </c>
      <c r="E120" s="3">
        <v>26</v>
      </c>
      <c r="F120" s="3" t="str">
        <f>IFERROR(MID(VLOOKUP($B120,Seqs!$A:$B,2,0),G120,1),"")</f>
        <v>Y</v>
      </c>
      <c r="G120" s="3">
        <v>56</v>
      </c>
      <c r="H120" s="3" t="str">
        <f>IFERROR(MID(VLOOKUP($B120,Seqs!$A:$B,2,0),I120,1),"")</f>
        <v>M</v>
      </c>
      <c r="I120" s="23">
        <v>57</v>
      </c>
      <c r="J120" s="3" t="str">
        <f>IFERROR(MID(VLOOKUP($B120,Seqs!$A:$B,2,0),K120,1),"")</f>
        <v>K</v>
      </c>
      <c r="K120" s="23">
        <v>60</v>
      </c>
      <c r="L120" s="3" t="str">
        <f>IFERROR(MID(VLOOKUP($B120,Seqs!$A:$B,2,0),M120,1),"")</f>
        <v>T</v>
      </c>
      <c r="M120" s="3">
        <v>61</v>
      </c>
      <c r="N120" s="3" t="str">
        <f>IFERROR(MID(VLOOKUP($B120,Seqs!$A:$B,2,0),O120,1),"")</f>
        <v>M</v>
      </c>
      <c r="O120" s="3">
        <v>90</v>
      </c>
      <c r="P120" s="3" t="str">
        <f>IFERROR(MID(VLOOKUP($B120,Seqs!$A:$B,2,0),Q120,1),"")</f>
        <v>R</v>
      </c>
      <c r="Q120" s="3">
        <v>93</v>
      </c>
      <c r="R120" s="3" t="str">
        <f>IFERROR(MID(VLOOKUP($B120,Seqs!$A:$B,2,0),S120,1),"")</f>
        <v>F</v>
      </c>
      <c r="S120" s="3">
        <v>96</v>
      </c>
      <c r="T120" s="3" t="str">
        <f>IFERROR(MID(VLOOKUP($B120,Seqs!$A:$B,2,0),U120,1),"")</f>
        <v>G</v>
      </c>
      <c r="U120" s="3">
        <v>97</v>
      </c>
      <c r="V120" s="3" t="str">
        <f>IFERROR(MID(VLOOKUP($B120,Seqs!$A:$B,2,0),W120,1),"")</f>
        <v>H</v>
      </c>
      <c r="W120" s="3">
        <v>132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R</v>
      </c>
      <c r="AC120" s="9">
        <v>137</v>
      </c>
      <c r="AD120" s="3" t="str">
        <f>IFERROR(MID(VLOOKUP($B120,Seqs!$A:$B,2,0),AE120,1),"")</f>
        <v>R</v>
      </c>
      <c r="AE120" s="3">
        <v>167</v>
      </c>
      <c r="AF120" s="3" t="str">
        <f>IFERROR(MID(VLOOKUP($B120,Seqs!$A:$B,2,0),AG120,1),"")</f>
        <v>C</v>
      </c>
      <c r="AG120" s="3">
        <v>180</v>
      </c>
      <c r="AH120" s="3" t="str">
        <f>IFERROR(MID(VLOOKUP($B120,Seqs!$A:$B,2,0),AI120,1),"")</f>
        <v>F</v>
      </c>
      <c r="AI120" s="3">
        <v>182</v>
      </c>
      <c r="AJ120" s="3" t="str">
        <f>IFERROR(MID(VLOOKUP($B120,Seqs!$A:$B,2,0),AK120,1),"")</f>
        <v>L</v>
      </c>
      <c r="AK120" s="3">
        <v>191</v>
      </c>
      <c r="AL120" s="3" t="str">
        <f>IFERROR(MID(VLOOKUP($B120,Seqs!$A:$B,2,0),AM120,1),"")</f>
        <v>L</v>
      </c>
      <c r="AM120" s="3">
        <v>222</v>
      </c>
      <c r="AN120" s="3" t="str">
        <f>IFERROR(MID(VLOOKUP($B120,Seqs!$A:$B,2,0),AO120,1),"")</f>
        <v>N</v>
      </c>
      <c r="AO120" s="3">
        <v>235</v>
      </c>
      <c r="AP120" s="3" t="str">
        <f>IFERROR(MID(VLOOKUP($B120,Seqs!$A:$B,2,0),AQ120,1),"")</f>
        <v>G</v>
      </c>
      <c r="AQ120" s="3">
        <v>269</v>
      </c>
      <c r="AR120" s="3" t="str">
        <f>IFERROR(MID(VLOOKUP($B120,Seqs!$A:$B,2,0),AS120,1),"")</f>
        <v>D</v>
      </c>
      <c r="AS120" s="3">
        <v>273</v>
      </c>
      <c r="AT120" s="3" t="str">
        <f>IFERROR(MID(VLOOKUP($B120,Seqs!$A:$B,2,0),AU120,1),"")</f>
        <v>F</v>
      </c>
      <c r="AU120" s="3">
        <v>304</v>
      </c>
      <c r="AV120" s="3" t="str">
        <f>IFERROR(MID(VLOOKUP($B120,Seqs!$A:$B,2,0),AW120,1),"")</f>
        <v>G</v>
      </c>
      <c r="AW120" s="3">
        <v>306</v>
      </c>
      <c r="AX120" s="3" t="str">
        <f>IFERROR(MID(VLOOKUP($B120,Seqs!$A:$B,2,0),AY120,1),"")</f>
        <v>L</v>
      </c>
      <c r="AY120" s="3">
        <v>317</v>
      </c>
      <c r="AZ120" s="77" t="str">
        <f>VLOOKUP(B120,Classification!A:D,2,0)</f>
        <v>A</v>
      </c>
      <c r="BA120" s="94" t="str">
        <f>VLOOKUP(B120,Classification!A:D,4,0)</f>
        <v>Angiotensin</v>
      </c>
      <c r="BB120" s="27" t="b">
        <f t="shared" si="560"/>
        <v>1</v>
      </c>
      <c r="BC120" s="23">
        <f t="shared" si="365"/>
        <v>251</v>
      </c>
      <c r="BD120" s="5"/>
      <c r="BE120" s="3" t="s">
        <v>1381</v>
      </c>
      <c r="BF120" s="119">
        <v>2.9</v>
      </c>
      <c r="BG120" s="49" t="s">
        <v>1384</v>
      </c>
      <c r="BH120" s="49" t="s">
        <v>1384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 t="shared" si="366"/>
        <v>26</v>
      </c>
      <c r="BW120" s="71">
        <f t="shared" si="367"/>
        <v>57</v>
      </c>
      <c r="BX120" s="72">
        <f t="shared" si="368"/>
        <v>61</v>
      </c>
      <c r="BY120" s="71">
        <f t="shared" si="369"/>
        <v>93</v>
      </c>
      <c r="BZ120" s="72">
        <f t="shared" si="370"/>
        <v>97</v>
      </c>
      <c r="CA120" s="71" t="str">
        <f t="shared" si="371"/>
        <v>-</v>
      </c>
      <c r="CB120" s="72">
        <f t="shared" si="372"/>
        <v>137</v>
      </c>
      <c r="CC120" s="71">
        <f t="shared" si="373"/>
        <v>180</v>
      </c>
      <c r="CD120" s="72">
        <f t="shared" si="374"/>
        <v>191</v>
      </c>
      <c r="CE120" s="71">
        <f t="shared" si="375"/>
        <v>235</v>
      </c>
      <c r="CF120" s="72">
        <f t="shared" si="376"/>
        <v>273</v>
      </c>
      <c r="CG120" s="71">
        <f t="shared" si="377"/>
        <v>306</v>
      </c>
      <c r="CH120" s="70">
        <f t="shared" si="378"/>
        <v>56</v>
      </c>
      <c r="CI120" s="71">
        <f t="shared" si="379"/>
        <v>60</v>
      </c>
      <c r="CJ120" s="72">
        <f t="shared" si="380"/>
        <v>90</v>
      </c>
      <c r="CK120" s="72">
        <f t="shared" si="381"/>
        <v>96</v>
      </c>
      <c r="CL120" s="72">
        <f t="shared" si="382"/>
        <v>132</v>
      </c>
      <c r="CM120" s="72" t="str">
        <f t="shared" si="383"/>
        <v>-</v>
      </c>
      <c r="CN120" s="72">
        <f t="shared" si="384"/>
        <v>167</v>
      </c>
      <c r="CO120" s="72">
        <f t="shared" si="385"/>
        <v>182</v>
      </c>
      <c r="CP120" s="72">
        <f t="shared" si="386"/>
        <v>222</v>
      </c>
      <c r="CQ120" s="72">
        <f t="shared" si="387"/>
        <v>269</v>
      </c>
      <c r="CR120" s="72">
        <f t="shared" si="388"/>
        <v>304</v>
      </c>
      <c r="CS120" s="72">
        <f t="shared" si="389"/>
        <v>317</v>
      </c>
      <c r="CT120" s="23">
        <f t="shared" si="390"/>
        <v>1</v>
      </c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</row>
    <row r="121" spans="1:1029" x14ac:dyDescent="0.2">
      <c r="A121" s="3" t="str">
        <f t="shared" si="559"/>
        <v>agtr1_human_4ZUD</v>
      </c>
      <c r="B121" s="3" t="s">
        <v>158</v>
      </c>
      <c r="C121" s="3" t="s">
        <v>1342</v>
      </c>
      <c r="D121" s="3" t="str">
        <f>IFERROR(MID(VLOOKUP($B121,Seqs!$A:$B,2,0),E121,1),"")</f>
        <v>Y</v>
      </c>
      <c r="E121" s="3">
        <v>26</v>
      </c>
      <c r="F121" s="3" t="str">
        <f>IFERROR(MID(VLOOKUP($B121,Seqs!$A:$B,2,0),G121,1),"")</f>
        <v>Y</v>
      </c>
      <c r="G121" s="3">
        <v>56</v>
      </c>
      <c r="H121" s="3" t="str">
        <f>IFERROR(MID(VLOOKUP($B121,Seqs!$A:$B,2,0),I121,1),"")</f>
        <v>M</v>
      </c>
      <c r="I121" s="23">
        <v>57</v>
      </c>
      <c r="J121" s="3" t="str">
        <f>IFERROR(MID(VLOOKUP($B121,Seqs!$A:$B,2,0),K121,1),"")</f>
        <v>K</v>
      </c>
      <c r="K121" s="23">
        <v>60</v>
      </c>
      <c r="L121" s="3" t="str">
        <f>IFERROR(MID(VLOOKUP($B121,Seqs!$A:$B,2,0),M121,1),"")</f>
        <v>T</v>
      </c>
      <c r="M121" s="3">
        <v>61</v>
      </c>
      <c r="N121" s="3" t="str">
        <f>IFERROR(MID(VLOOKUP($B121,Seqs!$A:$B,2,0),O121,1),"")</f>
        <v>M</v>
      </c>
      <c r="O121" s="3">
        <v>90</v>
      </c>
      <c r="P121" s="3" t="str">
        <f>IFERROR(MID(VLOOKUP($B121,Seqs!$A:$B,2,0),Q121,1),"")</f>
        <v>R</v>
      </c>
      <c r="Q121" s="3">
        <v>93</v>
      </c>
      <c r="R121" s="3" t="str">
        <f>IFERROR(MID(VLOOKUP($B121,Seqs!$A:$B,2,0),S121,1),"")</f>
        <v>F</v>
      </c>
      <c r="S121" s="3">
        <v>96</v>
      </c>
      <c r="T121" s="3" t="str">
        <f>IFERROR(MID(VLOOKUP($B121,Seqs!$A:$B,2,0),U121,1),"")</f>
        <v>G</v>
      </c>
      <c r="U121" s="3">
        <v>97</v>
      </c>
      <c r="V121" s="3" t="str">
        <f>IFERROR(MID(VLOOKUP($B121,Seqs!$A:$B,2,0),W121,1),"")</f>
        <v>H</v>
      </c>
      <c r="W121" s="3">
        <v>132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M</v>
      </c>
      <c r="AC121" s="9">
        <v>142</v>
      </c>
      <c r="AD121" s="3" t="str">
        <f>IFERROR(MID(VLOOKUP($B121,Seqs!$A:$B,2,0),AE121,1),"")</f>
        <v>R</v>
      </c>
      <c r="AE121" s="3">
        <v>167</v>
      </c>
      <c r="AF121" s="3" t="str">
        <f>IFERROR(MID(VLOOKUP($B121,Seqs!$A:$B,2,0),AG121,1),"")</f>
        <v>C</v>
      </c>
      <c r="AG121" s="3">
        <v>180</v>
      </c>
      <c r="AH121" s="3" t="str">
        <f>IFERROR(MID(VLOOKUP($B121,Seqs!$A:$B,2,0),AI121,1),"")</f>
        <v>F</v>
      </c>
      <c r="AI121" s="3">
        <v>182</v>
      </c>
      <c r="AJ121" s="3" t="str">
        <f>IFERROR(MID(VLOOKUP($B121,Seqs!$A:$B,2,0),AK121,1),"")</f>
        <v>L</v>
      </c>
      <c r="AK121" s="3">
        <v>191</v>
      </c>
      <c r="AL121" s="3" t="str">
        <f>IFERROR(MID(VLOOKUP($B121,Seqs!$A:$B,2,0),AM121,1),"")</f>
        <v>L</v>
      </c>
      <c r="AM121" s="3">
        <v>222</v>
      </c>
      <c r="AN121" s="3" t="str">
        <f>IFERROR(MID(VLOOKUP($B121,Seqs!$A:$B,2,0),AO121,1),"")</f>
        <v>D</v>
      </c>
      <c r="AO121" s="3">
        <v>236</v>
      </c>
      <c r="AP121" s="3" t="str">
        <f>IFERROR(MID(VLOOKUP($B121,Seqs!$A:$B,2,0),AQ121,1),"")</f>
        <v>G</v>
      </c>
      <c r="AQ121" s="3">
        <v>269</v>
      </c>
      <c r="AR121" s="3" t="str">
        <f>IFERROR(MID(VLOOKUP($B121,Seqs!$A:$B,2,0),AS121,1),"")</f>
        <v>D</v>
      </c>
      <c r="AS121" s="3">
        <v>273</v>
      </c>
      <c r="AT121" s="3" t="str">
        <f>IFERROR(MID(VLOOKUP($B121,Seqs!$A:$B,2,0),AU121,1),"")</f>
        <v>F</v>
      </c>
      <c r="AU121" s="3">
        <v>304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77" t="str">
        <f>VLOOKUP(B121,Classification!A:D,2,0)</f>
        <v>A</v>
      </c>
      <c r="BA121" s="94" t="str">
        <f>VLOOKUP(B121,Classification!A:D,4,0)</f>
        <v>Angiotensin</v>
      </c>
      <c r="BB121" s="27" t="b">
        <f t="shared" si="560"/>
        <v>1</v>
      </c>
      <c r="BC121" s="23">
        <f t="shared" si="365"/>
        <v>234</v>
      </c>
      <c r="BD121" s="2" t="s">
        <v>1383</v>
      </c>
      <c r="BE121" s="3" t="s">
        <v>1381</v>
      </c>
      <c r="BF121" s="119">
        <v>2.8</v>
      </c>
      <c r="BG121" s="49" t="s">
        <v>1384</v>
      </c>
      <c r="BH121" s="49" t="s">
        <v>1384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366"/>
        <v>26</v>
      </c>
      <c r="BW121" s="71">
        <f t="shared" si="367"/>
        <v>57</v>
      </c>
      <c r="BX121" s="72">
        <f t="shared" si="368"/>
        <v>61</v>
      </c>
      <c r="BY121" s="71">
        <f t="shared" si="369"/>
        <v>93</v>
      </c>
      <c r="BZ121" s="72">
        <f t="shared" si="370"/>
        <v>97</v>
      </c>
      <c r="CA121" s="71" t="str">
        <f t="shared" si="371"/>
        <v>-</v>
      </c>
      <c r="CB121" s="72">
        <f t="shared" si="372"/>
        <v>142</v>
      </c>
      <c r="CC121" s="71">
        <f t="shared" si="373"/>
        <v>180</v>
      </c>
      <c r="CD121" s="72">
        <f t="shared" si="374"/>
        <v>191</v>
      </c>
      <c r="CE121" s="71">
        <f t="shared" si="375"/>
        <v>236</v>
      </c>
      <c r="CF121" s="72">
        <f t="shared" si="376"/>
        <v>273</v>
      </c>
      <c r="CG121" s="71" t="str">
        <f t="shared" si="377"/>
        <v>-</v>
      </c>
      <c r="CH121" s="70">
        <f t="shared" si="378"/>
        <v>56</v>
      </c>
      <c r="CI121" s="71">
        <f t="shared" si="379"/>
        <v>60</v>
      </c>
      <c r="CJ121" s="72">
        <f t="shared" si="380"/>
        <v>90</v>
      </c>
      <c r="CK121" s="72">
        <f t="shared" si="381"/>
        <v>96</v>
      </c>
      <c r="CL121" s="72">
        <f t="shared" si="382"/>
        <v>132</v>
      </c>
      <c r="CM121" s="72" t="str">
        <f t="shared" si="383"/>
        <v>-</v>
      </c>
      <c r="CN121" s="72">
        <f t="shared" si="384"/>
        <v>167</v>
      </c>
      <c r="CO121" s="72">
        <f t="shared" si="385"/>
        <v>182</v>
      </c>
      <c r="CP121" s="72">
        <f t="shared" si="386"/>
        <v>222</v>
      </c>
      <c r="CQ121" s="72">
        <f t="shared" si="387"/>
        <v>269</v>
      </c>
      <c r="CR121" s="72">
        <f t="shared" si="388"/>
        <v>304</v>
      </c>
      <c r="CS121" s="72" t="str">
        <f t="shared" si="389"/>
        <v>-</v>
      </c>
      <c r="CT121" s="23">
        <f t="shared" si="390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ref="A122:A132" si="561">CONCATENATE(B122,"_",C122)</f>
        <v>agtr2_human__wt</v>
      </c>
      <c r="B122" s="3" t="s">
        <v>159</v>
      </c>
      <c r="C122" s="3" t="s">
        <v>100</v>
      </c>
      <c r="D122" s="3" t="str">
        <f>IFERROR(MID(VLOOKUP($B122,Seqs!$A:$B,2,0),E122,1),"")</f>
        <v>D</v>
      </c>
      <c r="E122" s="3">
        <v>45</v>
      </c>
      <c r="F122" s="3" t="str">
        <f>IFERROR(MID(VLOOKUP($B122,Seqs!$A:$B,2,0),G122,1),"")</f>
        <v>Q</v>
      </c>
      <c r="G122" s="3">
        <v>72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V</v>
      </c>
      <c r="M122" s="3">
        <v>78</v>
      </c>
      <c r="N122" s="3" t="str">
        <f>IFERROR(MID(VLOOKUP($B122,Seqs!$A:$B,2,0),O122,1),"")</f>
        <v>Y</v>
      </c>
      <c r="O122" s="3">
        <v>106</v>
      </c>
      <c r="P122" s="3" t="str">
        <f>IFERROR(MID(VLOOKUP($B122,Seqs!$A:$B,2,0),Q122,1),"")</f>
        <v>R</v>
      </c>
      <c r="Q122" s="3">
        <v>107</v>
      </c>
      <c r="R122" s="3" t="str">
        <f>IFERROR(MID(VLOOKUP($B122,Seqs!$A:$B,2,0),S122,1),"")</f>
        <v>F</v>
      </c>
      <c r="S122" s="3">
        <v>112</v>
      </c>
      <c r="T122" s="3" t="str">
        <f>IFERROR(MID(VLOOKUP($B122,Seqs!$A:$B,2,0),U122,1),"")</f>
        <v>G</v>
      </c>
      <c r="U122" s="3">
        <v>113</v>
      </c>
      <c r="V122" s="3" t="str">
        <f>IFERROR(MID(VLOOKUP($B122,Seqs!$A:$B,2,0),W122,1),"")</f>
        <v>Y</v>
      </c>
      <c r="W122" s="3">
        <v>148</v>
      </c>
      <c r="X122" s="3" t="str">
        <f>IFERROR(MID(VLOOKUP($B122,Seqs!$A:$B,2,0),Y122,1),"")</f>
        <v>P</v>
      </c>
      <c r="Y122" s="3">
        <v>149</v>
      </c>
      <c r="Z122" s="3" t="str">
        <f>IFERROR(MID(VLOOKUP($B122,Seqs!$A:$B,2,0),AA122,1),"")</f>
        <v>R</v>
      </c>
      <c r="AA122" s="3">
        <v>155</v>
      </c>
      <c r="AB122" s="3" t="str">
        <f>IFERROR(MID(VLOOKUP($B122,Seqs!$A:$B,2,0),AC122,1),"")</f>
        <v>N</v>
      </c>
      <c r="AC122" s="3">
        <v>156</v>
      </c>
      <c r="AD122" s="3" t="str">
        <f>IFERROR(MID(VLOOKUP($B122,Seqs!$A:$B,2,0),AE122,1),"")</f>
        <v>R</v>
      </c>
      <c r="AE122" s="3">
        <v>182</v>
      </c>
      <c r="AF122" s="3" t="str">
        <f>IFERROR(MID(VLOOKUP($B122,Seqs!$A:$B,2,0),AG122,1),"")</f>
        <v>C</v>
      </c>
      <c r="AG122" s="3">
        <v>195</v>
      </c>
      <c r="AH122" s="3" t="str">
        <f>IFERROR(MID(VLOOKUP($B122,Seqs!$A:$B,2,0),AI122,1),"")</f>
        <v>M</v>
      </c>
      <c r="AI122" s="3">
        <v>197</v>
      </c>
      <c r="AJ122" s="3" t="str">
        <f>IFERROR(MID(VLOOKUP($B122,Seqs!$A:$B,2,0),AK122,1),"")</f>
        <v>K</v>
      </c>
      <c r="AK122" s="3">
        <v>203</v>
      </c>
      <c r="AL122" s="3" t="str">
        <f>IFERROR(MID(VLOOKUP($B122,Seqs!$A:$B,2,0),AM122,1),"")</f>
        <v>T</v>
      </c>
      <c r="AM122" s="3">
        <v>241</v>
      </c>
      <c r="AN122" s="3" t="str">
        <f>IFERROR(MID(VLOOKUP($B122,Seqs!$A:$B,2,0),AO122,1),"")</f>
        <v>G</v>
      </c>
      <c r="AO122" s="3">
        <v>245</v>
      </c>
      <c r="AP122" s="3" t="str">
        <f>IFERROR(MID(VLOOKUP($B122,Seqs!$A:$B,2,0),AQ122,1),"")</f>
        <v>G</v>
      </c>
      <c r="AQ122" s="3">
        <v>285</v>
      </c>
      <c r="AR122" s="3" t="str">
        <f>IFERROR(MID(VLOOKUP($B122,Seqs!$A:$B,2,0),AS122,1),"")</f>
        <v>S</v>
      </c>
      <c r="AS122" s="3">
        <v>289</v>
      </c>
      <c r="AT122" s="3" t="str">
        <f>IFERROR(MID(VLOOKUP($B122,Seqs!$A:$B,2,0),AU122,1),"")</f>
        <v>V</v>
      </c>
      <c r="AU122" s="3">
        <v>321</v>
      </c>
      <c r="AV122" s="3" t="str">
        <f>IFERROR(MID(VLOOKUP($B122,Seqs!$A:$B,2,0),AW122,1),"")</f>
        <v>G</v>
      </c>
      <c r="AW122" s="3">
        <v>322</v>
      </c>
      <c r="AX122" s="3" t="str">
        <f>IFERROR(MID(VLOOKUP($B122,Seqs!$A:$B,2,0),AY122,1),"")</f>
        <v>P</v>
      </c>
      <c r="AY122" s="3">
        <v>336</v>
      </c>
      <c r="AZ122" s="77" t="str">
        <f>VLOOKUP(B122,Classification!A:D,2,0)</f>
        <v>A</v>
      </c>
      <c r="BA122" s="94" t="str">
        <f>VLOOKUP(B122,Classification!A:D,4,0)</f>
        <v>Angiotensin</v>
      </c>
      <c r="BB122" s="27" t="b">
        <f t="shared" ref="BB122:BB132" si="562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ref="BC122:BC132" si="563">_xlfn.AGGREGATE(9,6,CH122:CS122)-_xlfn.AGGREGATE(9,6,BV122:CG122)+12</f>
        <v>265</v>
      </c>
      <c r="BD122" s="2" t="s">
        <v>23</v>
      </c>
      <c r="BE122" s="3" t="s">
        <v>23</v>
      </c>
      <c r="BF122" s="119" t="s">
        <v>23</v>
      </c>
      <c r="BG122" s="49" t="s">
        <v>1384</v>
      </c>
      <c r="BH122" s="49" t="s">
        <v>1384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 t="shared" ref="BV122:BV132" si="564">E122</f>
        <v>45</v>
      </c>
      <c r="BW122" s="71" t="str">
        <f t="shared" ref="BW122:BW132" si="565">I122</f>
        <v>-</v>
      </c>
      <c r="BX122" s="72">
        <f t="shared" ref="BX122:BX132" si="566">M122</f>
        <v>78</v>
      </c>
      <c r="BY122" s="71">
        <f t="shared" ref="BY122:BY132" si="567">Q122</f>
        <v>107</v>
      </c>
      <c r="BZ122" s="72">
        <f t="shared" ref="BZ122:BZ132" si="568">U122</f>
        <v>113</v>
      </c>
      <c r="CA122" s="71">
        <f t="shared" ref="CA122:CA132" si="569">Y122</f>
        <v>149</v>
      </c>
      <c r="CB122" s="72">
        <f t="shared" ref="CB122:CB132" si="570">AC122</f>
        <v>156</v>
      </c>
      <c r="CC122" s="71">
        <f t="shared" ref="CC122:CC132" si="571">AG122</f>
        <v>195</v>
      </c>
      <c r="CD122" s="72">
        <f t="shared" ref="CD122:CD132" si="572">AK122</f>
        <v>203</v>
      </c>
      <c r="CE122" s="71">
        <f t="shared" ref="CE122:CE132" si="573">AO122</f>
        <v>245</v>
      </c>
      <c r="CF122" s="72">
        <f t="shared" ref="CF122:CF132" si="574">AS122</f>
        <v>289</v>
      </c>
      <c r="CG122" s="71">
        <f t="shared" ref="CG122:CG132" si="575">AW122</f>
        <v>322</v>
      </c>
      <c r="CH122" s="70">
        <f t="shared" ref="CH122:CH132" si="576">G122</f>
        <v>72</v>
      </c>
      <c r="CI122" s="71" t="str">
        <f t="shared" ref="CI122:CI132" si="577">K122</f>
        <v>-</v>
      </c>
      <c r="CJ122" s="72">
        <f t="shared" ref="CJ122:CJ132" si="578">O122</f>
        <v>106</v>
      </c>
      <c r="CK122" s="72">
        <f t="shared" ref="CK122:CK132" si="579">S122</f>
        <v>112</v>
      </c>
      <c r="CL122" s="72">
        <f t="shared" ref="CL122:CL132" si="580">W122</f>
        <v>148</v>
      </c>
      <c r="CM122" s="72">
        <f t="shared" ref="CM122:CM132" si="581">AA122</f>
        <v>155</v>
      </c>
      <c r="CN122" s="72">
        <f t="shared" ref="CN122:CN132" si="582">AE122</f>
        <v>182</v>
      </c>
      <c r="CO122" s="72">
        <f t="shared" ref="CO122:CO132" si="583">AI122</f>
        <v>197</v>
      </c>
      <c r="CP122" s="72">
        <f t="shared" ref="CP122:CP132" si="584">AM122</f>
        <v>241</v>
      </c>
      <c r="CQ122" s="72">
        <f t="shared" ref="CQ122:CQ132" si="585">AQ122</f>
        <v>285</v>
      </c>
      <c r="CR122" s="72">
        <f t="shared" ref="CR122:CR132" si="586">AU122</f>
        <v>321</v>
      </c>
      <c r="CS122" s="72">
        <f t="shared" ref="CS122:CS132" si="587">AY122</f>
        <v>336</v>
      </c>
      <c r="CT122" s="23" t="e">
        <f t="shared" ref="CT122:CT132" si="588">M122-K122</f>
        <v>#VALUE!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561"/>
        <v>agtr2_human_5UNF</v>
      </c>
      <c r="B123" s="3" t="s">
        <v>159</v>
      </c>
      <c r="C123" s="3" t="s">
        <v>1399</v>
      </c>
      <c r="D123" s="3" t="str">
        <f>IFERROR(MID(VLOOKUP($B123,Seqs!$A:$B,2,0),E123,1),"")</f>
        <v>A</v>
      </c>
      <c r="E123" s="3">
        <v>46</v>
      </c>
      <c r="F123" s="3" t="str">
        <f>IFERROR(MID(VLOOKUP($B123,Seqs!$A:$B,2,0),G123,1),"")</f>
        <v>Q</v>
      </c>
      <c r="G123" s="3">
        <v>72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V</v>
      </c>
      <c r="M123" s="3">
        <v>78</v>
      </c>
      <c r="N123" s="3" t="str">
        <f>IFERROR(MID(VLOOKUP($B123,Seqs!$A:$B,2,0),O123,1),"")</f>
        <v>Y</v>
      </c>
      <c r="O123" s="3">
        <v>106</v>
      </c>
      <c r="P123" s="3" t="str">
        <f>IFERROR(MID(VLOOKUP($B123,Seqs!$A:$B,2,0),Q123,1),"")</f>
        <v>R</v>
      </c>
      <c r="Q123" s="3">
        <v>107</v>
      </c>
      <c r="R123" s="3" t="str">
        <f>IFERROR(MID(VLOOKUP($B123,Seqs!$A:$B,2,0),S123,1),"")</f>
        <v>F</v>
      </c>
      <c r="S123" s="3">
        <v>112</v>
      </c>
      <c r="T123" s="3" t="str">
        <f>IFERROR(MID(VLOOKUP($B123,Seqs!$A:$B,2,0),U123,1),"")</f>
        <v>G</v>
      </c>
      <c r="U123" s="3">
        <v>113</v>
      </c>
      <c r="V123" s="3" t="str">
        <f>IFERROR(MID(VLOOKUP($B123,Seqs!$A:$B,2,0),W123,1),"")</f>
        <v>Y</v>
      </c>
      <c r="W123" s="3">
        <v>148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W</v>
      </c>
      <c r="AC123" s="3">
        <v>158</v>
      </c>
      <c r="AD123" s="3" t="str">
        <f>IFERROR(MID(VLOOKUP($B123,Seqs!$A:$B,2,0),AE123,1),"")</f>
        <v>R</v>
      </c>
      <c r="AE123" s="3">
        <v>182</v>
      </c>
      <c r="AF123" s="3" t="str">
        <f>IFERROR(MID(VLOOKUP($B123,Seqs!$A:$B,2,0),AG123,1),"")</f>
        <v>C</v>
      </c>
      <c r="AG123" s="3">
        <v>195</v>
      </c>
      <c r="AH123" s="3" t="str">
        <f>IFERROR(MID(VLOOKUP($B123,Seqs!$A:$B,2,0),AI123,1),"")</f>
        <v>M</v>
      </c>
      <c r="AI123" s="3">
        <v>197</v>
      </c>
      <c r="AJ123" s="3" t="str">
        <f>IFERROR(MID(VLOOKUP($B123,Seqs!$A:$B,2,0),AK123,1),"")</f>
        <v>Y</v>
      </c>
      <c r="AK123" s="3">
        <v>204</v>
      </c>
      <c r="AL123" s="3" t="str">
        <f>IFERROR(MID(VLOOKUP($B123,Seqs!$A:$B,2,0),AM123,1),"")</f>
        <v>T</v>
      </c>
      <c r="AM123" s="3">
        <v>241</v>
      </c>
      <c r="AN123" s="3" t="str">
        <f>IFERROR(MID(VLOOKUP($B123,Seqs!$A:$B,2,0),AO123,1),"")</f>
        <v>G</v>
      </c>
      <c r="AO123" s="3">
        <v>245</v>
      </c>
      <c r="AP123" s="3" t="str">
        <f>IFERROR(MID(VLOOKUP($B123,Seqs!$A:$B,2,0),AQ123,1),"")</f>
        <v>G</v>
      </c>
      <c r="AQ123" s="3">
        <v>285</v>
      </c>
      <c r="AR123" s="3" t="str">
        <f>IFERROR(MID(VLOOKUP($B123,Seqs!$A:$B,2,0),AS123,1),"")</f>
        <v>C</v>
      </c>
      <c r="AS123" s="3">
        <v>290</v>
      </c>
      <c r="AT123" s="3" t="str">
        <f>IFERROR(MID(VLOOKUP($B123,Seqs!$A:$B,2,0),AU123,1),"")</f>
        <v>V</v>
      </c>
      <c r="AU123" s="3">
        <v>321</v>
      </c>
      <c r="AV123" s="3" t="str">
        <f>IFERROR(MID(VLOOKUP($B123,Seqs!$A:$B,2,0),AW123,1),"")</f>
        <v>G</v>
      </c>
      <c r="AW123" s="3">
        <v>322</v>
      </c>
      <c r="AX123" s="3" t="str">
        <f>IFERROR(MID(VLOOKUP($B123,Seqs!$A:$B,2,0),AY123,1),"")</f>
        <v>R</v>
      </c>
      <c r="AY123" s="3">
        <v>334</v>
      </c>
      <c r="AZ123" s="77"/>
      <c r="BA123" s="94" t="str">
        <f>VLOOKUP(B123,Classification!A:D,4,0)</f>
        <v>Angiotensin</v>
      </c>
      <c r="BB123" s="27" t="b">
        <f t="shared" si="562"/>
        <v>1</v>
      </c>
      <c r="BC123" s="23">
        <f t="shared" si="563"/>
        <v>252</v>
      </c>
      <c r="BD123" s="2" t="s">
        <v>23</v>
      </c>
      <c r="BE123" s="3" t="s">
        <v>1297</v>
      </c>
      <c r="BF123" s="119">
        <v>2.8</v>
      </c>
      <c r="BG123" s="49" t="s">
        <v>1384</v>
      </c>
      <c r="BH123" s="49" t="s">
        <v>1</v>
      </c>
      <c r="BI123" s="1"/>
      <c r="BJ123" s="70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0">
        <f t="shared" si="564"/>
        <v>46</v>
      </c>
      <c r="BW123" s="71" t="str">
        <f t="shared" si="565"/>
        <v>-</v>
      </c>
      <c r="BX123" s="72">
        <f t="shared" si="566"/>
        <v>78</v>
      </c>
      <c r="BY123" s="71">
        <f t="shared" si="567"/>
        <v>107</v>
      </c>
      <c r="BZ123" s="72">
        <f t="shared" si="568"/>
        <v>113</v>
      </c>
      <c r="CA123" s="71" t="str">
        <f t="shared" si="569"/>
        <v>-</v>
      </c>
      <c r="CB123" s="72">
        <f t="shared" si="570"/>
        <v>158</v>
      </c>
      <c r="CC123" s="71">
        <f t="shared" si="571"/>
        <v>195</v>
      </c>
      <c r="CD123" s="72">
        <f t="shared" si="572"/>
        <v>204</v>
      </c>
      <c r="CE123" s="71">
        <f t="shared" si="573"/>
        <v>245</v>
      </c>
      <c r="CF123" s="72">
        <f t="shared" si="574"/>
        <v>290</v>
      </c>
      <c r="CG123" s="71">
        <f t="shared" si="575"/>
        <v>322</v>
      </c>
      <c r="CH123" s="70">
        <f t="shared" si="576"/>
        <v>72</v>
      </c>
      <c r="CI123" s="71" t="str">
        <f t="shared" si="577"/>
        <v>-</v>
      </c>
      <c r="CJ123" s="72">
        <f t="shared" si="578"/>
        <v>106</v>
      </c>
      <c r="CK123" s="72">
        <f t="shared" si="579"/>
        <v>112</v>
      </c>
      <c r="CL123" s="72">
        <f t="shared" si="580"/>
        <v>148</v>
      </c>
      <c r="CM123" s="72" t="str">
        <f t="shared" si="581"/>
        <v>-</v>
      </c>
      <c r="CN123" s="72">
        <f t="shared" si="582"/>
        <v>182</v>
      </c>
      <c r="CO123" s="72">
        <f t="shared" si="583"/>
        <v>197</v>
      </c>
      <c r="CP123" s="72">
        <f t="shared" si="584"/>
        <v>241</v>
      </c>
      <c r="CQ123" s="72">
        <f t="shared" si="585"/>
        <v>285</v>
      </c>
      <c r="CR123" s="72">
        <f t="shared" si="586"/>
        <v>321</v>
      </c>
      <c r="CS123" s="72">
        <f t="shared" si="587"/>
        <v>334</v>
      </c>
      <c r="CT123" s="23" t="e">
        <f t="shared" si="588"/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561"/>
        <v>agtr2_human_5UNG</v>
      </c>
      <c r="B124" s="3" t="s">
        <v>159</v>
      </c>
      <c r="C124" s="3" t="s">
        <v>1401</v>
      </c>
      <c r="D124" s="3" t="str">
        <f>IFERROR(MID(VLOOKUP($B124,Seqs!$A:$B,2,0),E124,1),"")</f>
        <v>D</v>
      </c>
      <c r="E124" s="3">
        <v>45</v>
      </c>
      <c r="F124" s="3" t="str">
        <f>IFERROR(MID(VLOOKUP($B124,Seqs!$A:$B,2,0),G124,1),"")</f>
        <v>C</v>
      </c>
      <c r="G124" s="3">
        <v>71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V</v>
      </c>
      <c r="M124" s="3">
        <v>78</v>
      </c>
      <c r="N124" s="3" t="str">
        <f>IFERROR(MID(VLOOKUP($B124,Seqs!$A:$B,2,0),O124,1),"")</f>
        <v>Y</v>
      </c>
      <c r="O124" s="3">
        <v>106</v>
      </c>
      <c r="P124" s="3" t="str">
        <f>IFERROR(MID(VLOOKUP($B124,Seqs!$A:$B,2,0),Q124,1),"")</f>
        <v>R</v>
      </c>
      <c r="Q124" s="3">
        <v>107</v>
      </c>
      <c r="R124" s="3" t="str">
        <f>IFERROR(MID(VLOOKUP($B124,Seqs!$A:$B,2,0),S124,1),"")</f>
        <v>F</v>
      </c>
      <c r="S124" s="3">
        <v>112</v>
      </c>
      <c r="T124" s="3" t="str">
        <f>IFERROR(MID(VLOOKUP($B124,Seqs!$A:$B,2,0),U124,1),"")</f>
        <v>G</v>
      </c>
      <c r="U124" s="3">
        <v>113</v>
      </c>
      <c r="V124" s="3" t="str">
        <f>IFERROR(MID(VLOOKUP($B124,Seqs!$A:$B,2,0),W124,1),"")</f>
        <v>Y</v>
      </c>
      <c r="W124" s="3">
        <v>148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Q</v>
      </c>
      <c r="AC124" s="3">
        <v>159</v>
      </c>
      <c r="AD124" s="3" t="str">
        <f>IFERROR(MID(VLOOKUP($B124,Seqs!$A:$B,2,0),AE124,1),"")</f>
        <v>R</v>
      </c>
      <c r="AE124" s="3">
        <v>182</v>
      </c>
      <c r="AF124" s="3" t="str">
        <f>IFERROR(MID(VLOOKUP($B124,Seqs!$A:$B,2,0),AG124,1),"")</f>
        <v>C</v>
      </c>
      <c r="AG124" s="3">
        <v>195</v>
      </c>
      <c r="AH124" s="3" t="str">
        <f>IFERROR(MID(VLOOKUP($B124,Seqs!$A:$B,2,0),AI124,1),"")</f>
        <v>M</v>
      </c>
      <c r="AI124" s="3">
        <v>197</v>
      </c>
      <c r="AJ124" s="3" t="str">
        <f>IFERROR(MID(VLOOKUP($B124,Seqs!$A:$B,2,0),AK124,1),"")</f>
        <v>K</v>
      </c>
      <c r="AK124" s="3">
        <v>203</v>
      </c>
      <c r="AL124" s="3" t="str">
        <f>IFERROR(MID(VLOOKUP($B124,Seqs!$A:$B,2,0),AM124,1),"")</f>
        <v>T</v>
      </c>
      <c r="AM124" s="3">
        <v>241</v>
      </c>
      <c r="AN124" s="3" t="str">
        <f>IFERROR(MID(VLOOKUP($B124,Seqs!$A:$B,2,0),AO124,1),"")</f>
        <v>G</v>
      </c>
      <c r="AO124" s="3">
        <v>245</v>
      </c>
      <c r="AP124" s="3" t="str">
        <f>IFERROR(MID(VLOOKUP($B124,Seqs!$A:$B,2,0),AQ124,1),"")</f>
        <v>G</v>
      </c>
      <c r="AQ124" s="3">
        <v>285</v>
      </c>
      <c r="AR124" s="3" t="str">
        <f>IFERROR(MID(VLOOKUP($B124,Seqs!$A:$B,2,0),AS124,1),"")</f>
        <v>S</v>
      </c>
      <c r="AS124" s="3">
        <v>289</v>
      </c>
      <c r="AT124" s="3" t="str">
        <f>IFERROR(MID(VLOOKUP($B124,Seqs!$A:$B,2,0),AU124,1),"")</f>
        <v>V</v>
      </c>
      <c r="AU124" s="3">
        <v>321</v>
      </c>
      <c r="AV124" s="3" t="str">
        <f>IFERROR(MID(VLOOKUP($B124,Seqs!$A:$B,2,0),AW124,1),"")</f>
        <v>G</v>
      </c>
      <c r="AW124" s="3">
        <v>322</v>
      </c>
      <c r="AX124" s="3" t="str">
        <f>IFERROR(MID(VLOOKUP($B124,Seqs!$A:$B,2,0),AY124,1),"")</f>
        <v>R</v>
      </c>
      <c r="AY124" s="3">
        <v>334</v>
      </c>
      <c r="AZ124" s="77" t="str">
        <f>VLOOKUP(B124,Classification!A:D,2,0)</f>
        <v>A</v>
      </c>
      <c r="BA124" s="94" t="str">
        <f>VLOOKUP(B124,Classification!A:D,4,0)</f>
        <v>Angiotensin</v>
      </c>
      <c r="BB124" s="27" t="b">
        <f t="shared" si="562"/>
        <v>1</v>
      </c>
      <c r="BC124" s="23">
        <f t="shared" si="563"/>
        <v>253</v>
      </c>
      <c r="BD124" s="2" t="s">
        <v>1382</v>
      </c>
      <c r="BE124" s="3" t="s">
        <v>1297</v>
      </c>
      <c r="BF124" s="119">
        <v>2.8</v>
      </c>
      <c r="BG124" s="49" t="s">
        <v>1384</v>
      </c>
      <c r="BH124" s="49" t="s">
        <v>1287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564"/>
        <v>45</v>
      </c>
      <c r="BW124" s="71" t="str">
        <f t="shared" si="565"/>
        <v>-</v>
      </c>
      <c r="BX124" s="72">
        <f t="shared" si="566"/>
        <v>78</v>
      </c>
      <c r="BY124" s="71">
        <f t="shared" si="567"/>
        <v>107</v>
      </c>
      <c r="BZ124" s="72">
        <f t="shared" si="568"/>
        <v>113</v>
      </c>
      <c r="CA124" s="71" t="str">
        <f t="shared" si="569"/>
        <v>-</v>
      </c>
      <c r="CB124" s="72">
        <f t="shared" si="570"/>
        <v>159</v>
      </c>
      <c r="CC124" s="71">
        <f t="shared" si="571"/>
        <v>195</v>
      </c>
      <c r="CD124" s="72">
        <f t="shared" si="572"/>
        <v>203</v>
      </c>
      <c r="CE124" s="71">
        <f t="shared" si="573"/>
        <v>245</v>
      </c>
      <c r="CF124" s="72">
        <f t="shared" si="574"/>
        <v>289</v>
      </c>
      <c r="CG124" s="71">
        <f t="shared" si="575"/>
        <v>322</v>
      </c>
      <c r="CH124" s="70">
        <f t="shared" si="576"/>
        <v>71</v>
      </c>
      <c r="CI124" s="71" t="str">
        <f t="shared" si="577"/>
        <v>-</v>
      </c>
      <c r="CJ124" s="72">
        <f t="shared" si="578"/>
        <v>106</v>
      </c>
      <c r="CK124" s="72">
        <f t="shared" si="579"/>
        <v>112</v>
      </c>
      <c r="CL124" s="72">
        <f t="shared" si="580"/>
        <v>148</v>
      </c>
      <c r="CM124" s="72" t="str">
        <f t="shared" si="581"/>
        <v>-</v>
      </c>
      <c r="CN124" s="72">
        <f t="shared" si="582"/>
        <v>182</v>
      </c>
      <c r="CO124" s="72">
        <f t="shared" si="583"/>
        <v>197</v>
      </c>
      <c r="CP124" s="72">
        <f t="shared" si="584"/>
        <v>241</v>
      </c>
      <c r="CQ124" s="72">
        <f t="shared" si="585"/>
        <v>285</v>
      </c>
      <c r="CR124" s="72">
        <f t="shared" si="586"/>
        <v>321</v>
      </c>
      <c r="CS124" s="72">
        <f t="shared" si="587"/>
        <v>334</v>
      </c>
      <c r="CT124" s="23" t="e">
        <f t="shared" si="588"/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561"/>
        <v>agtr2_human_5UNH</v>
      </c>
      <c r="B125" s="3" t="s">
        <v>159</v>
      </c>
      <c r="C125" s="3" t="s">
        <v>1402</v>
      </c>
      <c r="D125" s="3" t="str">
        <f>IFERROR(MID(VLOOKUP($B125,Seqs!$A:$B,2,0),E125,1),"")</f>
        <v>D</v>
      </c>
      <c r="E125" s="3">
        <v>45</v>
      </c>
      <c r="F125" s="3" t="str">
        <f>IFERROR(MID(VLOOKUP($B125,Seqs!$A:$B,2,0),G125,1),"")</f>
        <v>C</v>
      </c>
      <c r="G125" s="3">
        <v>70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K</v>
      </c>
      <c r="M125" s="3">
        <v>77</v>
      </c>
      <c r="N125" s="3" t="str">
        <f>IFERROR(MID(VLOOKUP($B125,Seqs!$A:$B,2,0),O125,1),"")</f>
        <v>Y</v>
      </c>
      <c r="O125" s="3">
        <v>106</v>
      </c>
      <c r="P125" s="3" t="str">
        <f>IFERROR(MID(VLOOKUP($B125,Seqs!$A:$B,2,0),Q125,1),"")</f>
        <v>R</v>
      </c>
      <c r="Q125" s="3">
        <v>107</v>
      </c>
      <c r="R125" s="3" t="str">
        <f>IFERROR(MID(VLOOKUP($B125,Seqs!$A:$B,2,0),S125,1),"")</f>
        <v>F</v>
      </c>
      <c r="S125" s="3">
        <v>112</v>
      </c>
      <c r="T125" s="3" t="str">
        <f>IFERROR(MID(VLOOKUP($B125,Seqs!$A:$B,2,0),U125,1),"")</f>
        <v>G</v>
      </c>
      <c r="U125" s="3">
        <v>113</v>
      </c>
      <c r="V125" s="3" t="str">
        <f>IFERROR(MID(VLOOKUP($B125,Seqs!$A:$B,2,0),W125,1),"")</f>
        <v>Y</v>
      </c>
      <c r="W125" s="3">
        <v>148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Y</v>
      </c>
      <c r="AC125" s="3">
        <v>162</v>
      </c>
      <c r="AD125" s="3" t="str">
        <f>IFERROR(MID(VLOOKUP($B125,Seqs!$A:$B,2,0),AE125,1),"")</f>
        <v>R</v>
      </c>
      <c r="AE125" s="3">
        <v>182</v>
      </c>
      <c r="AF125" s="3" t="str">
        <f>IFERROR(MID(VLOOKUP($B125,Seqs!$A:$B,2,0),AG125,1),"")</f>
        <v>C</v>
      </c>
      <c r="AG125" s="3">
        <v>195</v>
      </c>
      <c r="AH125" s="3" t="str">
        <f>IFERROR(MID(VLOOKUP($B125,Seqs!$A:$B,2,0),AI125,1),"")</f>
        <v>M</v>
      </c>
      <c r="AI125" s="3">
        <v>197</v>
      </c>
      <c r="AJ125" s="3" t="str">
        <f>IFERROR(MID(VLOOKUP($B125,Seqs!$A:$B,2,0),AK125,1),"")</f>
        <v>Y</v>
      </c>
      <c r="AK125" s="3">
        <v>204</v>
      </c>
      <c r="AL125" s="3" t="str">
        <f>IFERROR(MID(VLOOKUP($B125,Seqs!$A:$B,2,0),AM125,1),"")</f>
        <v>T</v>
      </c>
      <c r="AM125" s="3">
        <v>241</v>
      </c>
      <c r="AN125" s="3" t="str">
        <f>IFERROR(MID(VLOOKUP($B125,Seqs!$A:$B,2,0),AO125,1),"")</f>
        <v>G</v>
      </c>
      <c r="AO125" s="3">
        <v>245</v>
      </c>
      <c r="AP125" s="3" t="str">
        <f>IFERROR(MID(VLOOKUP($B125,Seqs!$A:$B,2,0),AQ125,1),"")</f>
        <v>G</v>
      </c>
      <c r="AQ125" s="3">
        <v>285</v>
      </c>
      <c r="AR125" s="3" t="str">
        <f>IFERROR(MID(VLOOKUP($B125,Seqs!$A:$B,2,0),AS125,1),"")</f>
        <v>S</v>
      </c>
      <c r="AS125" s="3">
        <v>289</v>
      </c>
      <c r="AT125" s="3" t="str">
        <f>IFERROR(MID(VLOOKUP($B125,Seqs!$A:$B,2,0),AU125,1),"")</f>
        <v>V</v>
      </c>
      <c r="AU125" s="3">
        <v>321</v>
      </c>
      <c r="AV125" s="3" t="str">
        <f>IFERROR(MID(VLOOKUP($B125,Seqs!$A:$B,2,0),AW125,1),"")</f>
        <v>G</v>
      </c>
      <c r="AW125" s="3">
        <v>322</v>
      </c>
      <c r="AX125" s="3" t="str">
        <f>IFERROR(MID(VLOOKUP($B125,Seqs!$A:$B,2,0),AY125,1),"")</f>
        <v>V</v>
      </c>
      <c r="AY125" s="3">
        <v>332</v>
      </c>
      <c r="AZ125" s="77" t="str">
        <f>VLOOKUP(B125,Classification!A:D,2,0)</f>
        <v>A</v>
      </c>
      <c r="BA125" s="94" t="str">
        <f>VLOOKUP(B125,Classification!A:D,4,0)</f>
        <v>Angiotensin</v>
      </c>
      <c r="BB125" s="27" t="b">
        <f t="shared" si="562"/>
        <v>1</v>
      </c>
      <c r="BC125" s="23">
        <f t="shared" si="563"/>
        <v>247</v>
      </c>
      <c r="BD125" s="2" t="s">
        <v>23</v>
      </c>
      <c r="BE125" s="3" t="s">
        <v>1297</v>
      </c>
      <c r="BF125" s="119">
        <v>2.9</v>
      </c>
      <c r="BG125" s="49" t="s">
        <v>1384</v>
      </c>
      <c r="BH125" s="49" t="s">
        <v>1287</v>
      </c>
      <c r="BI125" s="1"/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564"/>
        <v>45</v>
      </c>
      <c r="BW125" s="71" t="str">
        <f t="shared" si="565"/>
        <v>-</v>
      </c>
      <c r="BX125" s="72">
        <f t="shared" si="566"/>
        <v>77</v>
      </c>
      <c r="BY125" s="71">
        <f t="shared" si="567"/>
        <v>107</v>
      </c>
      <c r="BZ125" s="72">
        <f t="shared" si="568"/>
        <v>113</v>
      </c>
      <c r="CA125" s="71" t="str">
        <f t="shared" si="569"/>
        <v>-</v>
      </c>
      <c r="CB125" s="72">
        <f t="shared" si="570"/>
        <v>162</v>
      </c>
      <c r="CC125" s="71">
        <f t="shared" si="571"/>
        <v>195</v>
      </c>
      <c r="CD125" s="72">
        <f t="shared" si="572"/>
        <v>204</v>
      </c>
      <c r="CE125" s="71">
        <f t="shared" si="573"/>
        <v>245</v>
      </c>
      <c r="CF125" s="72">
        <f t="shared" si="574"/>
        <v>289</v>
      </c>
      <c r="CG125" s="71">
        <f t="shared" si="575"/>
        <v>322</v>
      </c>
      <c r="CH125" s="70">
        <f t="shared" si="576"/>
        <v>70</v>
      </c>
      <c r="CI125" s="71" t="str">
        <f t="shared" si="577"/>
        <v>-</v>
      </c>
      <c r="CJ125" s="72">
        <f t="shared" si="578"/>
        <v>106</v>
      </c>
      <c r="CK125" s="72">
        <f t="shared" si="579"/>
        <v>112</v>
      </c>
      <c r="CL125" s="72">
        <f t="shared" si="580"/>
        <v>148</v>
      </c>
      <c r="CM125" s="72" t="str">
        <f t="shared" si="581"/>
        <v>-</v>
      </c>
      <c r="CN125" s="72">
        <f t="shared" si="582"/>
        <v>182</v>
      </c>
      <c r="CO125" s="72">
        <f t="shared" si="583"/>
        <v>197</v>
      </c>
      <c r="CP125" s="72">
        <f t="shared" si="584"/>
        <v>241</v>
      </c>
      <c r="CQ125" s="72">
        <f t="shared" si="585"/>
        <v>285</v>
      </c>
      <c r="CR125" s="72">
        <f t="shared" si="586"/>
        <v>321</v>
      </c>
      <c r="CS125" s="72">
        <f t="shared" si="587"/>
        <v>332</v>
      </c>
      <c r="CT125" s="23" t="e">
        <f t="shared" si="588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s="12" customFormat="1" x14ac:dyDescent="0.2">
      <c r="A126" s="9" t="str">
        <f t="shared" ref="A126" si="589">CONCATENATE(B126,"_",C126)</f>
        <v>agtr2_human_5XJM</v>
      </c>
      <c r="B126" s="9" t="s">
        <v>159</v>
      </c>
      <c r="C126" s="9" t="s">
        <v>1529</v>
      </c>
      <c r="D126" s="9" t="str">
        <f>IFERROR(MID(VLOOKUP($B126,Seqs!$A:$B,2,0),E126,1),"")</f>
        <v>A</v>
      </c>
      <c r="E126" s="9">
        <v>46</v>
      </c>
      <c r="F126" s="9" t="str">
        <f>IFERROR(MID(VLOOKUP($B126,Seqs!$A:$B,2,0),G126,1),"")</f>
        <v>K</v>
      </c>
      <c r="G126" s="9">
        <v>73</v>
      </c>
      <c r="H126" s="9" t="str">
        <f>IFERROR(MID(VLOOKUP($B126,Seqs!$A:$B,2,0),I126,1),"")</f>
        <v/>
      </c>
      <c r="I126" s="109" t="s">
        <v>23</v>
      </c>
      <c r="J126" s="9" t="str">
        <f>IFERROR(MID(VLOOKUP($B126,Seqs!$A:$B,2,0),K126,1),"")</f>
        <v/>
      </c>
      <c r="K126" s="109" t="s">
        <v>23</v>
      </c>
      <c r="L126" s="9" t="str">
        <f>IFERROR(MID(VLOOKUP($B126,Seqs!$A:$B,2,0),M126,1),"")</f>
        <v>V</v>
      </c>
      <c r="M126" s="9">
        <v>78</v>
      </c>
      <c r="N126" s="9" t="str">
        <f>IFERROR(MID(VLOOKUP($B126,Seqs!$A:$B,2,0),O126,1),"")</f>
        <v>Y</v>
      </c>
      <c r="O126" s="9">
        <v>106</v>
      </c>
      <c r="P126" s="9" t="str">
        <f>IFERROR(MID(VLOOKUP($B126,Seqs!$A:$B,2,0),Q126,1),"")</f>
        <v>R</v>
      </c>
      <c r="Q126" s="9">
        <v>107</v>
      </c>
      <c r="R126" s="9" t="str">
        <f>IFERROR(MID(VLOOKUP($B126,Seqs!$A:$B,2,0),S126,1),"")</f>
        <v>F</v>
      </c>
      <c r="S126" s="9">
        <v>112</v>
      </c>
      <c r="T126" s="9" t="str">
        <f>IFERROR(MID(VLOOKUP($B126,Seqs!$A:$B,2,0),U126,1),"")</f>
        <v>G</v>
      </c>
      <c r="U126" s="9">
        <v>113</v>
      </c>
      <c r="V126" s="9" t="str">
        <f>IFERROR(MID(VLOOKUP($B126,Seqs!$A:$B,2,0),W126,1),"")</f>
        <v>Y</v>
      </c>
      <c r="W126" s="9">
        <v>148</v>
      </c>
      <c r="X126" s="9" t="str">
        <f>IFERROR(MID(VLOOKUP($B126,Seqs!$A:$B,2,0),Y126,1),"")</f>
        <v/>
      </c>
      <c r="Y126" s="9" t="s">
        <v>23</v>
      </c>
      <c r="Z126" s="9" t="str">
        <f>IFERROR(MID(VLOOKUP($B126,Seqs!$A:$B,2,0),AA126,1),"")</f>
        <v/>
      </c>
      <c r="AA126" s="9" t="s">
        <v>23</v>
      </c>
      <c r="AB126" s="9" t="str">
        <f>IFERROR(MID(VLOOKUP($B126,Seqs!$A:$B,2,0),AC126,1),"")</f>
        <v>R</v>
      </c>
      <c r="AC126" s="9">
        <v>155</v>
      </c>
      <c r="AD126" s="9" t="str">
        <f>IFERROR(MID(VLOOKUP($B126,Seqs!$A:$B,2,0),AE126,1),"")</f>
        <v>F</v>
      </c>
      <c r="AE126" s="9">
        <v>181</v>
      </c>
      <c r="AF126" s="9" t="str">
        <f>IFERROR(MID(VLOOKUP($B126,Seqs!$A:$B,2,0),AG126,1),"")</f>
        <v>C</v>
      </c>
      <c r="AG126" s="9">
        <v>195</v>
      </c>
      <c r="AH126" s="9" t="str">
        <f>IFERROR(MID(VLOOKUP($B126,Seqs!$A:$B,2,0),AI126,1),"")</f>
        <v>M</v>
      </c>
      <c r="AI126" s="9">
        <v>197</v>
      </c>
      <c r="AJ126" s="9" t="str">
        <f>IFERROR(MID(VLOOKUP($B126,Seqs!$A:$B,2,0),AK126,1),"")</f>
        <v>K</v>
      </c>
      <c r="AK126" s="9">
        <v>203</v>
      </c>
      <c r="AL126" s="9" t="str">
        <f>IFERROR(MID(VLOOKUP($B126,Seqs!$A:$B,2,0),AM126,1),"")</f>
        <v>N</v>
      </c>
      <c r="AM126" s="9">
        <v>242</v>
      </c>
      <c r="AN126" s="9" t="str">
        <f>IFERROR(MID(VLOOKUP($B126,Seqs!$A:$B,2,0),AO126,1),"")</f>
        <v>N</v>
      </c>
      <c r="AO126" s="9">
        <v>247</v>
      </c>
      <c r="AP126" s="9" t="str">
        <f>IFERROR(MID(VLOOKUP($B126,Seqs!$A:$B,2,0),AQ126,1),"")</f>
        <v>G</v>
      </c>
      <c r="AQ126" s="9">
        <v>285</v>
      </c>
      <c r="AR126" s="9" t="str">
        <f>IFERROR(MID(VLOOKUP($B126,Seqs!$A:$B,2,0),AS126,1),"")</f>
        <v>S</v>
      </c>
      <c r="AS126" s="9">
        <v>289</v>
      </c>
      <c r="AT126" s="9" t="str">
        <f>IFERROR(MID(VLOOKUP($B126,Seqs!$A:$B,2,0),AU126,1),"")</f>
        <v>F</v>
      </c>
      <c r="AU126" s="9">
        <v>320</v>
      </c>
      <c r="AV126" s="9" t="str">
        <f>IFERROR(MID(VLOOKUP($B126,Seqs!$A:$B,2,0),AW126,1),"")</f>
        <v/>
      </c>
      <c r="AW126" s="9" t="s">
        <v>23</v>
      </c>
      <c r="AX126" s="9" t="str">
        <f>IFERROR(MID(VLOOKUP($B126,Seqs!$A:$B,2,0),AY126,1),"")</f>
        <v/>
      </c>
      <c r="AY126" s="9" t="s">
        <v>23</v>
      </c>
      <c r="AZ126" s="110" t="str">
        <f>VLOOKUP(B126,Classification!A:D,2,0)</f>
        <v>A</v>
      </c>
      <c r="BA126" s="98" t="str">
        <f>VLOOKUP(B126,Classification!A:D,4,0)</f>
        <v>Angiotensin</v>
      </c>
      <c r="BB126" s="36" t="b">
        <f t="shared" ref="BB126" si="590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109">
        <f t="shared" ref="BC126" si="591">_xlfn.AGGREGATE(9,6,CH126:CS126)-_xlfn.AGGREGATE(9,6,BV126:CG126)+12</f>
        <v>243</v>
      </c>
      <c r="BD126" s="40" t="s">
        <v>23</v>
      </c>
      <c r="BE126" s="9" t="s">
        <v>1297</v>
      </c>
      <c r="BF126" s="120">
        <v>3.2</v>
      </c>
      <c r="BG126" s="51" t="s">
        <v>1</v>
      </c>
      <c r="BH126" s="51" t="s">
        <v>1</v>
      </c>
      <c r="BJ126" s="111" t="s">
        <v>1293</v>
      </c>
      <c r="BK126" s="112" t="s">
        <v>1293</v>
      </c>
      <c r="BL126" s="112" t="s">
        <v>1293</v>
      </c>
      <c r="BM126" s="112" t="s">
        <v>1293</v>
      </c>
      <c r="BN126" s="112" t="s">
        <v>1293</v>
      </c>
      <c r="BO126" s="112" t="s">
        <v>1293</v>
      </c>
      <c r="BP126" s="112" t="s">
        <v>1293</v>
      </c>
      <c r="BQ126" s="112" t="s">
        <v>1293</v>
      </c>
      <c r="BR126" s="112" t="s">
        <v>1293</v>
      </c>
      <c r="BS126" s="112" t="s">
        <v>1293</v>
      </c>
      <c r="BT126" s="112" t="s">
        <v>1293</v>
      </c>
      <c r="BU126" s="112" t="s">
        <v>1293</v>
      </c>
      <c r="BV126" s="111">
        <f t="shared" ref="BV126" si="592">E126</f>
        <v>46</v>
      </c>
      <c r="BW126" s="113" t="str">
        <f t="shared" ref="BW126" si="593">I126</f>
        <v>-</v>
      </c>
      <c r="BX126" s="114">
        <f t="shared" ref="BX126" si="594">M126</f>
        <v>78</v>
      </c>
      <c r="BY126" s="113">
        <f t="shared" ref="BY126" si="595">Q126</f>
        <v>107</v>
      </c>
      <c r="BZ126" s="114">
        <f t="shared" ref="BZ126" si="596">U126</f>
        <v>113</v>
      </c>
      <c r="CA126" s="113" t="str">
        <f t="shared" ref="CA126" si="597">Y126</f>
        <v>-</v>
      </c>
      <c r="CB126" s="114">
        <f t="shared" ref="CB126" si="598">AC126</f>
        <v>155</v>
      </c>
      <c r="CC126" s="113">
        <f t="shared" ref="CC126" si="599">AG126</f>
        <v>195</v>
      </c>
      <c r="CD126" s="114">
        <f t="shared" ref="CD126" si="600">AK126</f>
        <v>203</v>
      </c>
      <c r="CE126" s="113">
        <f t="shared" ref="CE126" si="601">AO126</f>
        <v>247</v>
      </c>
      <c r="CF126" s="114">
        <f t="shared" ref="CF126" si="602">AS126</f>
        <v>289</v>
      </c>
      <c r="CG126" s="113" t="str">
        <f t="shared" ref="CG126" si="603">AW126</f>
        <v>-</v>
      </c>
      <c r="CH126" s="111">
        <f t="shared" ref="CH126" si="604">G126</f>
        <v>73</v>
      </c>
      <c r="CI126" s="113" t="str">
        <f t="shared" ref="CI126" si="605">K126</f>
        <v>-</v>
      </c>
      <c r="CJ126" s="114">
        <f t="shared" ref="CJ126" si="606">O126</f>
        <v>106</v>
      </c>
      <c r="CK126" s="114">
        <f t="shared" ref="CK126" si="607">S126</f>
        <v>112</v>
      </c>
      <c r="CL126" s="114">
        <f t="shared" ref="CL126" si="608">W126</f>
        <v>148</v>
      </c>
      <c r="CM126" s="114" t="str">
        <f t="shared" ref="CM126" si="609">AA126</f>
        <v>-</v>
      </c>
      <c r="CN126" s="114">
        <f t="shared" ref="CN126" si="610">AE126</f>
        <v>181</v>
      </c>
      <c r="CO126" s="114">
        <f t="shared" ref="CO126" si="611">AI126</f>
        <v>197</v>
      </c>
      <c r="CP126" s="114">
        <f t="shared" ref="CP126" si="612">AM126</f>
        <v>242</v>
      </c>
      <c r="CQ126" s="114">
        <f t="shared" ref="CQ126" si="613">AQ126</f>
        <v>285</v>
      </c>
      <c r="CR126" s="114">
        <f t="shared" ref="CR126" si="614">AU126</f>
        <v>320</v>
      </c>
      <c r="CS126" s="114" t="str">
        <f t="shared" ref="CS126" si="615">AY126</f>
        <v>-</v>
      </c>
      <c r="CT126" s="109" t="e">
        <f t="shared" ref="CT126" si="616">M126-K126</f>
        <v>#VALUE!</v>
      </c>
    </row>
    <row r="127" spans="1:1029" x14ac:dyDescent="0.2">
      <c r="A127" s="3" t="str">
        <f t="shared" si="561"/>
        <v>apj_human__wt</v>
      </c>
      <c r="B127" s="3" t="s">
        <v>160</v>
      </c>
      <c r="C127" s="3" t="s">
        <v>100</v>
      </c>
      <c r="D127" s="3" t="str">
        <f>IFERROR(MID(VLOOKUP($B127,Seqs!$A:$B,2,0),E127,1),"")</f>
        <v>A</v>
      </c>
      <c r="E127" s="3">
        <v>29</v>
      </c>
      <c r="F127" s="3" t="str">
        <f>IFERROR(MID(VLOOKUP($B127,Seqs!$A:$B,2,0),G127,1),"")</f>
        <v>S</v>
      </c>
      <c r="G127" s="3">
        <v>56</v>
      </c>
      <c r="H127" s="3" t="str">
        <f>IFERROR(MID(VLOOKUP($B127,Seqs!$A:$B,2,0),I127,1),"")</f>
        <v>S</v>
      </c>
      <c r="I127" s="23">
        <v>57</v>
      </c>
      <c r="J127" s="3" t="str">
        <f>IFERROR(MID(VLOOKUP($B127,Seqs!$A:$B,2,0),K127,1),"")</f>
        <v>R</v>
      </c>
      <c r="K127" s="23">
        <v>61</v>
      </c>
      <c r="L127" s="3" t="str">
        <f>IFERROR(MID(VLOOKUP($B127,Seqs!$A:$B,2,0),M127,1),"")</f>
        <v>R</v>
      </c>
      <c r="M127" s="3">
        <v>62</v>
      </c>
      <c r="N127" s="3" t="str">
        <f>IFERROR(MID(VLOOKUP($B127,Seqs!$A:$B,2,0),O127,1),"")</f>
        <v>D</v>
      </c>
      <c r="O127" s="3">
        <v>92</v>
      </c>
      <c r="P127" s="3" t="str">
        <f>IFERROR(MID(VLOOKUP($B127,Seqs!$A:$B,2,0),Q127,1),"")</f>
        <v>D</v>
      </c>
      <c r="Q127" s="3">
        <v>94</v>
      </c>
      <c r="R127" s="3" t="str">
        <f>IFERROR(MID(VLOOKUP($B127,Seqs!$A:$B,2,0),S127,1),"")</f>
        <v>F</v>
      </c>
      <c r="S127" s="3">
        <v>97</v>
      </c>
      <c r="T127" s="3" t="str">
        <f>IFERROR(MID(VLOOKUP($B127,Seqs!$A:$B,2,0),U127,1),"")</f>
        <v>G</v>
      </c>
      <c r="U127" s="3">
        <v>98</v>
      </c>
      <c r="V127" s="3" t="str">
        <f>IFERROR(MID(VLOOKUP($B127,Seqs!$A:$B,2,0),W127,1),"")</f>
        <v>R</v>
      </c>
      <c r="W127" s="3">
        <v>133</v>
      </c>
      <c r="X127" s="3" t="str">
        <f>IFERROR(MID(VLOOKUP($B127,Seqs!$A:$B,2,0),Y127,1),"")</f>
        <v>P</v>
      </c>
      <c r="Y127" s="3">
        <v>134</v>
      </c>
      <c r="Z127" s="3" t="str">
        <f>IFERROR(MID(VLOOKUP($B127,Seqs!$A:$B,2,0),AA127,1),"")</f>
        <v>R</v>
      </c>
      <c r="AA127" s="3">
        <v>141</v>
      </c>
      <c r="AB127" s="3" t="str">
        <f>IFERROR(MID(VLOOKUP($B127,Seqs!$A:$B,2,0),AC127,1),"")</f>
        <v>L</v>
      </c>
      <c r="AC127" s="3">
        <v>142</v>
      </c>
      <c r="AD127" s="3" t="str">
        <f>IFERROR(MID(VLOOKUP($B127,Seqs!$A:$B,2,0),AE127,1),"")</f>
        <v>R</v>
      </c>
      <c r="AE127" s="3">
        <v>168</v>
      </c>
      <c r="AF127" s="3" t="str">
        <f>IFERROR(MID(VLOOKUP($B127,Seqs!$A:$B,2,0),AG127,1),"")</f>
        <v>C</v>
      </c>
      <c r="AG127" s="3">
        <v>181</v>
      </c>
      <c r="AH127" s="3" t="str">
        <f>IFERROR(MID(VLOOKUP($B127,Seqs!$A:$B,2,0),AI127,1),"")</f>
        <v>M</v>
      </c>
      <c r="AI127" s="3">
        <v>183</v>
      </c>
      <c r="AJ127" s="3" t="str">
        <f>IFERROR(MID(VLOOKUP($B127,Seqs!$A:$B,2,0),AK127,1),"")</f>
        <v>S</v>
      </c>
      <c r="AK127" s="3">
        <v>193</v>
      </c>
      <c r="AL127" s="3" t="str">
        <f>IFERROR(MID(VLOOKUP($B127,Seqs!$A:$B,2,0),AM127,1),"")</f>
        <v>E</v>
      </c>
      <c r="AM127" s="3">
        <v>235</v>
      </c>
      <c r="AN127" s="3" t="str">
        <f>IFERROR(MID(VLOOKUP($B127,Seqs!$A:$B,2,0),AO127,1),"")</f>
        <v>K</v>
      </c>
      <c r="AO127" s="3">
        <v>242</v>
      </c>
      <c r="AP127" s="3" t="str">
        <f>IFERROR(MID(VLOOKUP($B127,Seqs!$A:$B,2,0),AQ127,1),"")</f>
        <v>L</v>
      </c>
      <c r="AQ127" s="3">
        <v>276</v>
      </c>
      <c r="AR127" s="3" t="str">
        <f>IFERROR(MID(VLOOKUP($B127,Seqs!$A:$B,2,0),AS127,1),"")</f>
        <v>P</v>
      </c>
      <c r="AS127" s="3">
        <v>280</v>
      </c>
      <c r="AT127" s="3" t="str">
        <f>IFERROR(MID(VLOOKUP($B127,Seqs!$A:$B,2,0),AU127,1),"")</f>
        <v>F</v>
      </c>
      <c r="AU127" s="3">
        <v>312</v>
      </c>
      <c r="AV127" s="3" t="str">
        <f>IFERROR(MID(VLOOKUP($B127,Seqs!$A:$B,2,0),AW127,1),"")</f>
        <v>D</v>
      </c>
      <c r="AW127" s="3">
        <v>313</v>
      </c>
      <c r="AX127" s="3" t="str">
        <f>IFERROR(MID(VLOOKUP($B127,Seqs!$A:$B,2,0),AY127,1),"")</f>
        <v>G</v>
      </c>
      <c r="AY127" s="3">
        <v>327</v>
      </c>
      <c r="AZ127" s="77" t="str">
        <f>VLOOKUP(B127,Classification!A:D,2,0)</f>
        <v>A</v>
      </c>
      <c r="BA127" s="94" t="str">
        <f>VLOOKUP(B127,Classification!A:D,4,0)</f>
        <v>Apelin</v>
      </c>
      <c r="BB127" s="27" t="b">
        <f t="shared" si="562"/>
        <v>1</v>
      </c>
      <c r="BC127" s="23">
        <f t="shared" si="563"/>
        <v>268</v>
      </c>
      <c r="BD127" s="2"/>
      <c r="BE127" s="3" t="s">
        <v>23</v>
      </c>
      <c r="BF127" s="119" t="s">
        <v>23</v>
      </c>
      <c r="BG127" s="49" t="s">
        <v>1287</v>
      </c>
      <c r="BH127" s="49" t="s">
        <v>1287</v>
      </c>
      <c r="BI127" s="1"/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 t="shared" si="564"/>
        <v>29</v>
      </c>
      <c r="BW127" s="71">
        <f t="shared" si="565"/>
        <v>57</v>
      </c>
      <c r="BX127" s="72">
        <f t="shared" si="566"/>
        <v>62</v>
      </c>
      <c r="BY127" s="71">
        <f t="shared" si="567"/>
        <v>94</v>
      </c>
      <c r="BZ127" s="72">
        <f t="shared" si="568"/>
        <v>98</v>
      </c>
      <c r="CA127" s="71">
        <f t="shared" si="569"/>
        <v>134</v>
      </c>
      <c r="CB127" s="72">
        <f t="shared" si="570"/>
        <v>142</v>
      </c>
      <c r="CC127" s="71">
        <f t="shared" si="571"/>
        <v>181</v>
      </c>
      <c r="CD127" s="72">
        <f t="shared" si="572"/>
        <v>193</v>
      </c>
      <c r="CE127" s="71">
        <f t="shared" si="573"/>
        <v>242</v>
      </c>
      <c r="CF127" s="72">
        <f t="shared" si="574"/>
        <v>280</v>
      </c>
      <c r="CG127" s="71">
        <f t="shared" si="575"/>
        <v>313</v>
      </c>
      <c r="CH127" s="70">
        <f t="shared" si="576"/>
        <v>56</v>
      </c>
      <c r="CI127" s="71">
        <f t="shared" si="577"/>
        <v>61</v>
      </c>
      <c r="CJ127" s="72">
        <f t="shared" si="578"/>
        <v>92</v>
      </c>
      <c r="CK127" s="72">
        <f t="shared" si="579"/>
        <v>97</v>
      </c>
      <c r="CL127" s="72">
        <f t="shared" si="580"/>
        <v>133</v>
      </c>
      <c r="CM127" s="72">
        <f t="shared" si="581"/>
        <v>141</v>
      </c>
      <c r="CN127" s="72">
        <f t="shared" si="582"/>
        <v>168</v>
      </c>
      <c r="CO127" s="72">
        <f t="shared" si="583"/>
        <v>183</v>
      </c>
      <c r="CP127" s="72">
        <f t="shared" si="584"/>
        <v>235</v>
      </c>
      <c r="CQ127" s="72">
        <f t="shared" si="585"/>
        <v>276</v>
      </c>
      <c r="CR127" s="72">
        <f t="shared" si="586"/>
        <v>312</v>
      </c>
      <c r="CS127" s="72">
        <f t="shared" si="587"/>
        <v>327</v>
      </c>
      <c r="CT127" s="23">
        <f t="shared" si="588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si="561"/>
        <v>apj_human_5VBL</v>
      </c>
      <c r="B128" s="3" t="s">
        <v>160</v>
      </c>
      <c r="C128" s="3" t="s">
        <v>1424</v>
      </c>
      <c r="D128" s="3" t="str">
        <f>IFERROR(MID(VLOOKUP($B128,Seqs!$A:$B,2,0),E128,1),"")</f>
        <v>A</v>
      </c>
      <c r="E128" s="3">
        <v>29</v>
      </c>
      <c r="F128" s="3" t="str">
        <f>IFERROR(MID(VLOOKUP($B128,Seqs!$A:$B,2,0),G128,1),"")</f>
        <v>S</v>
      </c>
      <c r="G128" s="3">
        <v>56</v>
      </c>
      <c r="H128" s="3" t="str">
        <f>IFERROR(MID(VLOOKUP($B128,Seqs!$A:$B,2,0),I128,1),"")</f>
        <v>S</v>
      </c>
      <c r="I128" s="23">
        <v>57</v>
      </c>
      <c r="J128" s="3" t="str">
        <f>IFERROR(MID(VLOOKUP($B128,Seqs!$A:$B,2,0),K128,1),"")</f>
        <v>R</v>
      </c>
      <c r="K128" s="23">
        <v>61</v>
      </c>
      <c r="L128" s="3" t="str">
        <f>IFERROR(MID(VLOOKUP($B128,Seqs!$A:$B,2,0),M128,1),"")</f>
        <v>R</v>
      </c>
      <c r="M128" s="3">
        <v>62</v>
      </c>
      <c r="N128" s="3" t="str">
        <f>IFERROR(MID(VLOOKUP($B128,Seqs!$A:$B,2,0),O128,1),"")</f>
        <v>D</v>
      </c>
      <c r="O128" s="3">
        <v>92</v>
      </c>
      <c r="P128" s="3" t="str">
        <f>IFERROR(MID(VLOOKUP($B128,Seqs!$A:$B,2,0),Q128,1),"")</f>
        <v>D</v>
      </c>
      <c r="Q128" s="3">
        <v>94</v>
      </c>
      <c r="R128" s="3" t="str">
        <f>IFERROR(MID(VLOOKUP($B128,Seqs!$A:$B,2,0),S128,1),"")</f>
        <v>F</v>
      </c>
      <c r="S128" s="3">
        <v>97</v>
      </c>
      <c r="T128" s="3" t="str">
        <f>IFERROR(MID(VLOOKUP($B128,Seqs!$A:$B,2,0),U128,1),"")</f>
        <v>G</v>
      </c>
      <c r="U128" s="3">
        <v>98</v>
      </c>
      <c r="V128" s="3" t="str">
        <f>IFERROR(MID(VLOOKUP($B128,Seqs!$A:$B,2,0),W128,1),"")</f>
        <v>R</v>
      </c>
      <c r="W128" s="3">
        <v>133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R</v>
      </c>
      <c r="AC128" s="3">
        <v>141</v>
      </c>
      <c r="AD128" s="3" t="str">
        <f>IFERROR(MID(VLOOKUP($B128,Seqs!$A:$B,2,0),AE128,1),"")</f>
        <v>R</v>
      </c>
      <c r="AE128" s="3">
        <v>168</v>
      </c>
      <c r="AF128" s="3" t="str">
        <f>IFERROR(MID(VLOOKUP($B128,Seqs!$A:$B,2,0),AG128,1),"")</f>
        <v>C</v>
      </c>
      <c r="AG128" s="3">
        <v>181</v>
      </c>
      <c r="AH128" s="3" t="str">
        <f>IFERROR(MID(VLOOKUP($B128,Seqs!$A:$B,2,0),AI128,1),"")</f>
        <v>M</v>
      </c>
      <c r="AI128" s="3">
        <v>183</v>
      </c>
      <c r="AJ128" s="3" t="str">
        <f>IFERROR(MID(VLOOKUP($B128,Seqs!$A:$B,2,0),AK128,1),"")</f>
        <v>S</v>
      </c>
      <c r="AK128" s="3">
        <v>193</v>
      </c>
      <c r="AL128" s="3" t="str">
        <f>IFERROR(MID(VLOOKUP($B128,Seqs!$A:$B,2,0),AM128,1),"")</f>
        <v>A</v>
      </c>
      <c r="AM128" s="3">
        <v>229</v>
      </c>
      <c r="AN128" s="3" t="str">
        <f>IFERROR(MID(VLOOKUP($B128,Seqs!$A:$B,2,0),AO128,1),"")</f>
        <v>R</v>
      </c>
      <c r="AO128" s="3">
        <v>244</v>
      </c>
      <c r="AP128" s="3" t="str">
        <f>IFERROR(MID(VLOOKUP($B128,Seqs!$A:$B,2,0),AQ128,1),"")</f>
        <v>L</v>
      </c>
      <c r="AQ128" s="3">
        <v>276</v>
      </c>
      <c r="AR128" s="3" t="str">
        <f>IFERROR(MID(VLOOKUP($B128,Seqs!$A:$B,2,0),AS128,1),"")</f>
        <v>P</v>
      </c>
      <c r="AS128" s="3">
        <v>280</v>
      </c>
      <c r="AT128" s="3" t="str">
        <f>IFERROR(MID(VLOOKUP($B128,Seqs!$A:$B,2,0),AU128,1),"")</f>
        <v>F</v>
      </c>
      <c r="AU128" s="3">
        <v>312</v>
      </c>
      <c r="AV128" s="3" t="str">
        <f>IFERROR(MID(VLOOKUP($B128,Seqs!$A:$B,2,0),AW128,1),"")</f>
        <v>D</v>
      </c>
      <c r="AW128" s="3">
        <v>313</v>
      </c>
      <c r="AX128" s="3" t="str">
        <f>IFERROR(MID(VLOOKUP($B128,Seqs!$A:$B,2,0),AY128,1),"")</f>
        <v>G</v>
      </c>
      <c r="AY128" s="3">
        <v>327</v>
      </c>
      <c r="AZ128" s="77" t="str">
        <f>VLOOKUP(B128,Classification!A:D,2,0)</f>
        <v>A</v>
      </c>
      <c r="BA128" s="94" t="str">
        <f>VLOOKUP(B128,Classification!A:D,4,0)</f>
        <v>Apelin</v>
      </c>
      <c r="BB128" s="27" t="b">
        <f t="shared" si="562"/>
        <v>1</v>
      </c>
      <c r="BC128" s="23">
        <f t="shared" si="563"/>
        <v>254</v>
      </c>
      <c r="BD128" s="2" t="s">
        <v>1383</v>
      </c>
      <c r="BE128" s="3" t="s">
        <v>1381</v>
      </c>
      <c r="BF128" s="119">
        <v>2.6</v>
      </c>
      <c r="BG128" s="49" t="s">
        <v>1287</v>
      </c>
      <c r="BH128" s="49" t="s">
        <v>1287</v>
      </c>
      <c r="BI128" s="1"/>
      <c r="BJ128" s="70" t="s">
        <v>1293</v>
      </c>
      <c r="BK128" s="57" t="s">
        <v>1293</v>
      </c>
      <c r="BL128" s="57" t="s">
        <v>1293</v>
      </c>
      <c r="BM128" s="57" t="s">
        <v>1293</v>
      </c>
      <c r="BN128" s="57" t="s">
        <v>1293</v>
      </c>
      <c r="BO128" s="57" t="s">
        <v>1293</v>
      </c>
      <c r="BP128" s="57" t="s">
        <v>1293</v>
      </c>
      <c r="BQ128" s="57" t="s">
        <v>1293</v>
      </c>
      <c r="BR128" s="57" t="s">
        <v>1293</v>
      </c>
      <c r="BS128" s="57" t="s">
        <v>1293</v>
      </c>
      <c r="BT128" s="57" t="s">
        <v>1293</v>
      </c>
      <c r="BU128" s="57" t="s">
        <v>1293</v>
      </c>
      <c r="BV128" s="70">
        <f t="shared" si="564"/>
        <v>29</v>
      </c>
      <c r="BW128" s="71">
        <f t="shared" si="565"/>
        <v>57</v>
      </c>
      <c r="BX128" s="72">
        <f t="shared" si="566"/>
        <v>62</v>
      </c>
      <c r="BY128" s="71">
        <f t="shared" si="567"/>
        <v>94</v>
      </c>
      <c r="BZ128" s="72">
        <f t="shared" si="568"/>
        <v>98</v>
      </c>
      <c r="CA128" s="71" t="str">
        <f t="shared" si="569"/>
        <v>-</v>
      </c>
      <c r="CB128" s="72">
        <f t="shared" si="570"/>
        <v>141</v>
      </c>
      <c r="CC128" s="71">
        <f t="shared" si="571"/>
        <v>181</v>
      </c>
      <c r="CD128" s="72">
        <f t="shared" si="572"/>
        <v>193</v>
      </c>
      <c r="CE128" s="71">
        <f t="shared" si="573"/>
        <v>244</v>
      </c>
      <c r="CF128" s="72">
        <f t="shared" si="574"/>
        <v>280</v>
      </c>
      <c r="CG128" s="71">
        <f t="shared" si="575"/>
        <v>313</v>
      </c>
      <c r="CH128" s="70">
        <f t="shared" si="576"/>
        <v>56</v>
      </c>
      <c r="CI128" s="71">
        <f t="shared" si="577"/>
        <v>61</v>
      </c>
      <c r="CJ128" s="72">
        <f t="shared" si="578"/>
        <v>92</v>
      </c>
      <c r="CK128" s="72">
        <f t="shared" si="579"/>
        <v>97</v>
      </c>
      <c r="CL128" s="72">
        <f t="shared" si="580"/>
        <v>133</v>
      </c>
      <c r="CM128" s="72" t="str">
        <f t="shared" si="581"/>
        <v>-</v>
      </c>
      <c r="CN128" s="72">
        <f t="shared" si="582"/>
        <v>168</v>
      </c>
      <c r="CO128" s="72">
        <f t="shared" si="583"/>
        <v>183</v>
      </c>
      <c r="CP128" s="72">
        <f t="shared" si="584"/>
        <v>229</v>
      </c>
      <c r="CQ128" s="72">
        <f t="shared" si="585"/>
        <v>276</v>
      </c>
      <c r="CR128" s="72">
        <f t="shared" si="586"/>
        <v>312</v>
      </c>
      <c r="CS128" s="72">
        <f t="shared" si="587"/>
        <v>327</v>
      </c>
      <c r="CT128" s="23">
        <f t="shared" si="588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561"/>
        <v>c5ar1_human__wt</v>
      </c>
      <c r="B129" s="3" t="s">
        <v>165</v>
      </c>
      <c r="C129" s="3" t="s">
        <v>100</v>
      </c>
      <c r="D129" s="3" t="str">
        <f>IFERROR(MID(VLOOKUP($B129,Seqs!$A:$B,2,0),E129,1),"")</f>
        <v>R</v>
      </c>
      <c r="E129" s="3">
        <v>34</v>
      </c>
      <c r="F129" s="3" t="str">
        <f>IFERROR(MID(VLOOKUP($B129,Seqs!$A:$B,2,0),G129,1),"")</f>
        <v>E</v>
      </c>
      <c r="G129" s="3">
        <v>65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T</v>
      </c>
      <c r="M129" s="3">
        <v>69</v>
      </c>
      <c r="N129" s="3" t="str">
        <f>IFERROR(MID(VLOOKUP($B129,Seqs!$A:$B,2,0),O129,1),"")</f>
        <v>H</v>
      </c>
      <c r="O129" s="3">
        <v>99</v>
      </c>
      <c r="P129" s="3" t="str">
        <f>IFERROR(MID(VLOOKUP($B129,Seqs!$A:$B,2,0),Q129,1),"")</f>
        <v>H</v>
      </c>
      <c r="Q129" s="3">
        <v>101</v>
      </c>
      <c r="R129" s="3" t="str">
        <f>IFERROR(MID(VLOOKUP($B129,Seqs!$A:$B,2,0),S129,1),"")</f>
        <v>F</v>
      </c>
      <c r="S129" s="3">
        <v>104</v>
      </c>
      <c r="T129" s="3" t="str">
        <f>IFERROR(MID(VLOOKUP($B129,Seqs!$A:$B,2,0),U129,1),"")</f>
        <v>G</v>
      </c>
      <c r="U129" s="3">
        <v>105</v>
      </c>
      <c r="V129" s="3" t="str">
        <f>IFERROR(MID(VLOOKUP($B129,Seqs!$A:$B,2,0),W129,1),"")</f>
        <v>K</v>
      </c>
      <c r="W129" s="3">
        <v>140</v>
      </c>
      <c r="X129" s="3" t="str">
        <f>IFERROR(MID(VLOOKUP($B129,Seqs!$A:$B,2,0),Y129,1),"")</f>
        <v>P</v>
      </c>
      <c r="Y129" s="3">
        <v>141</v>
      </c>
      <c r="Z129" s="3" t="str">
        <f>IFERROR(MID(VLOOKUP($B129,Seqs!$A:$B,2,0),AA129,1),"")</f>
        <v>R</v>
      </c>
      <c r="AA129" s="3">
        <v>148</v>
      </c>
      <c r="AB129" s="3" t="str">
        <f>IFERROR(MID(VLOOKUP($B129,Seqs!$A:$B,2,0),AC129,1),"")</f>
        <v>G</v>
      </c>
      <c r="AC129" s="3">
        <v>149</v>
      </c>
      <c r="AD129" s="3" t="str">
        <f>IFERROR(MID(VLOOKUP($B129,Seqs!$A:$B,2,0),AE129,1),"")</f>
        <v>R</v>
      </c>
      <c r="AE129" s="3">
        <v>175</v>
      </c>
      <c r="AF129" s="3" t="str">
        <f>IFERROR(MID(VLOOKUP($B129,Seqs!$A:$B,2,0),AG129,1),"")</f>
        <v>C</v>
      </c>
      <c r="AG129" s="3">
        <v>188</v>
      </c>
      <c r="AH129" s="3" t="str">
        <f>IFERROR(MID(VLOOKUP($B129,Seqs!$A:$B,2,0),AI129,1),"")</f>
        <v>V</v>
      </c>
      <c r="AI129" s="3">
        <v>190</v>
      </c>
      <c r="AJ129" s="3" t="str">
        <f>IFERROR(MID(VLOOKUP($B129,Seqs!$A:$B,2,0),AK129,1),"")</f>
        <v>D</v>
      </c>
      <c r="AK129" s="3">
        <v>195</v>
      </c>
      <c r="AL129" s="3" t="str">
        <f>IFERROR(MID(VLOOKUP($B129,Seqs!$A:$B,2,0),AM129,1),"")</f>
        <v>R</v>
      </c>
      <c r="AM129" s="3">
        <v>232</v>
      </c>
      <c r="AN129" s="3" t="str">
        <f>IFERROR(MID(VLOOKUP($B129,Seqs!$A:$B,2,0),AO129,1),"")</f>
        <v>T</v>
      </c>
      <c r="AO129" s="3">
        <v>238</v>
      </c>
      <c r="AP129" s="3" t="str">
        <f>IFERROR(MID(VLOOKUP($B129,Seqs!$A:$B,2,0),AQ129,1),"")</f>
        <v>L</v>
      </c>
      <c r="AQ129" s="3">
        <v>268</v>
      </c>
      <c r="AR129" s="3" t="str">
        <f>IFERROR(MID(VLOOKUP($B129,Seqs!$A:$B,2,0),AS129,1),"")</f>
        <v>S</v>
      </c>
      <c r="AS129" s="3">
        <v>272</v>
      </c>
      <c r="AT129" s="3" t="str">
        <f>IFERROR(MID(VLOOKUP($B129,Seqs!$A:$B,2,0),AU129,1),"")</f>
        <v>A</v>
      </c>
      <c r="AU129" s="3">
        <v>303</v>
      </c>
      <c r="AV129" s="3" t="str">
        <f>IFERROR(MID(VLOOKUP($B129,Seqs!$A:$B,2,0),AW129,1),"")</f>
        <v>G</v>
      </c>
      <c r="AW129" s="3">
        <v>304</v>
      </c>
      <c r="AX129" s="3" t="str">
        <f>IFERROR(MID(VLOOKUP($B129,Seqs!$A:$B,2,0),AY129,1),"")</f>
        <v>K</v>
      </c>
      <c r="AY129" s="3">
        <v>313</v>
      </c>
      <c r="AZ129" s="77" t="str">
        <f>VLOOKUP(B129,Classification!A:D,2,0)</f>
        <v>A</v>
      </c>
      <c r="BA129" s="94" t="str">
        <f>VLOOKUP(B129,Classification!A:D,4,0)</f>
        <v>Complementpeptide</v>
      </c>
      <c r="BB129" s="27" t="b">
        <f t="shared" si="562"/>
        <v>1</v>
      </c>
      <c r="BC129" s="23">
        <f t="shared" si="563"/>
        <v>253</v>
      </c>
      <c r="BD129" s="2" t="s">
        <v>23</v>
      </c>
      <c r="BE129" s="3" t="s">
        <v>1381</v>
      </c>
      <c r="BF129" s="119" t="s">
        <v>23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si="564"/>
        <v>34</v>
      </c>
      <c r="BW129" s="71" t="str">
        <f t="shared" si="565"/>
        <v>-</v>
      </c>
      <c r="BX129" s="72">
        <f t="shared" si="566"/>
        <v>69</v>
      </c>
      <c r="BY129" s="71">
        <f t="shared" si="567"/>
        <v>101</v>
      </c>
      <c r="BZ129" s="72">
        <f t="shared" si="568"/>
        <v>105</v>
      </c>
      <c r="CA129" s="71">
        <f t="shared" si="569"/>
        <v>141</v>
      </c>
      <c r="CB129" s="72">
        <f t="shared" si="570"/>
        <v>149</v>
      </c>
      <c r="CC129" s="71">
        <f t="shared" si="571"/>
        <v>188</v>
      </c>
      <c r="CD129" s="72">
        <f t="shared" si="572"/>
        <v>195</v>
      </c>
      <c r="CE129" s="71">
        <f t="shared" si="573"/>
        <v>238</v>
      </c>
      <c r="CF129" s="72">
        <f t="shared" si="574"/>
        <v>272</v>
      </c>
      <c r="CG129" s="71">
        <f t="shared" si="575"/>
        <v>304</v>
      </c>
      <c r="CH129" s="70">
        <f t="shared" si="576"/>
        <v>65</v>
      </c>
      <c r="CI129" s="71" t="str">
        <f t="shared" si="577"/>
        <v>-</v>
      </c>
      <c r="CJ129" s="72">
        <f t="shared" si="578"/>
        <v>99</v>
      </c>
      <c r="CK129" s="72">
        <f t="shared" si="579"/>
        <v>104</v>
      </c>
      <c r="CL129" s="72">
        <f t="shared" si="580"/>
        <v>140</v>
      </c>
      <c r="CM129" s="72">
        <f t="shared" si="581"/>
        <v>148</v>
      </c>
      <c r="CN129" s="72">
        <f t="shared" si="582"/>
        <v>175</v>
      </c>
      <c r="CO129" s="72">
        <f t="shared" si="583"/>
        <v>190</v>
      </c>
      <c r="CP129" s="72">
        <f t="shared" si="584"/>
        <v>232</v>
      </c>
      <c r="CQ129" s="72">
        <f t="shared" si="585"/>
        <v>268</v>
      </c>
      <c r="CR129" s="72">
        <f t="shared" si="586"/>
        <v>303</v>
      </c>
      <c r="CS129" s="72">
        <f t="shared" si="587"/>
        <v>313</v>
      </c>
      <c r="CT129" s="23" t="e">
        <f t="shared" si="588"/>
        <v>#VALUE!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561"/>
        <v>c5ar1_human_5O9H</v>
      </c>
      <c r="B130" s="3" t="s">
        <v>165</v>
      </c>
      <c r="C130" s="3" t="s">
        <v>1492</v>
      </c>
      <c r="D130" s="3" t="str">
        <f>IFERROR(MID(VLOOKUP($B130,Seqs!$A:$B,2,0),E130,1),"")</f>
        <v>R</v>
      </c>
      <c r="E130" s="3">
        <v>34</v>
      </c>
      <c r="F130" s="3" t="str">
        <f>IFERROR(MID(VLOOKUP($B130,Seqs!$A:$B,2,0),G130,1),"")</f>
        <v>E</v>
      </c>
      <c r="G130" s="3">
        <v>65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T</v>
      </c>
      <c r="M130" s="3">
        <v>69</v>
      </c>
      <c r="N130" s="3" t="str">
        <f>IFERROR(MID(VLOOKUP($B130,Seqs!$A:$B,2,0),O130,1),"")</f>
        <v>H</v>
      </c>
      <c r="O130" s="3">
        <v>99</v>
      </c>
      <c r="P130" s="3" t="str">
        <f>IFERROR(MID(VLOOKUP($B130,Seqs!$A:$B,2,0),Q130,1),"")</f>
        <v>H</v>
      </c>
      <c r="Q130" s="3">
        <v>101</v>
      </c>
      <c r="R130" s="3" t="str">
        <f>IFERROR(MID(VLOOKUP($B130,Seqs!$A:$B,2,0),S130,1),"")</f>
        <v>F</v>
      </c>
      <c r="S130" s="3">
        <v>104</v>
      </c>
      <c r="T130" s="3" t="str">
        <f>IFERROR(MID(VLOOKUP($B130,Seqs!$A:$B,2,0),U130,1),"")</f>
        <v>G</v>
      </c>
      <c r="U130" s="3">
        <v>105</v>
      </c>
      <c r="V130" s="3" t="str">
        <f>IFERROR(MID(VLOOKUP($B130,Seqs!$A:$B,2,0),W130,1),"")</f>
        <v>K</v>
      </c>
      <c r="W130" s="3">
        <v>140</v>
      </c>
      <c r="X130" s="3" t="str">
        <f>IFERROR(MID(VLOOKUP($B130,Seqs!$A:$B,2,0),Y130,1),"")</f>
        <v>P</v>
      </c>
      <c r="Y130" s="3">
        <v>141</v>
      </c>
      <c r="Z130" s="3" t="str">
        <f>IFERROR(MID(VLOOKUP($B130,Seqs!$A:$B,2,0),AA130,1),"")</f>
        <v>R</v>
      </c>
      <c r="AA130" s="3">
        <v>148</v>
      </c>
      <c r="AB130" s="3" t="str">
        <f>IFERROR(MID(VLOOKUP($B130,Seqs!$A:$B,2,0),AC130,1),"")</f>
        <v>G</v>
      </c>
      <c r="AC130" s="3">
        <v>149</v>
      </c>
      <c r="AD130" s="3" t="str">
        <f>IFERROR(MID(VLOOKUP($B130,Seqs!$A:$B,2,0),AE130,1),"")</f>
        <v>R</v>
      </c>
      <c r="AE130" s="3">
        <v>175</v>
      </c>
      <c r="AF130" s="3" t="str">
        <f>IFERROR(MID(VLOOKUP($B130,Seqs!$A:$B,2,0),AG130,1),"")</f>
        <v>C</v>
      </c>
      <c r="AG130" s="3">
        <v>188</v>
      </c>
      <c r="AH130" s="3" t="str">
        <f>IFERROR(MID(VLOOKUP($B130,Seqs!$A:$B,2,0),AI130,1),"")</f>
        <v>V</v>
      </c>
      <c r="AI130" s="3">
        <v>190</v>
      </c>
      <c r="AJ130" s="3" t="str">
        <f>IFERROR(MID(VLOOKUP($B130,Seqs!$A:$B,2,0),AK130,1),"")</f>
        <v>D</v>
      </c>
      <c r="AK130" s="3">
        <v>195</v>
      </c>
      <c r="AL130" s="3" t="str">
        <f>IFERROR(MID(VLOOKUP($B130,Seqs!$A:$B,2,0),AM130,1),"")</f>
        <v>R</v>
      </c>
      <c r="AM130" s="3">
        <v>232</v>
      </c>
      <c r="AN130" s="3" t="str">
        <f>IFERROR(MID(VLOOKUP($B130,Seqs!$A:$B,2,0),AO130,1),"")</f>
        <v>T</v>
      </c>
      <c r="AO130" s="3">
        <v>238</v>
      </c>
      <c r="AP130" s="3" t="str">
        <f>IFERROR(MID(VLOOKUP($B130,Seqs!$A:$B,2,0),AQ130,1),"")</f>
        <v>L</v>
      </c>
      <c r="AQ130" s="3">
        <v>268</v>
      </c>
      <c r="AR130" s="3" t="str">
        <f>IFERROR(MID(VLOOKUP($B130,Seqs!$A:$B,2,0),AS130,1),"")</f>
        <v>S</v>
      </c>
      <c r="AS130" s="3">
        <v>272</v>
      </c>
      <c r="AT130" s="3" t="str">
        <f>IFERROR(MID(VLOOKUP($B130,Seqs!$A:$B,2,0),AU130,1),"")</f>
        <v>F</v>
      </c>
      <c r="AU130" s="3">
        <v>307</v>
      </c>
      <c r="AV130" s="3" t="str">
        <f>IFERROR(MID(VLOOKUP($B130,Seqs!$A:$B,2,0),AW130,1),"")</f>
        <v/>
      </c>
      <c r="AW130" s="3" t="s">
        <v>23</v>
      </c>
      <c r="AX130" s="3" t="str">
        <f>IFERROR(MID(VLOOKUP($B130,Seqs!$A:$B,2,0),AY130,1),"")</f>
        <v/>
      </c>
      <c r="AY130" s="3" t="s">
        <v>23</v>
      </c>
      <c r="AZ130" s="77" t="str">
        <f>VLOOKUP(B130,Classification!A:D,2,0)</f>
        <v>A</v>
      </c>
      <c r="BA130" s="94" t="str">
        <f>VLOOKUP(B130,Classification!A:D,4,0)</f>
        <v>Complementpeptide</v>
      </c>
      <c r="BB130" s="27" t="b">
        <f t="shared" si="562"/>
        <v>1</v>
      </c>
      <c r="BC130" s="23">
        <f t="shared" si="563"/>
        <v>248</v>
      </c>
      <c r="BD130" s="2" t="s">
        <v>1383</v>
      </c>
      <c r="BE130" s="3" t="s">
        <v>1381</v>
      </c>
      <c r="BF130" s="119">
        <v>2.7</v>
      </c>
      <c r="BG130" s="49" t="s">
        <v>1</v>
      </c>
      <c r="BH130" s="49" t="s">
        <v>1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564"/>
        <v>34</v>
      </c>
      <c r="BW130" s="71" t="str">
        <f t="shared" si="565"/>
        <v>-</v>
      </c>
      <c r="BX130" s="72">
        <f t="shared" si="566"/>
        <v>69</v>
      </c>
      <c r="BY130" s="71">
        <f t="shared" si="567"/>
        <v>101</v>
      </c>
      <c r="BZ130" s="72">
        <f t="shared" si="568"/>
        <v>105</v>
      </c>
      <c r="CA130" s="71">
        <f t="shared" si="569"/>
        <v>141</v>
      </c>
      <c r="CB130" s="72">
        <f t="shared" si="570"/>
        <v>149</v>
      </c>
      <c r="CC130" s="71">
        <f t="shared" si="571"/>
        <v>188</v>
      </c>
      <c r="CD130" s="72">
        <f t="shared" si="572"/>
        <v>195</v>
      </c>
      <c r="CE130" s="71">
        <f t="shared" si="573"/>
        <v>238</v>
      </c>
      <c r="CF130" s="72">
        <f t="shared" si="574"/>
        <v>272</v>
      </c>
      <c r="CG130" s="71" t="str">
        <f t="shared" si="575"/>
        <v>-</v>
      </c>
      <c r="CH130" s="70">
        <f t="shared" si="576"/>
        <v>65</v>
      </c>
      <c r="CI130" s="71" t="str">
        <f t="shared" si="577"/>
        <v>-</v>
      </c>
      <c r="CJ130" s="72">
        <f t="shared" si="578"/>
        <v>99</v>
      </c>
      <c r="CK130" s="72">
        <f t="shared" si="579"/>
        <v>104</v>
      </c>
      <c r="CL130" s="72">
        <f t="shared" si="580"/>
        <v>140</v>
      </c>
      <c r="CM130" s="72">
        <f t="shared" si="581"/>
        <v>148</v>
      </c>
      <c r="CN130" s="72">
        <f t="shared" si="582"/>
        <v>175</v>
      </c>
      <c r="CO130" s="72">
        <f t="shared" si="583"/>
        <v>190</v>
      </c>
      <c r="CP130" s="72">
        <f t="shared" si="584"/>
        <v>232</v>
      </c>
      <c r="CQ130" s="72">
        <f t="shared" si="585"/>
        <v>268</v>
      </c>
      <c r="CR130" s="72">
        <f t="shared" si="586"/>
        <v>307</v>
      </c>
      <c r="CS130" s="72" t="str">
        <f t="shared" si="587"/>
        <v>-</v>
      </c>
      <c r="CT130" s="23" t="e">
        <f t="shared" si="588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s="12" customFormat="1" x14ac:dyDescent="0.2">
      <c r="A131" s="9" t="str">
        <f t="shared" si="561"/>
        <v>c5ar1_human_6C1Q</v>
      </c>
      <c r="B131" s="9" t="s">
        <v>165</v>
      </c>
      <c r="C131" s="9" t="s">
        <v>1514</v>
      </c>
      <c r="D131" s="9" t="str">
        <f>IFERROR(MID(VLOOKUP($B131,Seqs!$A:$B,2,0),E131,1),"")</f>
        <v>R</v>
      </c>
      <c r="E131" s="9">
        <v>34</v>
      </c>
      <c r="F131" s="9" t="str">
        <f>IFERROR(MID(VLOOKUP($B131,Seqs!$A:$B,2,0),G131,1),"")</f>
        <v>E</v>
      </c>
      <c r="G131" s="9">
        <v>65</v>
      </c>
      <c r="H131" s="9" t="str">
        <f>IFERROR(MID(VLOOKUP($B131,Seqs!$A:$B,2,0),I131,1),"")</f>
        <v/>
      </c>
      <c r="I131" s="109" t="s">
        <v>23</v>
      </c>
      <c r="J131" s="9" t="str">
        <f>IFERROR(MID(VLOOKUP($B131,Seqs!$A:$B,2,0),K131,1),"")</f>
        <v/>
      </c>
      <c r="K131" s="109" t="s">
        <v>23</v>
      </c>
      <c r="L131" s="9" t="str">
        <f>IFERROR(MID(VLOOKUP($B131,Seqs!$A:$B,2,0),M131,1),"")</f>
        <v>T</v>
      </c>
      <c r="M131" s="9">
        <v>69</v>
      </c>
      <c r="N131" s="9" t="str">
        <f>IFERROR(MID(VLOOKUP($B131,Seqs!$A:$B,2,0),O131,1),"")</f>
        <v>H</v>
      </c>
      <c r="O131" s="9">
        <v>99</v>
      </c>
      <c r="P131" s="9" t="str">
        <f>IFERROR(MID(VLOOKUP($B131,Seqs!$A:$B,2,0),Q131,1),"")</f>
        <v>H</v>
      </c>
      <c r="Q131" s="9">
        <v>101</v>
      </c>
      <c r="R131" s="9" t="str">
        <f>IFERROR(MID(VLOOKUP($B131,Seqs!$A:$B,2,0),S131,1),"")</f>
        <v>F</v>
      </c>
      <c r="S131" s="9">
        <v>104</v>
      </c>
      <c r="T131" s="9" t="str">
        <f>IFERROR(MID(VLOOKUP($B131,Seqs!$A:$B,2,0),U131,1),"")</f>
        <v>G</v>
      </c>
      <c r="U131" s="9">
        <v>105</v>
      </c>
      <c r="V131" s="9" t="str">
        <f>IFERROR(MID(VLOOKUP($B131,Seqs!$A:$B,2,0),W131,1),"")</f>
        <v>K</v>
      </c>
      <c r="W131" s="9">
        <v>140</v>
      </c>
      <c r="X131" s="9" t="str">
        <f>IFERROR(MID(VLOOKUP($B131,Seqs!$A:$B,2,0),Y131,1),"")</f>
        <v>P</v>
      </c>
      <c r="Y131" s="9">
        <v>141</v>
      </c>
      <c r="Z131" s="9" t="str">
        <f>IFERROR(MID(VLOOKUP($B131,Seqs!$A:$B,2,0),AA131,1),"")</f>
        <v>R</v>
      </c>
      <c r="AA131" s="9">
        <v>148</v>
      </c>
      <c r="AB131" s="9" t="str">
        <f>IFERROR(MID(VLOOKUP($B131,Seqs!$A:$B,2,0),AC131,1),"")</f>
        <v>G</v>
      </c>
      <c r="AC131" s="9">
        <v>149</v>
      </c>
      <c r="AD131" s="9" t="str">
        <f>IFERROR(MID(VLOOKUP($B131,Seqs!$A:$B,2,0),AE131,1),"")</f>
        <v>R</v>
      </c>
      <c r="AE131" s="9">
        <v>175</v>
      </c>
      <c r="AF131" s="9" t="str">
        <f>IFERROR(MID(VLOOKUP($B131,Seqs!$A:$B,2,0),AG131,1),"")</f>
        <v>C</v>
      </c>
      <c r="AG131" s="9">
        <v>188</v>
      </c>
      <c r="AH131" s="9" t="str">
        <f>IFERROR(MID(VLOOKUP($B131,Seqs!$A:$B,2,0),AI131,1),"")</f>
        <v>V</v>
      </c>
      <c r="AI131" s="9">
        <v>190</v>
      </c>
      <c r="AJ131" s="9" t="str">
        <f>IFERROR(MID(VLOOKUP($B131,Seqs!$A:$B,2,0),AK131,1),"")</f>
        <v>D</v>
      </c>
      <c r="AK131" s="9">
        <v>195</v>
      </c>
      <c r="AL131" s="9" t="str">
        <f>IFERROR(MID(VLOOKUP($B131,Seqs!$A:$B,2,0),AM131,1),"")</f>
        <v>R</v>
      </c>
      <c r="AM131" s="9">
        <v>232</v>
      </c>
      <c r="AN131" s="9" t="str">
        <f>IFERROR(MID(VLOOKUP($B131,Seqs!$A:$B,2,0),AO131,1),"")</f>
        <v>S</v>
      </c>
      <c r="AO131" s="9">
        <v>237</v>
      </c>
      <c r="AP131" s="9" t="str">
        <f>IFERROR(MID(VLOOKUP($B131,Seqs!$A:$B,2,0),AQ131,1),"")</f>
        <v>E</v>
      </c>
      <c r="AQ131" s="9">
        <v>269</v>
      </c>
      <c r="AR131" s="9" t="str">
        <f>IFERROR(MID(VLOOKUP($B131,Seqs!$A:$B,2,0),AS131,1),"")</f>
        <v>P</v>
      </c>
      <c r="AS131" s="9">
        <v>273</v>
      </c>
      <c r="AT131" s="9" t="str">
        <f>IFERROR(MID(VLOOKUP($B131,Seqs!$A:$B,2,0),AU131,1),"")</f>
        <v>Q</v>
      </c>
      <c r="AU131" s="9">
        <v>308</v>
      </c>
      <c r="AV131" s="9" t="str">
        <f>IFERROR(MID(VLOOKUP($B131,Seqs!$A:$B,2,0),AW131,1),"")</f>
        <v/>
      </c>
      <c r="AW131" s="9" t="s">
        <v>23</v>
      </c>
      <c r="AX131" s="9" t="str">
        <f>IFERROR(MID(VLOOKUP($B131,Seqs!$A:$B,2,0),AY131,1),"")</f>
        <v/>
      </c>
      <c r="AY131" s="9" t="s">
        <v>23</v>
      </c>
      <c r="AZ131" s="110" t="str">
        <f>VLOOKUP(B131,Classification!A:D,2,0)</f>
        <v>A</v>
      </c>
      <c r="BA131" s="98" t="str">
        <f>VLOOKUP(B131,Classification!A:D,4,0)</f>
        <v>Complementpeptide</v>
      </c>
      <c r="BB131" s="36" t="b">
        <f t="shared" si="562"/>
        <v>1</v>
      </c>
      <c r="BC131" s="109">
        <f t="shared" si="563"/>
        <v>250</v>
      </c>
      <c r="BD131" s="40" t="s">
        <v>23</v>
      </c>
      <c r="BE131" s="9" t="s">
        <v>1381</v>
      </c>
      <c r="BF131" s="120">
        <v>2.9</v>
      </c>
      <c r="BG131" s="51" t="s">
        <v>1287</v>
      </c>
      <c r="BH131" s="51" t="s">
        <v>1287</v>
      </c>
      <c r="BJ131" s="111" t="s">
        <v>1293</v>
      </c>
      <c r="BK131" s="112" t="s">
        <v>1293</v>
      </c>
      <c r="BL131" s="112" t="s">
        <v>1293</v>
      </c>
      <c r="BM131" s="112" t="s">
        <v>1293</v>
      </c>
      <c r="BN131" s="112" t="s">
        <v>1293</v>
      </c>
      <c r="BO131" s="112" t="s">
        <v>1293</v>
      </c>
      <c r="BP131" s="112" t="s">
        <v>1293</v>
      </c>
      <c r="BQ131" s="112" t="s">
        <v>1293</v>
      </c>
      <c r="BR131" s="112" t="s">
        <v>1293</v>
      </c>
      <c r="BS131" s="112" t="s">
        <v>1293</v>
      </c>
      <c r="BT131" s="112" t="s">
        <v>1293</v>
      </c>
      <c r="BU131" s="112" t="s">
        <v>1293</v>
      </c>
      <c r="BV131" s="111">
        <f t="shared" si="564"/>
        <v>34</v>
      </c>
      <c r="BW131" s="113" t="str">
        <f t="shared" si="565"/>
        <v>-</v>
      </c>
      <c r="BX131" s="114">
        <f t="shared" si="566"/>
        <v>69</v>
      </c>
      <c r="BY131" s="113">
        <f t="shared" si="567"/>
        <v>101</v>
      </c>
      <c r="BZ131" s="114">
        <f t="shared" si="568"/>
        <v>105</v>
      </c>
      <c r="CA131" s="113">
        <f t="shared" si="569"/>
        <v>141</v>
      </c>
      <c r="CB131" s="114">
        <f t="shared" si="570"/>
        <v>149</v>
      </c>
      <c r="CC131" s="113">
        <f t="shared" si="571"/>
        <v>188</v>
      </c>
      <c r="CD131" s="114">
        <f t="shared" si="572"/>
        <v>195</v>
      </c>
      <c r="CE131" s="113">
        <f t="shared" si="573"/>
        <v>237</v>
      </c>
      <c r="CF131" s="114">
        <f t="shared" si="574"/>
        <v>273</v>
      </c>
      <c r="CG131" s="113" t="str">
        <f t="shared" si="575"/>
        <v>-</v>
      </c>
      <c r="CH131" s="111">
        <f t="shared" si="576"/>
        <v>65</v>
      </c>
      <c r="CI131" s="113" t="str">
        <f t="shared" si="577"/>
        <v>-</v>
      </c>
      <c r="CJ131" s="114">
        <f t="shared" si="578"/>
        <v>99</v>
      </c>
      <c r="CK131" s="114">
        <f t="shared" si="579"/>
        <v>104</v>
      </c>
      <c r="CL131" s="114">
        <f t="shared" si="580"/>
        <v>140</v>
      </c>
      <c r="CM131" s="114">
        <f t="shared" si="581"/>
        <v>148</v>
      </c>
      <c r="CN131" s="114">
        <f t="shared" si="582"/>
        <v>175</v>
      </c>
      <c r="CO131" s="114">
        <f t="shared" si="583"/>
        <v>190</v>
      </c>
      <c r="CP131" s="114">
        <f t="shared" si="584"/>
        <v>232</v>
      </c>
      <c r="CQ131" s="114">
        <f t="shared" si="585"/>
        <v>269</v>
      </c>
      <c r="CR131" s="114">
        <f t="shared" si="586"/>
        <v>308</v>
      </c>
      <c r="CS131" s="114" t="str">
        <f t="shared" si="587"/>
        <v>-</v>
      </c>
      <c r="CT131" s="109" t="e">
        <f t="shared" si="588"/>
        <v>#VALUE!</v>
      </c>
    </row>
    <row r="132" spans="1:1030" s="12" customFormat="1" x14ac:dyDescent="0.2">
      <c r="A132" s="9" t="str">
        <f t="shared" si="561"/>
        <v>c5ar1_human_6C1R</v>
      </c>
      <c r="B132" s="9" t="s">
        <v>165</v>
      </c>
      <c r="C132" s="9" t="s">
        <v>1515</v>
      </c>
      <c r="D132" s="9" t="str">
        <f>IFERROR(MID(VLOOKUP($B132,Seqs!$A:$B,2,0),E132,1),"")</f>
        <v>R</v>
      </c>
      <c r="E132" s="9">
        <v>34</v>
      </c>
      <c r="F132" s="9" t="str">
        <f>IFERROR(MID(VLOOKUP($B132,Seqs!$A:$B,2,0),G132,1),"")</f>
        <v>E</v>
      </c>
      <c r="G132" s="9">
        <v>65</v>
      </c>
      <c r="H132" s="9" t="str">
        <f>IFERROR(MID(VLOOKUP($B132,Seqs!$A:$B,2,0),I132,1),"")</f>
        <v/>
      </c>
      <c r="I132" s="109" t="s">
        <v>23</v>
      </c>
      <c r="J132" s="9" t="str">
        <f>IFERROR(MID(VLOOKUP($B132,Seqs!$A:$B,2,0),K132,1),"")</f>
        <v/>
      </c>
      <c r="K132" s="109" t="s">
        <v>23</v>
      </c>
      <c r="L132" s="9" t="str">
        <f>IFERROR(MID(VLOOKUP($B132,Seqs!$A:$B,2,0),M132,1),"")</f>
        <v>T</v>
      </c>
      <c r="M132" s="9">
        <v>69</v>
      </c>
      <c r="N132" s="9" t="str">
        <f>IFERROR(MID(VLOOKUP($B132,Seqs!$A:$B,2,0),O132,1),"")</f>
        <v>H</v>
      </c>
      <c r="O132" s="9">
        <v>99</v>
      </c>
      <c r="P132" s="9" t="str">
        <f>IFERROR(MID(VLOOKUP($B132,Seqs!$A:$B,2,0),Q132,1),"")</f>
        <v>H</v>
      </c>
      <c r="Q132" s="9">
        <v>101</v>
      </c>
      <c r="R132" s="9" t="str">
        <f>IFERROR(MID(VLOOKUP($B132,Seqs!$A:$B,2,0),S132,1),"")</f>
        <v>F</v>
      </c>
      <c r="S132" s="9">
        <v>104</v>
      </c>
      <c r="T132" s="9" t="str">
        <f>IFERROR(MID(VLOOKUP($B132,Seqs!$A:$B,2,0),U132,1),"")</f>
        <v>G</v>
      </c>
      <c r="U132" s="9">
        <v>105</v>
      </c>
      <c r="V132" s="9" t="str">
        <f>IFERROR(MID(VLOOKUP($B132,Seqs!$A:$B,2,0),W132,1),"")</f>
        <v>K</v>
      </c>
      <c r="W132" s="9">
        <v>140</v>
      </c>
      <c r="X132" s="9" t="str">
        <f>IFERROR(MID(VLOOKUP($B132,Seqs!$A:$B,2,0),Y132,1),"")</f>
        <v>P</v>
      </c>
      <c r="Y132" s="9">
        <v>141</v>
      </c>
      <c r="Z132" s="9" t="str">
        <f>IFERROR(MID(VLOOKUP($B132,Seqs!$A:$B,2,0),AA132,1),"")</f>
        <v>R</v>
      </c>
      <c r="AA132" s="9">
        <v>148</v>
      </c>
      <c r="AB132" s="9" t="str">
        <f>IFERROR(MID(VLOOKUP($B132,Seqs!$A:$B,2,0),AC132,1),"")</f>
        <v>G</v>
      </c>
      <c r="AC132" s="9">
        <v>149</v>
      </c>
      <c r="AD132" s="9" t="str">
        <f>IFERROR(MID(VLOOKUP($B132,Seqs!$A:$B,2,0),AE132,1),"")</f>
        <v>R</v>
      </c>
      <c r="AE132" s="9">
        <v>175</v>
      </c>
      <c r="AF132" s="9" t="str">
        <f>IFERROR(MID(VLOOKUP($B132,Seqs!$A:$B,2,0),AG132,1),"")</f>
        <v>C</v>
      </c>
      <c r="AG132" s="9">
        <v>188</v>
      </c>
      <c r="AH132" s="9" t="str">
        <f>IFERROR(MID(VLOOKUP($B132,Seqs!$A:$B,2,0),AI132,1),"")</f>
        <v>V</v>
      </c>
      <c r="AI132" s="9">
        <v>190</v>
      </c>
      <c r="AJ132" s="9" t="str">
        <f>IFERROR(MID(VLOOKUP($B132,Seqs!$A:$B,2,0),AK132,1),"")</f>
        <v>D</v>
      </c>
      <c r="AK132" s="9">
        <v>195</v>
      </c>
      <c r="AL132" s="9" t="str">
        <f>IFERROR(MID(VLOOKUP($B132,Seqs!$A:$B,2,0),AM132,1),"")</f>
        <v>R</v>
      </c>
      <c r="AM132" s="9">
        <v>232</v>
      </c>
      <c r="AN132" s="9" t="str">
        <f>IFERROR(MID(VLOOKUP($B132,Seqs!$A:$B,2,0),AO132,1),"")</f>
        <v>S</v>
      </c>
      <c r="AO132" s="9">
        <v>237</v>
      </c>
      <c r="AP132" s="9" t="str">
        <f>IFERROR(MID(VLOOKUP($B132,Seqs!$A:$B,2,0),AQ132,1),"")</f>
        <v>E</v>
      </c>
      <c r="AQ132" s="9">
        <v>269</v>
      </c>
      <c r="AR132" s="9" t="str">
        <f>IFERROR(MID(VLOOKUP($B132,Seqs!$A:$B,2,0),AS132,1),"")</f>
        <v>P</v>
      </c>
      <c r="AS132" s="9">
        <v>273</v>
      </c>
      <c r="AT132" s="9" t="str">
        <f>IFERROR(MID(VLOOKUP($B132,Seqs!$A:$B,2,0),AU132,1),"")</f>
        <v>Q</v>
      </c>
      <c r="AU132" s="9">
        <v>308</v>
      </c>
      <c r="AV132" s="9" t="str">
        <f>IFERROR(MID(VLOOKUP($B132,Seqs!$A:$B,2,0),AW132,1),"")</f>
        <v/>
      </c>
      <c r="AW132" s="9" t="s">
        <v>23</v>
      </c>
      <c r="AX132" s="9" t="str">
        <f>IFERROR(MID(VLOOKUP($B132,Seqs!$A:$B,2,0),AY132,1),"")</f>
        <v/>
      </c>
      <c r="AY132" s="9" t="s">
        <v>23</v>
      </c>
      <c r="AZ132" s="110" t="str">
        <f>VLOOKUP(B132,Classification!A:D,2,0)</f>
        <v>A</v>
      </c>
      <c r="BA132" s="98" t="str">
        <f>VLOOKUP(B132,Classification!A:D,4,0)</f>
        <v>Complementpeptide</v>
      </c>
      <c r="BB132" s="36" t="b">
        <f t="shared" si="562"/>
        <v>1</v>
      </c>
      <c r="BC132" s="109">
        <f t="shared" si="563"/>
        <v>250</v>
      </c>
      <c r="BD132" s="40" t="s">
        <v>23</v>
      </c>
      <c r="BE132" s="9" t="s">
        <v>1381</v>
      </c>
      <c r="BF132" s="120">
        <v>2.2000000000000002</v>
      </c>
      <c r="BG132" s="51" t="s">
        <v>1287</v>
      </c>
      <c r="BH132" s="51" t="s">
        <v>1287</v>
      </c>
      <c r="BJ132" s="111" t="s">
        <v>1293</v>
      </c>
      <c r="BK132" s="112" t="s">
        <v>1293</v>
      </c>
      <c r="BL132" s="112" t="s">
        <v>1293</v>
      </c>
      <c r="BM132" s="112" t="s">
        <v>1293</v>
      </c>
      <c r="BN132" s="112" t="s">
        <v>1293</v>
      </c>
      <c r="BO132" s="112" t="s">
        <v>1293</v>
      </c>
      <c r="BP132" s="112" t="s">
        <v>1293</v>
      </c>
      <c r="BQ132" s="112" t="s">
        <v>1293</v>
      </c>
      <c r="BR132" s="112" t="s">
        <v>1293</v>
      </c>
      <c r="BS132" s="112" t="s">
        <v>1293</v>
      </c>
      <c r="BT132" s="112" t="s">
        <v>1293</v>
      </c>
      <c r="BU132" s="112" t="s">
        <v>1293</v>
      </c>
      <c r="BV132" s="111">
        <f t="shared" si="564"/>
        <v>34</v>
      </c>
      <c r="BW132" s="113" t="str">
        <f t="shared" si="565"/>
        <v>-</v>
      </c>
      <c r="BX132" s="114">
        <f t="shared" si="566"/>
        <v>69</v>
      </c>
      <c r="BY132" s="113">
        <f t="shared" si="567"/>
        <v>101</v>
      </c>
      <c r="BZ132" s="114">
        <f t="shared" si="568"/>
        <v>105</v>
      </c>
      <c r="CA132" s="113">
        <f t="shared" si="569"/>
        <v>141</v>
      </c>
      <c r="CB132" s="114">
        <f t="shared" si="570"/>
        <v>149</v>
      </c>
      <c r="CC132" s="113">
        <f t="shared" si="571"/>
        <v>188</v>
      </c>
      <c r="CD132" s="114">
        <f t="shared" si="572"/>
        <v>195</v>
      </c>
      <c r="CE132" s="113">
        <f t="shared" si="573"/>
        <v>237</v>
      </c>
      <c r="CF132" s="114">
        <f t="shared" si="574"/>
        <v>273</v>
      </c>
      <c r="CG132" s="113" t="str">
        <f t="shared" si="575"/>
        <v>-</v>
      </c>
      <c r="CH132" s="111">
        <f t="shared" si="576"/>
        <v>65</v>
      </c>
      <c r="CI132" s="113" t="str">
        <f t="shared" si="577"/>
        <v>-</v>
      </c>
      <c r="CJ132" s="114">
        <f t="shared" si="578"/>
        <v>99</v>
      </c>
      <c r="CK132" s="114">
        <f t="shared" si="579"/>
        <v>104</v>
      </c>
      <c r="CL132" s="114">
        <f t="shared" si="580"/>
        <v>140</v>
      </c>
      <c r="CM132" s="114">
        <f t="shared" si="581"/>
        <v>148</v>
      </c>
      <c r="CN132" s="114">
        <f t="shared" si="582"/>
        <v>175</v>
      </c>
      <c r="CO132" s="114">
        <f t="shared" si="583"/>
        <v>190</v>
      </c>
      <c r="CP132" s="114">
        <f t="shared" si="584"/>
        <v>232</v>
      </c>
      <c r="CQ132" s="114">
        <f t="shared" si="585"/>
        <v>269</v>
      </c>
      <c r="CR132" s="114">
        <f t="shared" si="586"/>
        <v>308</v>
      </c>
      <c r="CS132" s="114" t="str">
        <f t="shared" si="587"/>
        <v>-</v>
      </c>
      <c r="CT132" s="109" t="e">
        <f t="shared" si="588"/>
        <v>#VALUE!</v>
      </c>
    </row>
    <row r="133" spans="1:1030" x14ac:dyDescent="0.2">
      <c r="A133" s="3" t="str">
        <f t="shared" si="559"/>
        <v>ccr2_human__wt</v>
      </c>
      <c r="B133" s="3" t="s">
        <v>170</v>
      </c>
      <c r="C133" s="3" t="s">
        <v>100</v>
      </c>
      <c r="D133" s="3" t="str">
        <f>IFERROR(MID(VLOOKUP($B133,Seqs!$A:$B,2,0),E133,1),"")</f>
        <v>V</v>
      </c>
      <c r="E133" s="3">
        <v>37</v>
      </c>
      <c r="F133" s="3" t="str">
        <f>IFERROR(MID(VLOOKUP($B133,Seqs!$A:$B,2,0),G133,1),"")</f>
        <v>C</v>
      </c>
      <c r="G133" s="3">
        <v>70</v>
      </c>
      <c r="H133" s="3" t="str">
        <f>IFERROR(MID(VLOOKUP($B133,Seqs!$A:$B,2,0),I133,1),"")</f>
        <v>K</v>
      </c>
      <c r="I133" s="23">
        <v>71</v>
      </c>
      <c r="J133" s="3" t="str">
        <f>IFERROR(MID(VLOOKUP($B133,Seqs!$A:$B,2,0),K133,1),"")</f>
        <v>K</v>
      </c>
      <c r="K133" s="23">
        <v>74</v>
      </c>
      <c r="L133" s="3" t="str">
        <f>IFERROR(MID(VLOOKUP($B133,Seqs!$A:$B,2,0),M133,1),"")</f>
        <v>C</v>
      </c>
      <c r="M133" s="3">
        <v>75</v>
      </c>
      <c r="N133" s="3" t="str">
        <f>IFERROR(MID(VLOOKUP($B133,Seqs!$A:$B,2,0),O133,1),"")</f>
        <v>N</v>
      </c>
      <c r="O133" s="3">
        <v>104</v>
      </c>
      <c r="P133" s="3" t="str">
        <f>IFERROR(MID(VLOOKUP($B133,Seqs!$A:$B,2,0),Q133,1),"")</f>
        <v>E</v>
      </c>
      <c r="Q133" s="3">
        <v>105</v>
      </c>
      <c r="R133" s="3" t="str">
        <f>IFERROR(MID(VLOOKUP($B133,Seqs!$A:$B,2,0),S133,1),"")</f>
        <v>F</v>
      </c>
      <c r="S133" s="3">
        <v>108</v>
      </c>
      <c r="T133" s="3" t="str">
        <f>IFERROR(MID(VLOOKUP($B133,Seqs!$A:$B,2,0),U133,1),"")</f>
        <v>G</v>
      </c>
      <c r="U133" s="3">
        <v>109</v>
      </c>
      <c r="V133" s="3" t="str">
        <f>IFERROR(MID(VLOOKUP($B133,Seqs!$A:$B,2,0),W133,1),"")</f>
        <v>H</v>
      </c>
      <c r="W133" s="3">
        <v>144</v>
      </c>
      <c r="X133" s="3" t="str">
        <f>IFERROR(MID(VLOOKUP($B133,Seqs!$A:$B,2,0),Y133,1),"")</f>
        <v>A</v>
      </c>
      <c r="Y133" s="3">
        <v>145</v>
      </c>
      <c r="Z133" s="3" t="str">
        <f>IFERROR(MID(VLOOKUP($B133,Seqs!$A:$B,2,0),AA133,1),"")</f>
        <v>R</v>
      </c>
      <c r="AA133" s="3">
        <v>152</v>
      </c>
      <c r="AB133" s="3" t="str">
        <f>IFERROR(MID(VLOOKUP($B133,Seqs!$A:$B,2,0),AC133,1),"")</f>
        <v>T</v>
      </c>
      <c r="AC133" s="9">
        <v>153</v>
      </c>
      <c r="AD133" s="3" t="str">
        <f>IFERROR(MID(VLOOKUP($B133,Seqs!$A:$B,2,0),AE133,1),"")</f>
        <v>T</v>
      </c>
      <c r="AE133" s="3">
        <v>179</v>
      </c>
      <c r="AF133" s="3" t="str">
        <f>IFERROR(MID(VLOOKUP($B133,Seqs!$A:$B,2,0),AG133,1),"")</f>
        <v>C</v>
      </c>
      <c r="AG133" s="3">
        <v>190</v>
      </c>
      <c r="AH133" s="3" t="str">
        <f>IFERROR(MID(VLOOKUP($B133,Seqs!$A:$B,2,0),AI133,1),"")</f>
        <v>P</v>
      </c>
      <c r="AI133" s="3">
        <v>192</v>
      </c>
      <c r="AJ133" s="3" t="str">
        <f>IFERROR(MID(VLOOKUP($B133,Seqs!$A:$B,2,0),AK133,1),"")</f>
        <v>P</v>
      </c>
      <c r="AK133" s="3">
        <v>195</v>
      </c>
      <c r="AL133" s="3" t="str">
        <f>IFERROR(MID(VLOOKUP($B133,Seqs!$A:$B,2,0),AM133,1),"")</f>
        <v>C</v>
      </c>
      <c r="AM133" s="3">
        <v>232</v>
      </c>
      <c r="AN133" s="3" t="str">
        <f>IFERROR(MID(VLOOKUP($B133,Seqs!$A:$B,2,0),AO133,1),"")</f>
        <v>K</v>
      </c>
      <c r="AO133" s="3">
        <v>236</v>
      </c>
      <c r="AP133" s="3" t="str">
        <f>IFERROR(MID(VLOOKUP($B133,Seqs!$A:$B,2,0),AQ133,1),"")</f>
        <v>G</v>
      </c>
      <c r="AQ133" s="3">
        <v>273</v>
      </c>
      <c r="AR133" s="3" t="str">
        <f>IFERROR(MID(VLOOKUP($B133,Seqs!$A:$B,2,0),AS133,1),"")</f>
        <v>E</v>
      </c>
      <c r="AS133" s="3">
        <v>278</v>
      </c>
      <c r="AT133" s="3" t="str">
        <f>IFERROR(MID(VLOOKUP($B133,Seqs!$A:$B,2,0),AU133,1),"")</f>
        <v>V</v>
      </c>
      <c r="AU133" s="3">
        <v>308</v>
      </c>
      <c r="AV133" s="3" t="str">
        <f>IFERROR(MID(VLOOKUP($B133,Seqs!$A:$B,2,0),AW133,1),"")</f>
        <v>G</v>
      </c>
      <c r="AW133" s="3">
        <v>309</v>
      </c>
      <c r="AX133" s="3" t="str">
        <f>IFERROR(MID(VLOOKUP($B133,Seqs!$A:$B,2,0),AY133,1),"")</f>
        <v>L</v>
      </c>
      <c r="AY133" s="3">
        <v>320</v>
      </c>
      <c r="AZ133" s="77" t="str">
        <f>VLOOKUP(B133,Classification!A:D,2,0)</f>
        <v>A</v>
      </c>
      <c r="BA133" s="94" t="str">
        <f>VLOOKUP(B133,Classification!A:D,4,0)</f>
        <v>Chemokine</v>
      </c>
      <c r="BB133" s="27" t="b">
        <f t="shared" si="560"/>
        <v>1</v>
      </c>
      <c r="BC133" s="23">
        <f t="shared" si="365"/>
        <v>265</v>
      </c>
      <c r="BD133" s="2" t="s">
        <v>23</v>
      </c>
      <c r="BE133" s="3" t="s">
        <v>23</v>
      </c>
      <c r="BF133" s="119" t="s">
        <v>23</v>
      </c>
      <c r="BG133" s="49" t="s">
        <v>1379</v>
      </c>
      <c r="BH133" s="49" t="s">
        <v>1384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 t="shared" si="366"/>
        <v>37</v>
      </c>
      <c r="BW133" s="71">
        <f t="shared" si="367"/>
        <v>71</v>
      </c>
      <c r="BX133" s="72">
        <f t="shared" si="368"/>
        <v>75</v>
      </c>
      <c r="BY133" s="71">
        <f t="shared" si="369"/>
        <v>105</v>
      </c>
      <c r="BZ133" s="72">
        <f t="shared" si="370"/>
        <v>109</v>
      </c>
      <c r="CA133" s="71">
        <f t="shared" si="371"/>
        <v>145</v>
      </c>
      <c r="CB133" s="72">
        <f t="shared" si="372"/>
        <v>153</v>
      </c>
      <c r="CC133" s="71">
        <f t="shared" si="373"/>
        <v>190</v>
      </c>
      <c r="CD133" s="72">
        <f t="shared" si="374"/>
        <v>195</v>
      </c>
      <c r="CE133" s="71">
        <f t="shared" si="375"/>
        <v>236</v>
      </c>
      <c r="CF133" s="72">
        <f t="shared" si="376"/>
        <v>278</v>
      </c>
      <c r="CG133" s="71">
        <f t="shared" si="377"/>
        <v>309</v>
      </c>
      <c r="CH133" s="70">
        <f t="shared" si="378"/>
        <v>70</v>
      </c>
      <c r="CI133" s="71">
        <f t="shared" si="379"/>
        <v>74</v>
      </c>
      <c r="CJ133" s="72">
        <f t="shared" si="380"/>
        <v>104</v>
      </c>
      <c r="CK133" s="72">
        <f t="shared" si="381"/>
        <v>108</v>
      </c>
      <c r="CL133" s="72">
        <f t="shared" si="382"/>
        <v>144</v>
      </c>
      <c r="CM133" s="72">
        <f t="shared" si="383"/>
        <v>152</v>
      </c>
      <c r="CN133" s="72">
        <f t="shared" si="384"/>
        <v>179</v>
      </c>
      <c r="CO133" s="72">
        <f t="shared" si="385"/>
        <v>192</v>
      </c>
      <c r="CP133" s="72">
        <f t="shared" si="386"/>
        <v>232</v>
      </c>
      <c r="CQ133" s="72">
        <f t="shared" si="387"/>
        <v>273</v>
      </c>
      <c r="CR133" s="72">
        <f t="shared" si="388"/>
        <v>308</v>
      </c>
      <c r="CS133" s="72">
        <f t="shared" si="389"/>
        <v>320</v>
      </c>
      <c r="CT133" s="23">
        <f t="shared" si="390"/>
        <v>1</v>
      </c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</row>
    <row r="134" spans="1:1030" x14ac:dyDescent="0.2">
      <c r="A134" s="3" t="str">
        <f t="shared" si="559"/>
        <v>ccr2_human_5T1A</v>
      </c>
      <c r="B134" s="3" t="s">
        <v>170</v>
      </c>
      <c r="C134" s="3" t="s">
        <v>1385</v>
      </c>
      <c r="D134" s="3" t="str">
        <f>IFERROR(MID(VLOOKUP($B134,Seqs!$A:$B,2,0),E134,1),"")</f>
        <v>V</v>
      </c>
      <c r="E134" s="3">
        <v>37</v>
      </c>
      <c r="F134" s="3" t="str">
        <f>IFERROR(MID(VLOOKUP($B134,Seqs!$A:$B,2,0),G134,1),"")</f>
        <v>C</v>
      </c>
      <c r="G134" s="3">
        <v>70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C</v>
      </c>
      <c r="M134" s="3">
        <v>75</v>
      </c>
      <c r="N134" s="3" t="str">
        <f>IFERROR(MID(VLOOKUP($B134,Seqs!$A:$B,2,0),O134,1),"")</f>
        <v>N</v>
      </c>
      <c r="O134" s="3">
        <v>104</v>
      </c>
      <c r="P134" s="3" t="str">
        <f>IFERROR(MID(VLOOKUP($B134,Seqs!$A:$B,2,0),Q134,1),"")</f>
        <v>E</v>
      </c>
      <c r="Q134" s="3">
        <v>105</v>
      </c>
      <c r="R134" s="3" t="str">
        <f>IFERROR(MID(VLOOKUP($B134,Seqs!$A:$B,2,0),S134,1),"")</f>
        <v>F</v>
      </c>
      <c r="S134" s="3">
        <v>108</v>
      </c>
      <c r="T134" s="3" t="str">
        <f>IFERROR(MID(VLOOKUP($B134,Seqs!$A:$B,2,0),U134,1),"")</f>
        <v>G</v>
      </c>
      <c r="U134" s="3">
        <v>109</v>
      </c>
      <c r="V134" s="3" t="str">
        <f>IFERROR(MID(VLOOKUP($B134,Seqs!$A:$B,2,0),W134,1),"")</f>
        <v>H</v>
      </c>
      <c r="W134" s="3">
        <v>144</v>
      </c>
      <c r="X134" s="3" t="str">
        <f>IFERROR(MID(VLOOKUP($B134,Seqs!$A:$B,2,0),Y134,1),"")</f>
        <v>A</v>
      </c>
      <c r="Y134" s="3">
        <v>145</v>
      </c>
      <c r="Z134" s="3" t="str">
        <f>IFERROR(MID(VLOOKUP($B134,Seqs!$A:$B,2,0),AA134,1),"")</f>
        <v>R</v>
      </c>
      <c r="AA134" s="3">
        <v>152</v>
      </c>
      <c r="AB134" s="3" t="str">
        <f>IFERROR(MID(VLOOKUP($B134,Seqs!$A:$B,2,0),AC134,1),"")</f>
        <v>T</v>
      </c>
      <c r="AC134" s="9">
        <v>153</v>
      </c>
      <c r="AD134" s="3" t="str">
        <f>IFERROR(MID(VLOOKUP($B134,Seqs!$A:$B,2,0),AE134,1),"")</f>
        <v>T</v>
      </c>
      <c r="AE134" s="3">
        <v>179</v>
      </c>
      <c r="AF134" s="3" t="str">
        <f>IFERROR(MID(VLOOKUP($B134,Seqs!$A:$B,2,0),AG134,1),"")</f>
        <v>C</v>
      </c>
      <c r="AG134" s="3">
        <v>190</v>
      </c>
      <c r="AH134" s="3" t="str">
        <f>IFERROR(MID(VLOOKUP($B134,Seqs!$A:$B,2,0),AI134,1),"")</f>
        <v>P</v>
      </c>
      <c r="AI134" s="3">
        <v>192</v>
      </c>
      <c r="AJ134" s="3" t="str">
        <f>IFERROR(MID(VLOOKUP($B134,Seqs!$A:$B,2,0),AK134,1),"")</f>
        <v>P</v>
      </c>
      <c r="AK134" s="3">
        <v>195</v>
      </c>
      <c r="AL134" s="3" t="str">
        <f>IFERROR(MID(VLOOKUP($B134,Seqs!$A:$B,2,0),AM134,1),"")</f>
        <v>T</v>
      </c>
      <c r="AM134" s="3">
        <v>228</v>
      </c>
      <c r="AN134" s="3" t="str">
        <f>IFERROR(MID(VLOOKUP($B134,Seqs!$A:$B,2,0),AO134,1),"")</f>
        <v>K</v>
      </c>
      <c r="AO134" s="3">
        <v>236</v>
      </c>
      <c r="AP134" s="3" t="str">
        <f>IFERROR(MID(VLOOKUP($B134,Seqs!$A:$B,2,0),AQ134,1),"")</f>
        <v>G</v>
      </c>
      <c r="AQ134" s="3">
        <v>273</v>
      </c>
      <c r="AR134" s="3" t="str">
        <f>IFERROR(MID(VLOOKUP($B134,Seqs!$A:$B,2,0),AS134,1),"")</f>
        <v>E</v>
      </c>
      <c r="AS134" s="3">
        <v>278</v>
      </c>
      <c r="AT134" s="3" t="str">
        <f>IFERROR(MID(VLOOKUP($B134,Seqs!$A:$B,2,0),AU134,1),"")</f>
        <v>V</v>
      </c>
      <c r="AU134" s="3">
        <v>308</v>
      </c>
      <c r="AV134" s="3" t="str">
        <f>IFERROR(MID(VLOOKUP($B134,Seqs!$A:$B,2,0),AW134,1),"")</f>
        <v>G</v>
      </c>
      <c r="AW134" s="3">
        <v>309</v>
      </c>
      <c r="AX134" s="3" t="str">
        <f>IFERROR(MID(VLOOKUP($B134,Seqs!$A:$B,2,0),AY134,1),"")</f>
        <v>L</v>
      </c>
      <c r="AY134" s="3">
        <v>320</v>
      </c>
      <c r="AZ134" s="77" t="str">
        <f>VLOOKUP(B134,Classification!A:D,2,0)</f>
        <v>A</v>
      </c>
      <c r="BA134" s="94" t="str">
        <f>VLOOKUP(B134,Classification!A:D,4,0)</f>
        <v>Chemokine</v>
      </c>
      <c r="BB134" s="27" t="b">
        <f t="shared" si="560"/>
        <v>1</v>
      </c>
      <c r="BC134" s="23">
        <f t="shared" si="365"/>
        <v>258</v>
      </c>
      <c r="BD134" s="16" t="s">
        <v>1383</v>
      </c>
      <c r="BE134" s="3" t="s">
        <v>1381</v>
      </c>
      <c r="BF134" s="119">
        <v>2.81</v>
      </c>
      <c r="BG134" s="49" t="s">
        <v>1</v>
      </c>
      <c r="BH134" s="49" t="s">
        <v>1384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 t="shared" si="366"/>
        <v>37</v>
      </c>
      <c r="BW134" s="71" t="str">
        <f t="shared" si="367"/>
        <v>-</v>
      </c>
      <c r="BX134" s="72">
        <f t="shared" si="368"/>
        <v>75</v>
      </c>
      <c r="BY134" s="71">
        <f t="shared" si="369"/>
        <v>105</v>
      </c>
      <c r="BZ134" s="72">
        <f t="shared" si="370"/>
        <v>109</v>
      </c>
      <c r="CA134" s="71">
        <f t="shared" si="371"/>
        <v>145</v>
      </c>
      <c r="CB134" s="72">
        <f t="shared" si="372"/>
        <v>153</v>
      </c>
      <c r="CC134" s="71">
        <f t="shared" si="373"/>
        <v>190</v>
      </c>
      <c r="CD134" s="72">
        <f t="shared" si="374"/>
        <v>195</v>
      </c>
      <c r="CE134" s="71">
        <f t="shared" si="375"/>
        <v>236</v>
      </c>
      <c r="CF134" s="72">
        <f t="shared" si="376"/>
        <v>278</v>
      </c>
      <c r="CG134" s="71">
        <f t="shared" si="377"/>
        <v>309</v>
      </c>
      <c r="CH134" s="70">
        <f t="shared" si="378"/>
        <v>70</v>
      </c>
      <c r="CI134" s="71" t="str">
        <f t="shared" si="379"/>
        <v>-</v>
      </c>
      <c r="CJ134" s="72">
        <f t="shared" si="380"/>
        <v>104</v>
      </c>
      <c r="CK134" s="72">
        <f t="shared" si="381"/>
        <v>108</v>
      </c>
      <c r="CL134" s="72">
        <f t="shared" si="382"/>
        <v>144</v>
      </c>
      <c r="CM134" s="72">
        <f t="shared" si="383"/>
        <v>152</v>
      </c>
      <c r="CN134" s="72">
        <f t="shared" si="384"/>
        <v>179</v>
      </c>
      <c r="CO134" s="72">
        <f t="shared" si="385"/>
        <v>192</v>
      </c>
      <c r="CP134" s="72">
        <f t="shared" si="386"/>
        <v>228</v>
      </c>
      <c r="CQ134" s="72">
        <f t="shared" si="387"/>
        <v>273</v>
      </c>
      <c r="CR134" s="72">
        <f t="shared" si="388"/>
        <v>308</v>
      </c>
      <c r="CS134" s="72">
        <f t="shared" si="389"/>
        <v>320</v>
      </c>
      <c r="CT134" s="23" t="e">
        <f t="shared" si="390"/>
        <v>#VALUE!</v>
      </c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</row>
    <row r="135" spans="1:1030" x14ac:dyDescent="0.2">
      <c r="A135" s="3" t="str">
        <f t="shared" si="559"/>
        <v>ccr5_human__wt</v>
      </c>
      <c r="B135" s="3" t="s">
        <v>173</v>
      </c>
      <c r="C135" s="3" t="s">
        <v>100</v>
      </c>
      <c r="D135" s="3" t="str">
        <f>IFERROR(MID(VLOOKUP($B135,Seqs!$A:$B,2,0),E135,1),"")</f>
        <v>K</v>
      </c>
      <c r="E135" s="3">
        <v>22</v>
      </c>
      <c r="F135" s="3" t="str">
        <f>IFERROR(MID(VLOOKUP($B135,Seqs!$A:$B,2,0),G135,1),"")</f>
        <v>C</v>
      </c>
      <c r="G135" s="3">
        <v>58</v>
      </c>
      <c r="H135" s="3" t="str">
        <f>IFERROR(MID(VLOOKUP($B135,Seqs!$A:$B,2,0),I135,1),"")</f>
        <v>K</v>
      </c>
      <c r="I135" s="23">
        <v>59</v>
      </c>
      <c r="J135" s="3" t="str">
        <f>IFERROR(MID(VLOOKUP($B135,Seqs!$A:$B,2,0),K135,1),"")</f>
        <v>K</v>
      </c>
      <c r="K135" s="23">
        <v>62</v>
      </c>
      <c r="L135" s="3" t="str">
        <f>IFERROR(MID(VLOOKUP($B135,Seqs!$A:$B,2,0),M135,1),"")</f>
        <v>S</v>
      </c>
      <c r="M135" s="3">
        <v>63</v>
      </c>
      <c r="N135" s="3" t="str">
        <f>IFERROR(MID(VLOOKUP($B135,Seqs!$A:$B,2,0),O135,1),"")</f>
        <v>A</v>
      </c>
      <c r="O135" s="3">
        <v>92</v>
      </c>
      <c r="P135" s="3" t="str">
        <f>IFERROR(MID(VLOOKUP($B135,Seqs!$A:$B,2,0),Q135,1),"")</f>
        <v>Q</v>
      </c>
      <c r="Q135" s="3">
        <v>93</v>
      </c>
      <c r="R135" s="3" t="str">
        <f>IFERROR(MID(VLOOKUP($B135,Seqs!$A:$B,2,0),S135,1),"")</f>
        <v>F</v>
      </c>
      <c r="S135" s="3">
        <v>96</v>
      </c>
      <c r="T135" s="3" t="str">
        <f>IFERROR(MID(VLOOKUP($B135,Seqs!$A:$B,2,0),U135,1),"")</f>
        <v>G</v>
      </c>
      <c r="U135" s="3">
        <v>97</v>
      </c>
      <c r="V135" s="3" t="str">
        <f>IFERROR(MID(VLOOKUP($B135,Seqs!$A:$B,2,0),W135,1),"")</f>
        <v>H</v>
      </c>
      <c r="W135" s="3">
        <v>132</v>
      </c>
      <c r="X135" s="3" t="str">
        <f>IFERROR(MID(VLOOKUP($B135,Seqs!$A:$B,2,0),Y135,1),"")</f>
        <v>A</v>
      </c>
      <c r="Y135" s="3">
        <v>133</v>
      </c>
      <c r="Z135" s="3" t="str">
        <f>IFERROR(MID(VLOOKUP($B135,Seqs!$A:$B,2,0),AA135,1),"")</f>
        <v>R</v>
      </c>
      <c r="AA135" s="3">
        <v>140</v>
      </c>
      <c r="AB135" s="3" t="str">
        <f>IFERROR(MID(VLOOKUP($B135,Seqs!$A:$B,2,0),AC135,1),"")</f>
        <v>T</v>
      </c>
      <c r="AC135" s="9">
        <v>141</v>
      </c>
      <c r="AD135" s="3" t="str">
        <f>IFERROR(MID(VLOOKUP($B135,Seqs!$A:$B,2,0),AE135,1),"")</f>
        <v>T</v>
      </c>
      <c r="AE135" s="3">
        <v>167</v>
      </c>
      <c r="AF135" s="3" t="str">
        <f>IFERROR(MID(VLOOKUP($B135,Seqs!$A:$B,2,0),AG135,1),"")</f>
        <v>C</v>
      </c>
      <c r="AG135" s="3">
        <v>178</v>
      </c>
      <c r="AH135" s="3" t="str">
        <f>IFERROR(MID(VLOOKUP($B135,Seqs!$A:$B,2,0),AI135,1),"")</f>
        <v>S</v>
      </c>
      <c r="AI135" s="3">
        <v>180</v>
      </c>
      <c r="AJ135" s="3" t="str">
        <f>IFERROR(MID(VLOOKUP($B135,Seqs!$A:$B,2,0),AK135,1),"")</f>
        <v>Q</v>
      </c>
      <c r="AK135" s="3">
        <v>186</v>
      </c>
      <c r="AL135" s="3" t="str">
        <f>IFERROR(MID(VLOOKUP($B135,Seqs!$A:$B,2,0),AM135,1),"")</f>
        <v>C</v>
      </c>
      <c r="AM135" s="3">
        <v>224</v>
      </c>
      <c r="AN135" s="3" t="str">
        <f>IFERROR(MID(VLOOKUP($B135,Seqs!$A:$B,2,0),AO135,1),"")</f>
        <v>K</v>
      </c>
      <c r="AO135" s="3">
        <v>228</v>
      </c>
      <c r="AP135" s="3" t="str">
        <f>IFERROR(MID(VLOOKUP($B135,Seqs!$A:$B,2,0),AQ135,1),"")</f>
        <v>G</v>
      </c>
      <c r="AQ135" s="3">
        <v>265</v>
      </c>
      <c r="AR135" s="3" t="str">
        <f>IFERROR(MID(VLOOKUP($B135,Seqs!$A:$B,2,0),AS135,1),"")</f>
        <v>N</v>
      </c>
      <c r="AS135" s="3">
        <v>268</v>
      </c>
      <c r="AT135" s="3" t="str">
        <f>IFERROR(MID(VLOOKUP($B135,Seqs!$A:$B,2,0),AU135,1),"")</f>
        <v>V</v>
      </c>
      <c r="AU135" s="3">
        <v>300</v>
      </c>
      <c r="AV135" s="3" t="str">
        <f>IFERROR(MID(VLOOKUP($B135,Seqs!$A:$B,2,0),AW135,1),"")</f>
        <v>G</v>
      </c>
      <c r="AW135" s="3">
        <v>301</v>
      </c>
      <c r="AX135" s="3" t="str">
        <f>IFERROR(MID(VLOOKUP($B135,Seqs!$A:$B,2,0),AY135,1),"")</f>
        <v>Q</v>
      </c>
      <c r="AY135" s="3">
        <v>313</v>
      </c>
      <c r="AZ135" s="77" t="str">
        <f>VLOOKUP(B135,Classification!A:D,2,0)</f>
        <v>A</v>
      </c>
      <c r="BA135" s="94" t="str">
        <f>VLOOKUP(B135,Classification!A:D,4,0)</f>
        <v>Chemokine</v>
      </c>
      <c r="BB135" s="27" t="b">
        <f t="shared" si="560"/>
        <v>1</v>
      </c>
      <c r="BC135" s="23">
        <f t="shared" si="365"/>
        <v>272</v>
      </c>
      <c r="BD135" s="34" t="s">
        <v>1379</v>
      </c>
      <c r="BE135" s="3" t="s">
        <v>23</v>
      </c>
      <c r="BF135" s="119" t="s">
        <v>23</v>
      </c>
      <c r="BG135" s="49" t="s">
        <v>1379</v>
      </c>
      <c r="BH135" s="49" t="s">
        <v>1384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366"/>
        <v>22</v>
      </c>
      <c r="BW135" s="71">
        <f t="shared" si="367"/>
        <v>59</v>
      </c>
      <c r="BX135" s="72">
        <f t="shared" si="368"/>
        <v>63</v>
      </c>
      <c r="BY135" s="71">
        <f t="shared" si="369"/>
        <v>93</v>
      </c>
      <c r="BZ135" s="72">
        <f t="shared" si="370"/>
        <v>97</v>
      </c>
      <c r="CA135" s="71">
        <f t="shared" si="371"/>
        <v>133</v>
      </c>
      <c r="CB135" s="72">
        <f t="shared" si="372"/>
        <v>141</v>
      </c>
      <c r="CC135" s="71">
        <f t="shared" si="373"/>
        <v>178</v>
      </c>
      <c r="CD135" s="72">
        <f t="shared" si="374"/>
        <v>186</v>
      </c>
      <c r="CE135" s="71">
        <f t="shared" si="375"/>
        <v>228</v>
      </c>
      <c r="CF135" s="72">
        <f t="shared" si="376"/>
        <v>268</v>
      </c>
      <c r="CG135" s="71">
        <f t="shared" si="377"/>
        <v>301</v>
      </c>
      <c r="CH135" s="70">
        <f t="shared" si="378"/>
        <v>58</v>
      </c>
      <c r="CI135" s="71">
        <f t="shared" si="379"/>
        <v>62</v>
      </c>
      <c r="CJ135" s="72">
        <f t="shared" si="380"/>
        <v>92</v>
      </c>
      <c r="CK135" s="72">
        <f t="shared" si="381"/>
        <v>96</v>
      </c>
      <c r="CL135" s="72">
        <f t="shared" si="382"/>
        <v>132</v>
      </c>
      <c r="CM135" s="72">
        <f t="shared" si="383"/>
        <v>140</v>
      </c>
      <c r="CN135" s="72">
        <f t="shared" si="384"/>
        <v>167</v>
      </c>
      <c r="CO135" s="72">
        <f t="shared" si="385"/>
        <v>180</v>
      </c>
      <c r="CP135" s="72">
        <f t="shared" si="386"/>
        <v>224</v>
      </c>
      <c r="CQ135" s="72">
        <f t="shared" si="387"/>
        <v>265</v>
      </c>
      <c r="CR135" s="72">
        <f t="shared" si="388"/>
        <v>300</v>
      </c>
      <c r="CS135" s="72">
        <f t="shared" si="389"/>
        <v>313</v>
      </c>
      <c r="CT135" s="23">
        <f t="shared" si="390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559"/>
        <v>ccr5_human_4MBS</v>
      </c>
      <c r="B136" s="3" t="s">
        <v>173</v>
      </c>
      <c r="C136" s="3" t="s">
        <v>74</v>
      </c>
      <c r="D136" s="3" t="str">
        <f>IFERROR(MID(VLOOKUP($B136,Seqs!$A:$B,2,0),E136,1),"")</f>
        <v>V</v>
      </c>
      <c r="E136" s="3">
        <v>25</v>
      </c>
      <c r="F136" s="3" t="str">
        <f>IFERROR(MID(VLOOKUP($B136,Seqs!$A:$B,2,0),G136,1),"")</f>
        <v>C</v>
      </c>
      <c r="G136" s="3">
        <v>58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S</v>
      </c>
      <c r="M136" s="3">
        <v>63</v>
      </c>
      <c r="N136" s="3" t="str">
        <f>IFERROR(MID(VLOOKUP($B136,Seqs!$A:$B,2,0),O136,1),"")</f>
        <v>A</v>
      </c>
      <c r="O136" s="3">
        <v>92</v>
      </c>
      <c r="P136" s="3" t="str">
        <f>IFERROR(MID(VLOOKUP($B136,Seqs!$A:$B,2,0),Q136,1),"")</f>
        <v>Q</v>
      </c>
      <c r="Q136" s="3">
        <v>93</v>
      </c>
      <c r="R136" s="3" t="str">
        <f>IFERROR(MID(VLOOKUP($B136,Seqs!$A:$B,2,0),S136,1),"")</f>
        <v>F</v>
      </c>
      <c r="S136" s="3">
        <v>96</v>
      </c>
      <c r="T136" s="3" t="str">
        <f>IFERROR(MID(VLOOKUP($B136,Seqs!$A:$B,2,0),U136,1),"")</f>
        <v>G</v>
      </c>
      <c r="U136" s="3">
        <v>97</v>
      </c>
      <c r="V136" s="3" t="str">
        <f>IFERROR(MID(VLOOKUP($B136,Seqs!$A:$B,2,0),W136,1),"")</f>
        <v>H</v>
      </c>
      <c r="W136" s="3">
        <v>132</v>
      </c>
      <c r="X136" s="3" t="str">
        <f>IFERROR(MID(VLOOKUP($B136,Seqs!$A:$B,2,0),Y136,1),"")</f>
        <v>A</v>
      </c>
      <c r="Y136" s="3">
        <v>133</v>
      </c>
      <c r="Z136" s="3" t="str">
        <f>IFERROR(MID(VLOOKUP($B136,Seqs!$A:$B,2,0),AA136,1),"")</f>
        <v>R</v>
      </c>
      <c r="AA136" s="3">
        <v>140</v>
      </c>
      <c r="AB136" s="3" t="str">
        <f>IFERROR(MID(VLOOKUP($B136,Seqs!$A:$B,2,0),AC136,1),"")</f>
        <v>T</v>
      </c>
      <c r="AC136" s="9">
        <v>141</v>
      </c>
      <c r="AD136" s="3" t="str">
        <f>IFERROR(MID(VLOOKUP($B136,Seqs!$A:$B,2,0),AE136,1),"")</f>
        <v>T</v>
      </c>
      <c r="AE136" s="3">
        <v>167</v>
      </c>
      <c r="AF136" s="3" t="str">
        <f>IFERROR(MID(VLOOKUP($B136,Seqs!$A:$B,2,0),AG136,1),"")</f>
        <v>C</v>
      </c>
      <c r="AG136" s="3">
        <v>178</v>
      </c>
      <c r="AH136" s="3" t="str">
        <f>IFERROR(MID(VLOOKUP($B136,Seqs!$A:$B,2,0),AI136,1),"")</f>
        <v>S</v>
      </c>
      <c r="AI136" s="3">
        <v>180</v>
      </c>
      <c r="AJ136" s="3" t="str">
        <f>IFERROR(MID(VLOOKUP($B136,Seqs!$A:$B,2,0),AK136,1),"")</f>
        <v>Q</v>
      </c>
      <c r="AK136" s="3">
        <v>186</v>
      </c>
      <c r="AL136" s="3" t="str">
        <f>IFERROR(MID(VLOOKUP($B136,Seqs!$A:$B,2,0),AM136,1),"")</f>
        <v>R</v>
      </c>
      <c r="AM136" s="3">
        <v>223</v>
      </c>
      <c r="AN136" s="3" t="str">
        <f>IFERROR(MID(VLOOKUP($B136,Seqs!$A:$B,2,0),AO136,1),"")</f>
        <v>K</v>
      </c>
      <c r="AO136" s="3">
        <v>228</v>
      </c>
      <c r="AP136" s="3" t="str">
        <f>IFERROR(MID(VLOOKUP($B136,Seqs!$A:$B,2,0),AQ136,1),"")</f>
        <v>G</v>
      </c>
      <c r="AQ136" s="3">
        <v>265</v>
      </c>
      <c r="AR136" s="3" t="str">
        <f>IFERROR(MID(VLOOKUP($B136,Seqs!$A:$B,2,0),AS136,1),"")</f>
        <v>N</v>
      </c>
      <c r="AS136" s="3">
        <v>268</v>
      </c>
      <c r="AT136" s="3" t="str">
        <f>IFERROR(MID(VLOOKUP($B136,Seqs!$A:$B,2,0),AU136,1),"")</f>
        <v>V</v>
      </c>
      <c r="AU136" s="3">
        <v>300</v>
      </c>
      <c r="AV136" s="3" t="str">
        <f>IFERROR(MID(VLOOKUP($B136,Seqs!$A:$B,2,0),AW136,1),"")</f>
        <v>G</v>
      </c>
      <c r="AW136" s="3">
        <v>301</v>
      </c>
      <c r="AX136" s="3" t="str">
        <f>IFERROR(MID(VLOOKUP($B136,Seqs!$A:$B,2,0),AY136,1),"")</f>
        <v>Q</v>
      </c>
      <c r="AY136" s="3">
        <v>313</v>
      </c>
      <c r="AZ136" s="77" t="str">
        <f>VLOOKUP(B136,Classification!A:D,2,0)</f>
        <v>A</v>
      </c>
      <c r="BA136" s="94" t="str">
        <f>VLOOKUP(B136,Classification!A:D,4,0)</f>
        <v>Chemokine</v>
      </c>
      <c r="BB136" s="27" t="b">
        <f t="shared" si="560"/>
        <v>1</v>
      </c>
      <c r="BC136" s="23">
        <f t="shared" si="365"/>
        <v>265</v>
      </c>
      <c r="BD136" s="2" t="s">
        <v>23</v>
      </c>
      <c r="BE136" s="3" t="s">
        <v>1381</v>
      </c>
      <c r="BF136" s="119">
        <v>2.71</v>
      </c>
      <c r="BG136" s="49" t="s">
        <v>1384</v>
      </c>
      <c r="BH136" s="49" t="s">
        <v>1384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366"/>
        <v>25</v>
      </c>
      <c r="BW136" s="71" t="str">
        <f t="shared" si="367"/>
        <v>-</v>
      </c>
      <c r="BX136" s="72">
        <f t="shared" si="368"/>
        <v>63</v>
      </c>
      <c r="BY136" s="71">
        <f t="shared" si="369"/>
        <v>93</v>
      </c>
      <c r="BZ136" s="72">
        <f t="shared" si="370"/>
        <v>97</v>
      </c>
      <c r="CA136" s="71">
        <f t="shared" si="371"/>
        <v>133</v>
      </c>
      <c r="CB136" s="72">
        <f t="shared" si="372"/>
        <v>141</v>
      </c>
      <c r="CC136" s="71">
        <f t="shared" si="373"/>
        <v>178</v>
      </c>
      <c r="CD136" s="72">
        <f t="shared" si="374"/>
        <v>186</v>
      </c>
      <c r="CE136" s="71">
        <f t="shared" si="375"/>
        <v>228</v>
      </c>
      <c r="CF136" s="72">
        <f t="shared" si="376"/>
        <v>268</v>
      </c>
      <c r="CG136" s="71">
        <f t="shared" si="377"/>
        <v>301</v>
      </c>
      <c r="CH136" s="70">
        <f t="shared" si="378"/>
        <v>58</v>
      </c>
      <c r="CI136" s="71" t="str">
        <f t="shared" si="379"/>
        <v>-</v>
      </c>
      <c r="CJ136" s="72">
        <f t="shared" si="380"/>
        <v>92</v>
      </c>
      <c r="CK136" s="72">
        <f t="shared" si="381"/>
        <v>96</v>
      </c>
      <c r="CL136" s="72">
        <f t="shared" si="382"/>
        <v>132</v>
      </c>
      <c r="CM136" s="72">
        <f t="shared" si="383"/>
        <v>140</v>
      </c>
      <c r="CN136" s="72">
        <f t="shared" si="384"/>
        <v>167</v>
      </c>
      <c r="CO136" s="72">
        <f t="shared" si="385"/>
        <v>180</v>
      </c>
      <c r="CP136" s="72">
        <f t="shared" si="386"/>
        <v>223</v>
      </c>
      <c r="CQ136" s="72">
        <f t="shared" si="387"/>
        <v>265</v>
      </c>
      <c r="CR136" s="72">
        <f t="shared" si="388"/>
        <v>300</v>
      </c>
      <c r="CS136" s="72">
        <f t="shared" si="389"/>
        <v>313</v>
      </c>
      <c r="CT136" s="23" t="e">
        <f t="shared" si="390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>CONCATENATE(B137,"_",C137)</f>
        <v>ccr5_human_5UIW</v>
      </c>
      <c r="B137" s="3" t="s">
        <v>173</v>
      </c>
      <c r="C137" s="3" t="s">
        <v>1434</v>
      </c>
      <c r="D137" s="3" t="str">
        <f>IFERROR(MID(VLOOKUP($B137,Seqs!$A:$B,2,0),E137,1),"")</f>
        <v>K</v>
      </c>
      <c r="E137" s="3">
        <v>22</v>
      </c>
      <c r="F137" s="3" t="str">
        <f>IFERROR(MID(VLOOKUP($B137,Seqs!$A:$B,2,0),G137,1),"")</f>
        <v>C</v>
      </c>
      <c r="G137" s="3">
        <v>58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S</v>
      </c>
      <c r="M137" s="3">
        <v>63</v>
      </c>
      <c r="N137" s="3" t="str">
        <f>IFERROR(MID(VLOOKUP($B137,Seqs!$A:$B,2,0),O137,1),"")</f>
        <v>A</v>
      </c>
      <c r="O137" s="3">
        <v>92</v>
      </c>
      <c r="P137" s="3" t="str">
        <f>IFERROR(MID(VLOOKUP($B137,Seqs!$A:$B,2,0),Q137,1),"")</f>
        <v>Q</v>
      </c>
      <c r="Q137" s="3">
        <v>93</v>
      </c>
      <c r="R137" s="3" t="str">
        <f>IFERROR(MID(VLOOKUP($B137,Seqs!$A:$B,2,0),S137,1),"")</f>
        <v>F</v>
      </c>
      <c r="S137" s="3">
        <v>96</v>
      </c>
      <c r="T137" s="3" t="str">
        <f>IFERROR(MID(VLOOKUP($B137,Seqs!$A:$B,2,0),U137,1),"")</f>
        <v>G</v>
      </c>
      <c r="U137" s="3">
        <v>97</v>
      </c>
      <c r="V137" s="3" t="str">
        <f>IFERROR(MID(VLOOKUP($B137,Seqs!$A:$B,2,0),W137,1),"")</f>
        <v>H</v>
      </c>
      <c r="W137" s="3">
        <v>132</v>
      </c>
      <c r="X137" s="3" t="str">
        <f>IFERROR(MID(VLOOKUP($B137,Seqs!$A:$B,2,0),Y137,1),"")</f>
        <v>A</v>
      </c>
      <c r="Y137" s="3">
        <v>133</v>
      </c>
      <c r="Z137" s="3" t="str">
        <f>IFERROR(MID(VLOOKUP($B137,Seqs!$A:$B,2,0),AA137,1),"")</f>
        <v>R</v>
      </c>
      <c r="AA137" s="3">
        <v>140</v>
      </c>
      <c r="AB137" s="3" t="str">
        <f>IFERROR(MID(VLOOKUP($B137,Seqs!$A:$B,2,0),AC137,1),"")</f>
        <v>T</v>
      </c>
      <c r="AC137" s="3">
        <v>141</v>
      </c>
      <c r="AD137" s="3" t="str">
        <f>IFERROR(MID(VLOOKUP($B137,Seqs!$A:$B,2,0),AE137,1),"")</f>
        <v>T</v>
      </c>
      <c r="AE137" s="3">
        <v>167</v>
      </c>
      <c r="AF137" s="3" t="str">
        <f>IFERROR(MID(VLOOKUP($B137,Seqs!$A:$B,2,0),AG137,1),"")</f>
        <v>C</v>
      </c>
      <c r="AG137" s="3">
        <v>178</v>
      </c>
      <c r="AH137" s="3" t="str">
        <f>IFERROR(MID(VLOOKUP($B137,Seqs!$A:$B,2,0),AI137,1),"")</f>
        <v>S</v>
      </c>
      <c r="AI137" s="3">
        <v>180</v>
      </c>
      <c r="AJ137" s="3" t="str">
        <f>IFERROR(MID(VLOOKUP($B137,Seqs!$A:$B,2,0),AK137,1),"")</f>
        <v>Q</v>
      </c>
      <c r="AK137" s="3">
        <v>186</v>
      </c>
      <c r="AL137" s="3" t="str">
        <f>IFERROR(MID(VLOOKUP($B137,Seqs!$A:$B,2,0),AM137,1),"")</f>
        <v>R</v>
      </c>
      <c r="AM137" s="3">
        <v>223</v>
      </c>
      <c r="AN137" s="3" t="str">
        <f>IFERROR(MID(VLOOKUP($B137,Seqs!$A:$B,2,0),AO137,1),"")</f>
        <v>E</v>
      </c>
      <c r="AO137" s="3">
        <v>227</v>
      </c>
      <c r="AP137" s="3" t="str">
        <f>IFERROR(MID(VLOOKUP($B137,Seqs!$A:$B,2,0),AQ137,1),"")</f>
        <v>Q</v>
      </c>
      <c r="AQ137" s="3">
        <v>261</v>
      </c>
      <c r="AR137" s="3" t="str">
        <f>IFERROR(MID(VLOOKUP($B137,Seqs!$A:$B,2,0),AS137,1),"")</f>
        <v>N</v>
      </c>
      <c r="AS137" s="3">
        <v>268</v>
      </c>
      <c r="AT137" s="3" t="str">
        <f>IFERROR(MID(VLOOKUP($B137,Seqs!$A:$B,2,0),AU137,1),"")</f>
        <v>V</v>
      </c>
      <c r="AU137" s="3">
        <v>300</v>
      </c>
      <c r="AV137" s="3" t="str">
        <f>IFERROR(MID(VLOOKUP($B137,Seqs!$A:$B,2,0),AW137,1),"")</f>
        <v>G</v>
      </c>
      <c r="AW137" s="3">
        <v>301</v>
      </c>
      <c r="AX137" s="3" t="str">
        <f>IFERROR(MID(VLOOKUP($B137,Seqs!$A:$B,2,0),AY137,1),"")</f>
        <v>I</v>
      </c>
      <c r="AY137" s="3">
        <v>316</v>
      </c>
      <c r="AZ137" s="77" t="str">
        <f>VLOOKUP(B137,Classification!A:D,2,0)</f>
        <v>A</v>
      </c>
      <c r="BA137" s="94" t="str">
        <f>VLOOKUP(B137,Classification!A:D,4,0)</f>
        <v>Chemokine</v>
      </c>
      <c r="BB137" s="27" t="b">
        <f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>_xlfn.AGGREGATE(9,6,CH137:CS137)-_xlfn.AGGREGATE(9,6,BV137:CG137)+12</f>
        <v>268</v>
      </c>
      <c r="BD137" s="2" t="s">
        <v>1383</v>
      </c>
      <c r="BE137" s="3" t="s">
        <v>1381</v>
      </c>
      <c r="BF137" s="119">
        <v>2.2000000000000002</v>
      </c>
      <c r="BG137" s="49" t="s">
        <v>1384</v>
      </c>
      <c r="BH137" s="49" t="s">
        <v>1384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>E137</f>
        <v>22</v>
      </c>
      <c r="BW137" s="71" t="str">
        <f>I137</f>
        <v>-</v>
      </c>
      <c r="BX137" s="72">
        <f>M137</f>
        <v>63</v>
      </c>
      <c r="BY137" s="71">
        <f>Q137</f>
        <v>93</v>
      </c>
      <c r="BZ137" s="72">
        <f>U137</f>
        <v>97</v>
      </c>
      <c r="CA137" s="71">
        <f>Y137</f>
        <v>133</v>
      </c>
      <c r="CB137" s="72">
        <f>AC137</f>
        <v>141</v>
      </c>
      <c r="CC137" s="71">
        <f>AG137</f>
        <v>178</v>
      </c>
      <c r="CD137" s="72">
        <f>AK137</f>
        <v>186</v>
      </c>
      <c r="CE137" s="71">
        <f>AO137</f>
        <v>227</v>
      </c>
      <c r="CF137" s="72">
        <f>AS137</f>
        <v>268</v>
      </c>
      <c r="CG137" s="71">
        <f>AW137</f>
        <v>301</v>
      </c>
      <c r="CH137" s="70">
        <f>G137</f>
        <v>58</v>
      </c>
      <c r="CI137" s="71" t="str">
        <f>K137</f>
        <v>-</v>
      </c>
      <c r="CJ137" s="72">
        <f>O137</f>
        <v>92</v>
      </c>
      <c r="CK137" s="72">
        <f>S137</f>
        <v>96</v>
      </c>
      <c r="CL137" s="72">
        <f>W137</f>
        <v>132</v>
      </c>
      <c r="CM137" s="72">
        <f>AA137</f>
        <v>140</v>
      </c>
      <c r="CN137" s="72">
        <f>AE137</f>
        <v>167</v>
      </c>
      <c r="CO137" s="72">
        <f>AI137</f>
        <v>180</v>
      </c>
      <c r="CP137" s="72">
        <f>AM137</f>
        <v>223</v>
      </c>
      <c r="CQ137" s="72">
        <f>AQ137</f>
        <v>261</v>
      </c>
      <c r="CR137" s="72">
        <f>AU137</f>
        <v>300</v>
      </c>
      <c r="CS137" s="72">
        <f>AY137</f>
        <v>316</v>
      </c>
      <c r="CT137" s="23" t="e">
        <f>M137-K137</f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s="12" customFormat="1" x14ac:dyDescent="0.2">
      <c r="A138" s="9" t="str">
        <f>CONCATENATE(B138,"_",C138)</f>
        <v>ccr5_human_6AKX</v>
      </c>
      <c r="B138" s="9" t="s">
        <v>173</v>
      </c>
      <c r="C138" s="9" t="s">
        <v>1545</v>
      </c>
      <c r="D138" s="9" t="str">
        <f>IFERROR(MID(VLOOKUP($B138,Seqs!$A:$B,2,0),E138,1),"")</f>
        <v>V</v>
      </c>
      <c r="E138" s="9">
        <v>25</v>
      </c>
      <c r="F138" s="9" t="str">
        <f>IFERROR(MID(VLOOKUP($B138,Seqs!$A:$B,2,0),G138,1),"")</f>
        <v>C</v>
      </c>
      <c r="G138" s="9">
        <v>58</v>
      </c>
      <c r="H138" s="9" t="str">
        <f>IFERROR(MID(VLOOKUP($B138,Seqs!$A:$B,2,0),I138,1),"")</f>
        <v/>
      </c>
      <c r="I138" s="109" t="s">
        <v>23</v>
      </c>
      <c r="J138" s="9" t="str">
        <f>IFERROR(MID(VLOOKUP($B138,Seqs!$A:$B,2,0),K138,1),"")</f>
        <v/>
      </c>
      <c r="K138" s="109" t="s">
        <v>23</v>
      </c>
      <c r="L138" s="9" t="str">
        <f>IFERROR(MID(VLOOKUP($B138,Seqs!$A:$B,2,0),M138,1),"")</f>
        <v>S</v>
      </c>
      <c r="M138" s="9">
        <v>63</v>
      </c>
      <c r="N138" s="9" t="str">
        <f>IFERROR(MID(VLOOKUP($B138,Seqs!$A:$B,2,0),O138,1),"")</f>
        <v>A</v>
      </c>
      <c r="O138" s="9">
        <v>92</v>
      </c>
      <c r="P138" s="9" t="str">
        <f>IFERROR(MID(VLOOKUP($B138,Seqs!$A:$B,2,0),Q138,1),"")</f>
        <v>Q</v>
      </c>
      <c r="Q138" s="9">
        <v>93</v>
      </c>
      <c r="R138" s="9" t="str">
        <f>IFERROR(MID(VLOOKUP($B138,Seqs!$A:$B,2,0),S138,1),"")</f>
        <v>F</v>
      </c>
      <c r="S138" s="9">
        <v>96</v>
      </c>
      <c r="T138" s="9" t="str">
        <f>IFERROR(MID(VLOOKUP($B138,Seqs!$A:$B,2,0),U138,1),"")</f>
        <v>G</v>
      </c>
      <c r="U138" s="9">
        <v>97</v>
      </c>
      <c r="V138" s="9" t="str">
        <f>IFERROR(MID(VLOOKUP($B138,Seqs!$A:$B,2,0),W138,1),"")</f>
        <v>H</v>
      </c>
      <c r="W138" s="9">
        <v>132</v>
      </c>
      <c r="X138" s="9" t="str">
        <f>IFERROR(MID(VLOOKUP($B138,Seqs!$A:$B,2,0),Y138,1),"")</f>
        <v>A</v>
      </c>
      <c r="Y138" s="9">
        <v>133</v>
      </c>
      <c r="Z138" s="9" t="str">
        <f>IFERROR(MID(VLOOKUP($B138,Seqs!$A:$B,2,0),AA138,1),"")</f>
        <v>R</v>
      </c>
      <c r="AA138" s="9">
        <v>140</v>
      </c>
      <c r="AB138" s="9" t="str">
        <f>IFERROR(MID(VLOOKUP($B138,Seqs!$A:$B,2,0),AC138,1),"")</f>
        <v>T</v>
      </c>
      <c r="AC138" s="9">
        <v>141</v>
      </c>
      <c r="AD138" s="9" t="str">
        <f>IFERROR(MID(VLOOKUP($B138,Seqs!$A:$B,2,0),AE138,1),"")</f>
        <v>T</v>
      </c>
      <c r="AE138" s="9">
        <v>167</v>
      </c>
      <c r="AF138" s="9" t="str">
        <f>IFERROR(MID(VLOOKUP($B138,Seqs!$A:$B,2,0),AG138,1),"")</f>
        <v>C</v>
      </c>
      <c r="AG138" s="9">
        <v>178</v>
      </c>
      <c r="AH138" s="9" t="str">
        <f>IFERROR(MID(VLOOKUP($B138,Seqs!$A:$B,2,0),AI138,1),"")</f>
        <v>S</v>
      </c>
      <c r="AI138" s="9">
        <v>180</v>
      </c>
      <c r="AJ138" s="9" t="str">
        <f>IFERROR(MID(VLOOKUP($B138,Seqs!$A:$B,2,0),AK138,1),"")</f>
        <v>Q</v>
      </c>
      <c r="AK138" s="9">
        <v>186</v>
      </c>
      <c r="AL138" s="9" t="str">
        <f>IFERROR(MID(VLOOKUP($B138,Seqs!$A:$B,2,0),AM138,1),"")</f>
        <v>R</v>
      </c>
      <c r="AM138" s="9">
        <v>223</v>
      </c>
      <c r="AN138" s="9" t="str">
        <f>IFERROR(MID(VLOOKUP($B138,Seqs!$A:$B,2,0),AO138,1),"")</f>
        <v>K</v>
      </c>
      <c r="AO138" s="9">
        <v>228</v>
      </c>
      <c r="AP138" s="9" t="str">
        <f>IFERROR(MID(VLOOKUP($B138,Seqs!$A:$B,2,0),AQ138,1),"")</f>
        <v>G</v>
      </c>
      <c r="AQ138" s="9">
        <v>265</v>
      </c>
      <c r="AR138" s="9" t="str">
        <f>IFERROR(MID(VLOOKUP($B138,Seqs!$A:$B,2,0),AS138,1),"")</f>
        <v>N</v>
      </c>
      <c r="AS138" s="9">
        <v>268</v>
      </c>
      <c r="AT138" s="9" t="str">
        <f>IFERROR(MID(VLOOKUP($B138,Seqs!$A:$B,2,0),AU138,1),"")</f>
        <v>V</v>
      </c>
      <c r="AU138" s="9">
        <v>300</v>
      </c>
      <c r="AV138" s="9" t="str">
        <f>IFERROR(MID(VLOOKUP($B138,Seqs!$A:$B,2,0),AW138,1),"")</f>
        <v>G</v>
      </c>
      <c r="AW138" s="9">
        <v>301</v>
      </c>
      <c r="AX138" s="9" t="str">
        <f>IFERROR(MID(VLOOKUP($B138,Seqs!$A:$B,2,0),AY138,1),"")</f>
        <v>Q</v>
      </c>
      <c r="AY138" s="9">
        <v>313</v>
      </c>
      <c r="AZ138" s="110" t="str">
        <f>VLOOKUP(B138,Classification!A:D,2,0)</f>
        <v>A</v>
      </c>
      <c r="BA138" s="98" t="str">
        <f>VLOOKUP(B138,Classification!A:D,4,0)</f>
        <v>Chemokine</v>
      </c>
      <c r="BB138" s="36" t="b">
        <f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109">
        <f>_xlfn.AGGREGATE(9,6,CH138:CS138)-_xlfn.AGGREGATE(9,6,BV138:CG138)+12</f>
        <v>265</v>
      </c>
      <c r="BD138" s="40" t="s">
        <v>23</v>
      </c>
      <c r="BE138" s="9" t="s">
        <v>1381</v>
      </c>
      <c r="BF138" s="120">
        <v>2.8</v>
      </c>
      <c r="BG138" s="51" t="s">
        <v>1287</v>
      </c>
      <c r="BH138" s="51" t="s">
        <v>1287</v>
      </c>
      <c r="BJ138" s="111" t="s">
        <v>1293</v>
      </c>
      <c r="BK138" s="112" t="s">
        <v>1293</v>
      </c>
      <c r="BL138" s="112" t="s">
        <v>1293</v>
      </c>
      <c r="BM138" s="112" t="s">
        <v>1293</v>
      </c>
      <c r="BN138" s="112" t="s">
        <v>1293</v>
      </c>
      <c r="BO138" s="112" t="s">
        <v>1293</v>
      </c>
      <c r="BP138" s="112" t="s">
        <v>1293</v>
      </c>
      <c r="BQ138" s="112" t="s">
        <v>1293</v>
      </c>
      <c r="BR138" s="112" t="s">
        <v>1293</v>
      </c>
      <c r="BS138" s="112" t="s">
        <v>1293</v>
      </c>
      <c r="BT138" s="112" t="s">
        <v>1293</v>
      </c>
      <c r="BU138" s="112" t="s">
        <v>1293</v>
      </c>
      <c r="BV138" s="111">
        <f>E138</f>
        <v>25</v>
      </c>
      <c r="BW138" s="113" t="str">
        <f>I138</f>
        <v>-</v>
      </c>
      <c r="BX138" s="114">
        <f>M138</f>
        <v>63</v>
      </c>
      <c r="BY138" s="113">
        <f>Q138</f>
        <v>93</v>
      </c>
      <c r="BZ138" s="114">
        <f>U138</f>
        <v>97</v>
      </c>
      <c r="CA138" s="113">
        <f>Y138</f>
        <v>133</v>
      </c>
      <c r="CB138" s="114">
        <f>AC138</f>
        <v>141</v>
      </c>
      <c r="CC138" s="113">
        <f>AG138</f>
        <v>178</v>
      </c>
      <c r="CD138" s="114">
        <f>AK138</f>
        <v>186</v>
      </c>
      <c r="CE138" s="113">
        <f>AO138</f>
        <v>228</v>
      </c>
      <c r="CF138" s="114">
        <f>AS138</f>
        <v>268</v>
      </c>
      <c r="CG138" s="113">
        <f>AW138</f>
        <v>301</v>
      </c>
      <c r="CH138" s="111">
        <f>G138</f>
        <v>58</v>
      </c>
      <c r="CI138" s="113" t="str">
        <f>K138</f>
        <v>-</v>
      </c>
      <c r="CJ138" s="114">
        <f>O138</f>
        <v>92</v>
      </c>
      <c r="CK138" s="114">
        <f>S138</f>
        <v>96</v>
      </c>
      <c r="CL138" s="114">
        <f>W138</f>
        <v>132</v>
      </c>
      <c r="CM138" s="114">
        <f>AA138</f>
        <v>140</v>
      </c>
      <c r="CN138" s="114">
        <f>AE138</f>
        <v>167</v>
      </c>
      <c r="CO138" s="114">
        <f>AI138</f>
        <v>180</v>
      </c>
      <c r="CP138" s="114">
        <f>AM138</f>
        <v>223</v>
      </c>
      <c r="CQ138" s="114">
        <f>AQ138</f>
        <v>265</v>
      </c>
      <c r="CR138" s="114">
        <f>AU138</f>
        <v>300</v>
      </c>
      <c r="CS138" s="114">
        <f>AY138</f>
        <v>313</v>
      </c>
      <c r="CT138" s="109" t="e">
        <f>M138-K138</f>
        <v>#VALUE!</v>
      </c>
    </row>
    <row r="139" spans="1:1030" s="12" customFormat="1" x14ac:dyDescent="0.2">
      <c r="A139" s="9" t="str">
        <f>CONCATENATE(B139,"_",C139)</f>
        <v>ccr5_human_6AKY</v>
      </c>
      <c r="B139" s="9" t="s">
        <v>173</v>
      </c>
      <c r="C139" s="9" t="s">
        <v>1546</v>
      </c>
      <c r="D139" s="9" t="str">
        <f>IFERROR(MID(VLOOKUP($B139,Seqs!$A:$B,2,0),E139,1),"")</f>
        <v>V</v>
      </c>
      <c r="E139" s="9">
        <v>25</v>
      </c>
      <c r="F139" s="9" t="str">
        <f>IFERROR(MID(VLOOKUP($B139,Seqs!$A:$B,2,0),G139,1),"")</f>
        <v>C</v>
      </c>
      <c r="G139" s="9">
        <v>58</v>
      </c>
      <c r="H139" s="9" t="str">
        <f>IFERROR(MID(VLOOKUP($B139,Seqs!$A:$B,2,0),I139,1),"")</f>
        <v/>
      </c>
      <c r="I139" s="109" t="s">
        <v>23</v>
      </c>
      <c r="J139" s="9" t="str">
        <f>IFERROR(MID(VLOOKUP($B139,Seqs!$A:$B,2,0),K139,1),"")</f>
        <v/>
      </c>
      <c r="K139" s="109" t="s">
        <v>23</v>
      </c>
      <c r="L139" s="9" t="str">
        <f>IFERROR(MID(VLOOKUP($B139,Seqs!$A:$B,2,0),M139,1),"")</f>
        <v>S</v>
      </c>
      <c r="M139" s="9">
        <v>63</v>
      </c>
      <c r="N139" s="9" t="str">
        <f>IFERROR(MID(VLOOKUP($B139,Seqs!$A:$B,2,0),O139,1),"")</f>
        <v>A</v>
      </c>
      <c r="O139" s="9">
        <v>92</v>
      </c>
      <c r="P139" s="9" t="str">
        <f>IFERROR(MID(VLOOKUP($B139,Seqs!$A:$B,2,0),Q139,1),"")</f>
        <v>Q</v>
      </c>
      <c r="Q139" s="9">
        <v>93</v>
      </c>
      <c r="R139" s="9" t="str">
        <f>IFERROR(MID(VLOOKUP($B139,Seqs!$A:$B,2,0),S139,1),"")</f>
        <v>F</v>
      </c>
      <c r="S139" s="9">
        <v>96</v>
      </c>
      <c r="T139" s="9" t="str">
        <f>IFERROR(MID(VLOOKUP($B139,Seqs!$A:$B,2,0),U139,1),"")</f>
        <v>G</v>
      </c>
      <c r="U139" s="9">
        <v>97</v>
      </c>
      <c r="V139" s="9" t="str">
        <f>IFERROR(MID(VLOOKUP($B139,Seqs!$A:$B,2,0),W139,1),"")</f>
        <v>H</v>
      </c>
      <c r="W139" s="9">
        <v>132</v>
      </c>
      <c r="X139" s="9" t="str">
        <f>IFERROR(MID(VLOOKUP($B139,Seqs!$A:$B,2,0),Y139,1),"")</f>
        <v>A</v>
      </c>
      <c r="Y139" s="9">
        <v>133</v>
      </c>
      <c r="Z139" s="9" t="str">
        <f>IFERROR(MID(VLOOKUP($B139,Seqs!$A:$B,2,0),AA139,1),"")</f>
        <v>R</v>
      </c>
      <c r="AA139" s="9">
        <v>140</v>
      </c>
      <c r="AB139" s="9" t="str">
        <f>IFERROR(MID(VLOOKUP($B139,Seqs!$A:$B,2,0),AC139,1),"")</f>
        <v>T</v>
      </c>
      <c r="AC139" s="9">
        <v>141</v>
      </c>
      <c r="AD139" s="9" t="str">
        <f>IFERROR(MID(VLOOKUP($B139,Seqs!$A:$B,2,0),AE139,1),"")</f>
        <v>T</v>
      </c>
      <c r="AE139" s="9">
        <v>167</v>
      </c>
      <c r="AF139" s="9" t="str">
        <f>IFERROR(MID(VLOOKUP($B139,Seqs!$A:$B,2,0),AG139,1),"")</f>
        <v>C</v>
      </c>
      <c r="AG139" s="9">
        <v>178</v>
      </c>
      <c r="AH139" s="9" t="str">
        <f>IFERROR(MID(VLOOKUP($B139,Seqs!$A:$B,2,0),AI139,1),"")</f>
        <v>S</v>
      </c>
      <c r="AI139" s="9">
        <v>180</v>
      </c>
      <c r="AJ139" s="9" t="str">
        <f>IFERROR(MID(VLOOKUP($B139,Seqs!$A:$B,2,0),AK139,1),"")</f>
        <v>Q</v>
      </c>
      <c r="AK139" s="9">
        <v>186</v>
      </c>
      <c r="AL139" s="9" t="str">
        <f>IFERROR(MID(VLOOKUP($B139,Seqs!$A:$B,2,0),AM139,1),"")</f>
        <v>R</v>
      </c>
      <c r="AM139" s="9">
        <v>223</v>
      </c>
      <c r="AN139" s="9" t="str">
        <f>IFERROR(MID(VLOOKUP($B139,Seqs!$A:$B,2,0),AO139,1),"")</f>
        <v>H</v>
      </c>
      <c r="AO139" s="9">
        <v>231</v>
      </c>
      <c r="AP139" s="9" t="str">
        <f>IFERROR(MID(VLOOKUP($B139,Seqs!$A:$B,2,0),AQ139,1),"")</f>
        <v>F</v>
      </c>
      <c r="AQ139" s="9">
        <v>260</v>
      </c>
      <c r="AR139" s="9" t="str">
        <f>IFERROR(MID(VLOOKUP($B139,Seqs!$A:$B,2,0),AS139,1),"")</f>
        <v>N</v>
      </c>
      <c r="AS139" s="9">
        <v>268</v>
      </c>
      <c r="AT139" s="9" t="str">
        <f>IFERROR(MID(VLOOKUP($B139,Seqs!$A:$B,2,0),AU139,1),"")</f>
        <v>V</v>
      </c>
      <c r="AU139" s="9">
        <v>300</v>
      </c>
      <c r="AV139" s="9" t="str">
        <f>IFERROR(MID(VLOOKUP($B139,Seqs!$A:$B,2,0),AW139,1),"")</f>
        <v>G</v>
      </c>
      <c r="AW139" s="9">
        <v>301</v>
      </c>
      <c r="AX139" s="9" t="str">
        <f>IFERROR(MID(VLOOKUP($B139,Seqs!$A:$B,2,0),AY139,1),"")</f>
        <v>L</v>
      </c>
      <c r="AY139" s="9">
        <v>308</v>
      </c>
      <c r="AZ139" s="110" t="str">
        <f>VLOOKUP(B139,Classification!A:D,2,0)</f>
        <v>A</v>
      </c>
      <c r="BA139" s="98" t="str">
        <f>VLOOKUP(B139,Classification!A:D,4,0)</f>
        <v>Chemokine</v>
      </c>
      <c r="BB139" s="36" t="b">
        <f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109">
        <f>_xlfn.AGGREGATE(9,6,CH139:CS139)-_xlfn.AGGREGATE(9,6,BV139:CG139)+12</f>
        <v>252</v>
      </c>
      <c r="BD139" s="40" t="s">
        <v>23</v>
      </c>
      <c r="BE139" s="9" t="s">
        <v>1381</v>
      </c>
      <c r="BF139" s="120">
        <v>2.8</v>
      </c>
      <c r="BG139" s="51" t="s">
        <v>1287</v>
      </c>
      <c r="BH139" s="51" t="s">
        <v>1287</v>
      </c>
      <c r="BJ139" s="111" t="s">
        <v>1293</v>
      </c>
      <c r="BK139" s="112" t="s">
        <v>1293</v>
      </c>
      <c r="BL139" s="112" t="s">
        <v>1293</v>
      </c>
      <c r="BM139" s="112" t="s">
        <v>1293</v>
      </c>
      <c r="BN139" s="112" t="s">
        <v>1293</v>
      </c>
      <c r="BO139" s="112" t="s">
        <v>1293</v>
      </c>
      <c r="BP139" s="112" t="s">
        <v>1293</v>
      </c>
      <c r="BQ139" s="112" t="s">
        <v>1293</v>
      </c>
      <c r="BR139" s="112" t="s">
        <v>1293</v>
      </c>
      <c r="BS139" s="112" t="s">
        <v>1293</v>
      </c>
      <c r="BT139" s="112" t="s">
        <v>1293</v>
      </c>
      <c r="BU139" s="112" t="s">
        <v>1293</v>
      </c>
      <c r="BV139" s="111">
        <f>E139</f>
        <v>25</v>
      </c>
      <c r="BW139" s="113" t="str">
        <f>I139</f>
        <v>-</v>
      </c>
      <c r="BX139" s="114">
        <f>M139</f>
        <v>63</v>
      </c>
      <c r="BY139" s="113">
        <f>Q139</f>
        <v>93</v>
      </c>
      <c r="BZ139" s="114">
        <f>U139</f>
        <v>97</v>
      </c>
      <c r="CA139" s="113">
        <f>Y139</f>
        <v>133</v>
      </c>
      <c r="CB139" s="114">
        <f>AC139</f>
        <v>141</v>
      </c>
      <c r="CC139" s="113">
        <f>AG139</f>
        <v>178</v>
      </c>
      <c r="CD139" s="114">
        <f>AK139</f>
        <v>186</v>
      </c>
      <c r="CE139" s="113">
        <f>AO139</f>
        <v>231</v>
      </c>
      <c r="CF139" s="114">
        <f>AS139</f>
        <v>268</v>
      </c>
      <c r="CG139" s="113">
        <f>AW139</f>
        <v>301</v>
      </c>
      <c r="CH139" s="111">
        <f>G139</f>
        <v>58</v>
      </c>
      <c r="CI139" s="113" t="str">
        <f>K139</f>
        <v>-</v>
      </c>
      <c r="CJ139" s="114">
        <f>O139</f>
        <v>92</v>
      </c>
      <c r="CK139" s="114">
        <f>S139</f>
        <v>96</v>
      </c>
      <c r="CL139" s="114">
        <f>W139</f>
        <v>132</v>
      </c>
      <c r="CM139" s="114">
        <f>AA139</f>
        <v>140</v>
      </c>
      <c r="CN139" s="114">
        <f>AE139</f>
        <v>167</v>
      </c>
      <c r="CO139" s="114">
        <f>AI139</f>
        <v>180</v>
      </c>
      <c r="CP139" s="114">
        <f>AM139</f>
        <v>223</v>
      </c>
      <c r="CQ139" s="114">
        <f>AQ139</f>
        <v>260</v>
      </c>
      <c r="CR139" s="114">
        <f>AU139</f>
        <v>300</v>
      </c>
      <c r="CS139" s="114">
        <f>AY139</f>
        <v>308</v>
      </c>
      <c r="CT139" s="109" t="e">
        <f>M139-K139</f>
        <v>#VALUE!</v>
      </c>
    </row>
    <row r="140" spans="1:1030" s="12" customFormat="1" x14ac:dyDescent="0.2">
      <c r="A140" s="9" t="str">
        <f>CONCATENATE(B140,"_",C140)</f>
        <v>ccr5_human_6MEO</v>
      </c>
      <c r="B140" s="9" t="s">
        <v>173</v>
      </c>
      <c r="C140" s="9" t="s">
        <v>1566</v>
      </c>
      <c r="D140" s="9" t="str">
        <f>IFERROR(MID(VLOOKUP($B140,Seqs!$A:$B,2,0),E140,1),"")</f>
        <v>K</v>
      </c>
      <c r="E140" s="9">
        <v>26</v>
      </c>
      <c r="F140" s="9" t="str">
        <f>IFERROR(MID(VLOOKUP($B140,Seqs!$A:$B,2,0),G140,1),"")</f>
        <v>R</v>
      </c>
      <c r="G140" s="9">
        <v>60</v>
      </c>
      <c r="H140" s="9" t="str">
        <f>IFERROR(MID(VLOOKUP($B140,Seqs!$A:$B,2,0),I140,1),"")</f>
        <v/>
      </c>
      <c r="I140" s="109" t="s">
        <v>23</v>
      </c>
      <c r="J140" s="9" t="str">
        <f>IFERROR(MID(VLOOKUP($B140,Seqs!$A:$B,2,0),K140,1),"")</f>
        <v/>
      </c>
      <c r="K140" s="109" t="s">
        <v>23</v>
      </c>
      <c r="L140" s="9" t="str">
        <f>IFERROR(MID(VLOOKUP($B140,Seqs!$A:$B,2,0),M140,1),"")</f>
        <v>S</v>
      </c>
      <c r="M140" s="9">
        <v>63</v>
      </c>
      <c r="N140" s="9" t="str">
        <f>IFERROR(MID(VLOOKUP($B140,Seqs!$A:$B,2,0),O140,1),"")</f>
        <v>A</v>
      </c>
      <c r="O140" s="9">
        <v>90</v>
      </c>
      <c r="P140" s="9" t="str">
        <f>IFERROR(MID(VLOOKUP($B140,Seqs!$A:$B,2,0),Q140,1),"")</f>
        <v>Q</v>
      </c>
      <c r="Q140" s="9">
        <v>93</v>
      </c>
      <c r="R140" s="9" t="str">
        <f>IFERROR(MID(VLOOKUP($B140,Seqs!$A:$B,2,0),S140,1),"")</f>
        <v>F</v>
      </c>
      <c r="S140" s="9">
        <v>96</v>
      </c>
      <c r="T140" s="9" t="str">
        <f>IFERROR(MID(VLOOKUP($B140,Seqs!$A:$B,2,0),U140,1),"")</f>
        <v>M</v>
      </c>
      <c r="U140" s="9">
        <v>100</v>
      </c>
      <c r="V140" s="9" t="str">
        <f>IFERROR(MID(VLOOKUP($B140,Seqs!$A:$B,2,0),W140,1),"")</f>
        <v>H</v>
      </c>
      <c r="W140" s="9">
        <v>132</v>
      </c>
      <c r="X140" s="9" t="str">
        <f>IFERROR(MID(VLOOKUP($B140,Seqs!$A:$B,2,0),Y140,1),"")</f>
        <v>A</v>
      </c>
      <c r="Y140" s="9">
        <v>133</v>
      </c>
      <c r="Z140" s="9" t="str">
        <f>IFERROR(MID(VLOOKUP($B140,Seqs!$A:$B,2,0),AA140,1),"")</f>
        <v>R</v>
      </c>
      <c r="AA140" s="9">
        <v>140</v>
      </c>
      <c r="AB140" s="9" t="str">
        <f>IFERROR(MID(VLOOKUP($B140,Seqs!$A:$B,2,0),AC140,1),"")</f>
        <v>T</v>
      </c>
      <c r="AC140" s="9">
        <v>141</v>
      </c>
      <c r="AD140" s="9" t="str">
        <f>IFERROR(MID(VLOOKUP($B140,Seqs!$A:$B,2,0),AE140,1),"")</f>
        <v>I</v>
      </c>
      <c r="AE140" s="9">
        <v>165</v>
      </c>
      <c r="AF140" s="9" t="str">
        <f>IFERROR(MID(VLOOKUP($B140,Seqs!$A:$B,2,0),AG140,1),"")</f>
        <v>C</v>
      </c>
      <c r="AG140" s="9">
        <v>178</v>
      </c>
      <c r="AH140" s="9" t="str">
        <f>IFERROR(MID(VLOOKUP($B140,Seqs!$A:$B,2,0),AI140,1),"")</f>
        <v>S</v>
      </c>
      <c r="AI140" s="9">
        <v>180</v>
      </c>
      <c r="AJ140" s="9" t="str">
        <f>IFERROR(MID(VLOOKUP($B140,Seqs!$A:$B,2,0),AK140,1),"")</f>
        <v>Q</v>
      </c>
      <c r="AK140" s="9">
        <v>186</v>
      </c>
      <c r="AL140" s="9" t="str">
        <f>IFERROR(MID(VLOOKUP($B140,Seqs!$A:$B,2,0),AM140,1),"")</f>
        <v>C</v>
      </c>
      <c r="AM140" s="9">
        <v>224</v>
      </c>
      <c r="AN140" s="9" t="str">
        <f>IFERROR(MID(VLOOKUP($B140,Seqs!$A:$B,2,0),AO140,1),"")</f>
        <v>K</v>
      </c>
      <c r="AO140" s="9">
        <v>228</v>
      </c>
      <c r="AP140" s="9" t="str">
        <f>IFERROR(MID(VLOOKUP($B140,Seqs!$A:$B,2,0),AQ140,1),"")</f>
        <v>F</v>
      </c>
      <c r="AQ140" s="9">
        <v>260</v>
      </c>
      <c r="AR140" s="9" t="str">
        <f>IFERROR(MID(VLOOKUP($B140,Seqs!$A:$B,2,0),AS140,1),"")</f>
        <v>N</v>
      </c>
      <c r="AS140" s="9">
        <v>268</v>
      </c>
      <c r="AT140" s="9" t="str">
        <f>IFERROR(MID(VLOOKUP($B140,Seqs!$A:$B,2,0),AU140,1),"")</f>
        <v>V</v>
      </c>
      <c r="AU140" s="9">
        <v>300</v>
      </c>
      <c r="AV140" s="9" t="str">
        <f>IFERROR(MID(VLOOKUP($B140,Seqs!$A:$B,2,0),AW140,1),"")</f>
        <v/>
      </c>
      <c r="AW140" s="9" t="s">
        <v>23</v>
      </c>
      <c r="AX140" s="9" t="str">
        <f>IFERROR(MID(VLOOKUP($B140,Seqs!$A:$B,2,0),AY140,1),"")</f>
        <v/>
      </c>
      <c r="AY140" s="9" t="s">
        <v>23</v>
      </c>
      <c r="AZ140" s="110" t="str">
        <f>VLOOKUP(B140,Classification!A:D,2,0)</f>
        <v>A</v>
      </c>
      <c r="BA140" s="98" t="str">
        <f>VLOOKUP(B140,Classification!A:D,4,0)</f>
        <v>Chemokine</v>
      </c>
      <c r="BB140" s="36" t="b">
        <f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109">
        <f>_xlfn.AGGREGATE(9,6,CH140:CS140)-_xlfn.AGGREGATE(9,6,BV140:CG140)+12</f>
        <v>243</v>
      </c>
      <c r="BD140" s="40" t="s">
        <v>23</v>
      </c>
      <c r="BE140" s="9" t="s">
        <v>1381</v>
      </c>
      <c r="BF140" s="120">
        <v>3.9</v>
      </c>
      <c r="BG140" s="51" t="s">
        <v>1287</v>
      </c>
      <c r="BH140" s="51" t="s">
        <v>1287</v>
      </c>
      <c r="BJ140" s="111" t="s">
        <v>1293</v>
      </c>
      <c r="BK140" s="112" t="s">
        <v>1293</v>
      </c>
      <c r="BL140" s="112" t="s">
        <v>1293</v>
      </c>
      <c r="BM140" s="112" t="s">
        <v>1293</v>
      </c>
      <c r="BN140" s="112" t="s">
        <v>1293</v>
      </c>
      <c r="BO140" s="112" t="s">
        <v>1293</v>
      </c>
      <c r="BP140" s="112" t="s">
        <v>1293</v>
      </c>
      <c r="BQ140" s="112" t="s">
        <v>1293</v>
      </c>
      <c r="BR140" s="112" t="s">
        <v>1293</v>
      </c>
      <c r="BS140" s="112" t="s">
        <v>1293</v>
      </c>
      <c r="BT140" s="112" t="s">
        <v>1293</v>
      </c>
      <c r="BU140" s="112" t="s">
        <v>1293</v>
      </c>
      <c r="BV140" s="111">
        <f>E140</f>
        <v>26</v>
      </c>
      <c r="BW140" s="113" t="str">
        <f>I140</f>
        <v>-</v>
      </c>
      <c r="BX140" s="114">
        <f>M140</f>
        <v>63</v>
      </c>
      <c r="BY140" s="113">
        <f>Q140</f>
        <v>93</v>
      </c>
      <c r="BZ140" s="114">
        <f>U140</f>
        <v>100</v>
      </c>
      <c r="CA140" s="113">
        <f>Y140</f>
        <v>133</v>
      </c>
      <c r="CB140" s="114">
        <f>AC140</f>
        <v>141</v>
      </c>
      <c r="CC140" s="113">
        <f>AG140</f>
        <v>178</v>
      </c>
      <c r="CD140" s="114">
        <f>AK140</f>
        <v>186</v>
      </c>
      <c r="CE140" s="113">
        <f>AO140</f>
        <v>228</v>
      </c>
      <c r="CF140" s="114">
        <f>AS140</f>
        <v>268</v>
      </c>
      <c r="CG140" s="113" t="str">
        <f>AW140</f>
        <v>-</v>
      </c>
      <c r="CH140" s="111">
        <f>G140</f>
        <v>60</v>
      </c>
      <c r="CI140" s="113" t="str">
        <f>K140</f>
        <v>-</v>
      </c>
      <c r="CJ140" s="114">
        <f>O140</f>
        <v>90</v>
      </c>
      <c r="CK140" s="114">
        <f>S140</f>
        <v>96</v>
      </c>
      <c r="CL140" s="114">
        <f>W140</f>
        <v>132</v>
      </c>
      <c r="CM140" s="114">
        <f>AA140</f>
        <v>140</v>
      </c>
      <c r="CN140" s="114">
        <f>AE140</f>
        <v>165</v>
      </c>
      <c r="CO140" s="114">
        <f>AI140</f>
        <v>180</v>
      </c>
      <c r="CP140" s="114">
        <f>AM140</f>
        <v>224</v>
      </c>
      <c r="CQ140" s="114">
        <f>AQ140</f>
        <v>260</v>
      </c>
      <c r="CR140" s="114">
        <f>AU140</f>
        <v>300</v>
      </c>
      <c r="CS140" s="114" t="str">
        <f>AY140</f>
        <v>-</v>
      </c>
      <c r="CT140" s="109" t="e">
        <f>M140-K140</f>
        <v>#VALUE!</v>
      </c>
    </row>
    <row r="141" spans="1:1030" s="12" customFormat="1" x14ac:dyDescent="0.2">
      <c r="A141" s="9" t="str">
        <f>CONCATENATE(B141,"_",C141)</f>
        <v>ccr5_human_6MET</v>
      </c>
      <c r="B141" s="9" t="s">
        <v>173</v>
      </c>
      <c r="C141" s="9" t="s">
        <v>1565</v>
      </c>
      <c r="D141" s="9" t="str">
        <f>IFERROR(MID(VLOOKUP($B141,Seqs!$A:$B,2,0),E141,1),"")</f>
        <v>K</v>
      </c>
      <c r="E141" s="9">
        <v>26</v>
      </c>
      <c r="F141" s="9" t="str">
        <f>IFERROR(MID(VLOOKUP($B141,Seqs!$A:$B,2,0),G141,1),"")</f>
        <v>R</v>
      </c>
      <c r="G141" s="9">
        <v>60</v>
      </c>
      <c r="H141" s="9" t="str">
        <f>IFERROR(MID(VLOOKUP($B141,Seqs!$A:$B,2,0),I141,1),"")</f>
        <v/>
      </c>
      <c r="I141" s="109" t="s">
        <v>23</v>
      </c>
      <c r="J141" s="9" t="str">
        <f>IFERROR(MID(VLOOKUP($B141,Seqs!$A:$B,2,0),K141,1),"")</f>
        <v/>
      </c>
      <c r="K141" s="109" t="s">
        <v>23</v>
      </c>
      <c r="L141" s="9" t="str">
        <f>IFERROR(MID(VLOOKUP($B141,Seqs!$A:$B,2,0),M141,1),"")</f>
        <v>S</v>
      </c>
      <c r="M141" s="9">
        <v>63</v>
      </c>
      <c r="N141" s="9" t="str">
        <f>IFERROR(MID(VLOOKUP($B141,Seqs!$A:$B,2,0),O141,1),"")</f>
        <v>A</v>
      </c>
      <c r="O141" s="9">
        <v>90</v>
      </c>
      <c r="P141" s="9" t="str">
        <f>IFERROR(MID(VLOOKUP($B141,Seqs!$A:$B,2,0),Q141,1),"")</f>
        <v>Q</v>
      </c>
      <c r="Q141" s="9">
        <v>93</v>
      </c>
      <c r="R141" s="9" t="str">
        <f>IFERROR(MID(VLOOKUP($B141,Seqs!$A:$B,2,0),S141,1),"")</f>
        <v>F</v>
      </c>
      <c r="S141" s="9">
        <v>96</v>
      </c>
      <c r="T141" s="9" t="str">
        <f>IFERROR(MID(VLOOKUP($B141,Seqs!$A:$B,2,0),U141,1),"")</f>
        <v>M</v>
      </c>
      <c r="U141" s="9">
        <v>100</v>
      </c>
      <c r="V141" s="9" t="str">
        <f>IFERROR(MID(VLOOKUP($B141,Seqs!$A:$B,2,0),W141,1),"")</f>
        <v>H</v>
      </c>
      <c r="W141" s="9">
        <v>132</v>
      </c>
      <c r="X141" s="9" t="str">
        <f>IFERROR(MID(VLOOKUP($B141,Seqs!$A:$B,2,0),Y141,1),"")</f>
        <v>A</v>
      </c>
      <c r="Y141" s="9">
        <v>133</v>
      </c>
      <c r="Z141" s="9" t="str">
        <f>IFERROR(MID(VLOOKUP($B141,Seqs!$A:$B,2,0),AA141,1),"")</f>
        <v>R</v>
      </c>
      <c r="AA141" s="9">
        <v>140</v>
      </c>
      <c r="AB141" s="9" t="str">
        <f>IFERROR(MID(VLOOKUP($B141,Seqs!$A:$B,2,0),AC141,1),"")</f>
        <v>T</v>
      </c>
      <c r="AC141" s="9">
        <v>141</v>
      </c>
      <c r="AD141" s="9" t="str">
        <f>IFERROR(MID(VLOOKUP($B141,Seqs!$A:$B,2,0),AE141,1),"")</f>
        <v>I</v>
      </c>
      <c r="AE141" s="9">
        <v>165</v>
      </c>
      <c r="AF141" s="9" t="str">
        <f>IFERROR(MID(VLOOKUP($B141,Seqs!$A:$B,2,0),AG141,1),"")</f>
        <v>C</v>
      </c>
      <c r="AG141" s="9">
        <v>178</v>
      </c>
      <c r="AH141" s="9" t="str">
        <f>IFERROR(MID(VLOOKUP($B141,Seqs!$A:$B,2,0),AI141,1),"")</f>
        <v>S</v>
      </c>
      <c r="AI141" s="9">
        <v>180</v>
      </c>
      <c r="AJ141" s="9" t="str">
        <f>IFERROR(MID(VLOOKUP($B141,Seqs!$A:$B,2,0),AK141,1),"")</f>
        <v>Q</v>
      </c>
      <c r="AK141" s="9">
        <v>186</v>
      </c>
      <c r="AL141" s="9" t="str">
        <f>IFERROR(MID(VLOOKUP($B141,Seqs!$A:$B,2,0),AM141,1),"")</f>
        <v>C</v>
      </c>
      <c r="AM141" s="9">
        <v>224</v>
      </c>
      <c r="AN141" s="9" t="str">
        <f>IFERROR(MID(VLOOKUP($B141,Seqs!$A:$B,2,0),AO141,1),"")</f>
        <v>K</v>
      </c>
      <c r="AO141" s="9">
        <v>228</v>
      </c>
      <c r="AP141" s="9" t="str">
        <f>IFERROR(MID(VLOOKUP($B141,Seqs!$A:$B,2,0),AQ141,1),"")</f>
        <v>F</v>
      </c>
      <c r="AQ141" s="9">
        <v>260</v>
      </c>
      <c r="AR141" s="9" t="str">
        <f>IFERROR(MID(VLOOKUP($B141,Seqs!$A:$B,2,0),AS141,1),"")</f>
        <v>N</v>
      </c>
      <c r="AS141" s="9">
        <v>268</v>
      </c>
      <c r="AT141" s="9" t="str">
        <f>IFERROR(MID(VLOOKUP($B141,Seqs!$A:$B,2,0),AU141,1),"")</f>
        <v>V</v>
      </c>
      <c r="AU141" s="9">
        <v>300</v>
      </c>
      <c r="AV141" s="9" t="str">
        <f>IFERROR(MID(VLOOKUP($B141,Seqs!$A:$B,2,0),AW141,1),"")</f>
        <v/>
      </c>
      <c r="AW141" s="9" t="s">
        <v>23</v>
      </c>
      <c r="AX141" s="9" t="str">
        <f>IFERROR(MID(VLOOKUP($B141,Seqs!$A:$B,2,0),AY141,1),"")</f>
        <v/>
      </c>
      <c r="AY141" s="9" t="s">
        <v>23</v>
      </c>
      <c r="AZ141" s="110" t="str">
        <f>VLOOKUP(B141,Classification!A:D,2,0)</f>
        <v>A</v>
      </c>
      <c r="BA141" s="98" t="str">
        <f>VLOOKUP(B141,Classification!A:D,4,0)</f>
        <v>Chemokine</v>
      </c>
      <c r="BB141" s="36" t="b">
        <f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109">
        <f>_xlfn.AGGREGATE(9,6,CH141:CS141)-_xlfn.AGGREGATE(9,6,BV141:CG141)+12</f>
        <v>243</v>
      </c>
      <c r="BD141" s="40" t="s">
        <v>23</v>
      </c>
      <c r="BE141" s="9" t="s">
        <v>1381</v>
      </c>
      <c r="BF141" s="120">
        <v>4.5</v>
      </c>
      <c r="BG141" s="51" t="s">
        <v>1287</v>
      </c>
      <c r="BH141" s="51" t="s">
        <v>1287</v>
      </c>
      <c r="BJ141" s="111" t="s">
        <v>1293</v>
      </c>
      <c r="BK141" s="112" t="s">
        <v>1293</v>
      </c>
      <c r="BL141" s="112" t="s">
        <v>1293</v>
      </c>
      <c r="BM141" s="112" t="s">
        <v>1293</v>
      </c>
      <c r="BN141" s="112" t="s">
        <v>1293</v>
      </c>
      <c r="BO141" s="112" t="s">
        <v>1293</v>
      </c>
      <c r="BP141" s="112" t="s">
        <v>1293</v>
      </c>
      <c r="BQ141" s="112" t="s">
        <v>1293</v>
      </c>
      <c r="BR141" s="112" t="s">
        <v>1293</v>
      </c>
      <c r="BS141" s="112" t="s">
        <v>1293</v>
      </c>
      <c r="BT141" s="112" t="s">
        <v>1293</v>
      </c>
      <c r="BU141" s="112" t="s">
        <v>1293</v>
      </c>
      <c r="BV141" s="111">
        <f>E141</f>
        <v>26</v>
      </c>
      <c r="BW141" s="113" t="str">
        <f>I141</f>
        <v>-</v>
      </c>
      <c r="BX141" s="114">
        <f>M141</f>
        <v>63</v>
      </c>
      <c r="BY141" s="113">
        <f>Q141</f>
        <v>93</v>
      </c>
      <c r="BZ141" s="114">
        <f>U141</f>
        <v>100</v>
      </c>
      <c r="CA141" s="113">
        <f>Y141</f>
        <v>133</v>
      </c>
      <c r="CB141" s="114">
        <f>AC141</f>
        <v>141</v>
      </c>
      <c r="CC141" s="113">
        <f>AG141</f>
        <v>178</v>
      </c>
      <c r="CD141" s="114">
        <f>AK141</f>
        <v>186</v>
      </c>
      <c r="CE141" s="113">
        <f>AO141</f>
        <v>228</v>
      </c>
      <c r="CF141" s="114">
        <f>AS141</f>
        <v>268</v>
      </c>
      <c r="CG141" s="113" t="str">
        <f>AW141</f>
        <v>-</v>
      </c>
      <c r="CH141" s="111">
        <f>G141</f>
        <v>60</v>
      </c>
      <c r="CI141" s="113" t="str">
        <f>K141</f>
        <v>-</v>
      </c>
      <c r="CJ141" s="114">
        <f>O141</f>
        <v>90</v>
      </c>
      <c r="CK141" s="114">
        <f>S141</f>
        <v>96</v>
      </c>
      <c r="CL141" s="114">
        <f>W141</f>
        <v>132</v>
      </c>
      <c r="CM141" s="114">
        <f>AA141</f>
        <v>140</v>
      </c>
      <c r="CN141" s="114">
        <f>AE141</f>
        <v>165</v>
      </c>
      <c r="CO141" s="114">
        <f>AI141</f>
        <v>180</v>
      </c>
      <c r="CP141" s="114">
        <f>AM141</f>
        <v>224</v>
      </c>
      <c r="CQ141" s="114">
        <f>AQ141</f>
        <v>260</v>
      </c>
      <c r="CR141" s="114">
        <f>AU141</f>
        <v>300</v>
      </c>
      <c r="CS141" s="114" t="str">
        <f>AY141</f>
        <v>-</v>
      </c>
      <c r="CT141" s="109" t="e">
        <f>M141-K141</f>
        <v>#VALUE!</v>
      </c>
    </row>
    <row r="142" spans="1:1030" x14ac:dyDescent="0.2">
      <c r="A142" s="3" t="str">
        <f t="shared" si="559"/>
        <v>ccr9_human__wt</v>
      </c>
      <c r="B142" s="3" t="s">
        <v>177</v>
      </c>
      <c r="C142" s="3" t="s">
        <v>100</v>
      </c>
      <c r="D142" s="3" t="str">
        <f>IFERROR(MID(VLOOKUP($B142,Seqs!$A:$B,2,0),E142,1),"")</f>
        <v>V</v>
      </c>
      <c r="E142" s="3">
        <v>43</v>
      </c>
      <c r="F142" s="3" t="str">
        <f>IFERROR(MID(VLOOKUP($B142,Seqs!$A:$B,2,0),G142,1),"")</f>
        <v>C</v>
      </c>
      <c r="G142" s="3">
        <v>76</v>
      </c>
      <c r="H142" s="3" t="str">
        <f>IFERROR(MID(VLOOKUP($B142,Seqs!$A:$B,2,0),I142,1),"")</f>
        <v>T</v>
      </c>
      <c r="I142" s="23">
        <v>77</v>
      </c>
      <c r="J142" s="3" t="str">
        <f>IFERROR(MID(VLOOKUP($B142,Seqs!$A:$B,2,0),K142,1),"")</f>
        <v>K</v>
      </c>
      <c r="K142" s="23">
        <v>80</v>
      </c>
      <c r="L142" s="3" t="str">
        <f>IFERROR(MID(VLOOKUP($B142,Seqs!$A:$B,2,0),M142,1),"")</f>
        <v>T</v>
      </c>
      <c r="M142" s="3">
        <v>81</v>
      </c>
      <c r="N142" s="3" t="str">
        <f>IFERROR(MID(VLOOKUP($B142,Seqs!$A:$B,2,0),O142,1),"")</f>
        <v>D</v>
      </c>
      <c r="O142" s="3">
        <v>110</v>
      </c>
      <c r="P142" s="3" t="str">
        <f>IFERROR(MID(VLOOKUP($B142,Seqs!$A:$B,2,0),Q142,1),"")</f>
        <v>Q</v>
      </c>
      <c r="Q142" s="3">
        <v>111</v>
      </c>
      <c r="R142" s="3" t="str">
        <f>IFERROR(MID(VLOOKUP($B142,Seqs!$A:$B,2,0),S142,1),"")</f>
        <v>F</v>
      </c>
      <c r="S142" s="3">
        <v>114</v>
      </c>
      <c r="T142" s="3" t="str">
        <f>IFERROR(MID(VLOOKUP($B142,Seqs!$A:$B,2,0),U142,1),"")</f>
        <v>Q</v>
      </c>
      <c r="U142" s="3">
        <v>115</v>
      </c>
      <c r="V142" s="3" t="str">
        <f>IFERROR(MID(VLOOKUP($B142,Seqs!$A:$B,2,0),W142,1),"")</f>
        <v>Q</v>
      </c>
      <c r="W142" s="3">
        <v>150</v>
      </c>
      <c r="X142" s="3" t="str">
        <f>IFERROR(MID(VLOOKUP($B142,Seqs!$A:$B,2,0),Y142,1),"")</f>
        <v>A</v>
      </c>
      <c r="Y142" s="3">
        <v>151</v>
      </c>
      <c r="Z142" s="3" t="str">
        <f>IFERROR(MID(VLOOKUP($B142,Seqs!$A:$B,2,0),AA142,1),"")</f>
        <v>W</v>
      </c>
      <c r="AA142" s="3">
        <v>157</v>
      </c>
      <c r="AB142" s="3" t="str">
        <f>IFERROR(MID(VLOOKUP($B142,Seqs!$A:$B,2,0),AC142,1),"")</f>
        <v>R</v>
      </c>
      <c r="AC142" s="9">
        <v>158</v>
      </c>
      <c r="AD142" s="3" t="str">
        <f>IFERROR(MID(VLOOKUP($B142,Seqs!$A:$B,2,0),AE142,1),"")</f>
        <v>S</v>
      </c>
      <c r="AE142" s="3">
        <v>187</v>
      </c>
      <c r="AF142" s="3" t="str">
        <f>IFERROR(MID(VLOOKUP($B142,Seqs!$A:$B,2,0),AG142,1),"")</f>
        <v>C</v>
      </c>
      <c r="AG142" s="3">
        <v>198</v>
      </c>
      <c r="AH142" s="3" t="str">
        <f>IFERROR(MID(VLOOKUP($B142,Seqs!$A:$B,2,0),AI142,1),"")</f>
        <v>M</v>
      </c>
      <c r="AI142" s="3">
        <v>200</v>
      </c>
      <c r="AJ142" s="3" t="str">
        <f>IFERROR(MID(VLOOKUP($B142,Seqs!$A:$B,2,0),AK142,1),"")</f>
        <v>K</v>
      </c>
      <c r="AK142" s="3">
        <v>209</v>
      </c>
      <c r="AL142" s="3" t="str">
        <f>IFERROR(MID(VLOOKUP($B142,Seqs!$A:$B,2,0),AM142,1),"")</f>
        <v>A</v>
      </c>
      <c r="AM142" s="3">
        <v>244</v>
      </c>
      <c r="AN142" s="3" t="str">
        <f>IFERROR(MID(VLOOKUP($B142,Seqs!$A:$B,2,0),AO142,1),"")</f>
        <v>S</v>
      </c>
      <c r="AO142" s="3">
        <v>247</v>
      </c>
      <c r="AP142" s="3" t="str">
        <f>IFERROR(MID(VLOOKUP($B142,Seqs!$A:$B,2,0),AQ142,1),"")</f>
        <v>M</v>
      </c>
      <c r="AQ142" s="3">
        <v>284</v>
      </c>
      <c r="AR142" s="3" t="str">
        <f>IFERROR(MID(VLOOKUP($B142,Seqs!$A:$B,2,0),AS142,1),"")</f>
        <v>N</v>
      </c>
      <c r="AS142" s="3">
        <v>288</v>
      </c>
      <c r="AT142" s="3" t="str">
        <f>IFERROR(MID(VLOOKUP($B142,Seqs!$A:$B,2,0),AU142,1),"")</f>
        <v>V</v>
      </c>
      <c r="AU142" s="3">
        <v>320</v>
      </c>
      <c r="AV142" s="3" t="str">
        <f>IFERROR(MID(VLOOKUP($B142,Seqs!$A:$B,2,0),AW142,1),"")</f>
        <v>G</v>
      </c>
      <c r="AW142" s="3">
        <v>321</v>
      </c>
      <c r="AX142" s="3" t="str">
        <f>IFERROR(MID(VLOOKUP($B142,Seqs!$A:$B,2,0),AY142,1),"")</f>
        <v>A</v>
      </c>
      <c r="AY142" s="3">
        <v>341</v>
      </c>
      <c r="AZ142" s="77" t="str">
        <f>VLOOKUP(B142,Classification!A:D,2,0)</f>
        <v>A</v>
      </c>
      <c r="BA142" s="94" t="str">
        <f>VLOOKUP(B142,Classification!A:D,4,0)</f>
        <v>Chemokine</v>
      </c>
      <c r="BB142" s="27" t="b">
        <f t="shared" si="560"/>
        <v>1</v>
      </c>
      <c r="BC142" s="23">
        <f t="shared" si="365"/>
        <v>276</v>
      </c>
      <c r="BD142" s="56" t="s">
        <v>1379</v>
      </c>
      <c r="BE142" s="3" t="s">
        <v>23</v>
      </c>
      <c r="BF142" s="119" t="s">
        <v>23</v>
      </c>
      <c r="BG142" s="49" t="s">
        <v>1379</v>
      </c>
      <c r="BH142" s="49" t="s">
        <v>1384</v>
      </c>
      <c r="BI142" s="1"/>
      <c r="BJ142" s="70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0">
        <f t="shared" si="366"/>
        <v>43</v>
      </c>
      <c r="BW142" s="71">
        <f t="shared" si="367"/>
        <v>77</v>
      </c>
      <c r="BX142" s="72">
        <f t="shared" si="368"/>
        <v>81</v>
      </c>
      <c r="BY142" s="71">
        <f t="shared" si="369"/>
        <v>111</v>
      </c>
      <c r="BZ142" s="72">
        <f t="shared" si="370"/>
        <v>115</v>
      </c>
      <c r="CA142" s="71">
        <f t="shared" si="371"/>
        <v>151</v>
      </c>
      <c r="CB142" s="72">
        <f t="shared" si="372"/>
        <v>158</v>
      </c>
      <c r="CC142" s="71">
        <f t="shared" si="373"/>
        <v>198</v>
      </c>
      <c r="CD142" s="72">
        <f t="shared" si="374"/>
        <v>209</v>
      </c>
      <c r="CE142" s="71">
        <f t="shared" si="375"/>
        <v>247</v>
      </c>
      <c r="CF142" s="72">
        <f t="shared" si="376"/>
        <v>288</v>
      </c>
      <c r="CG142" s="71">
        <f t="shared" si="377"/>
        <v>321</v>
      </c>
      <c r="CH142" s="70">
        <f t="shared" si="378"/>
        <v>76</v>
      </c>
      <c r="CI142" s="71">
        <f t="shared" si="379"/>
        <v>80</v>
      </c>
      <c r="CJ142" s="72">
        <f t="shared" si="380"/>
        <v>110</v>
      </c>
      <c r="CK142" s="72">
        <f t="shared" si="381"/>
        <v>114</v>
      </c>
      <c r="CL142" s="72">
        <f t="shared" si="382"/>
        <v>150</v>
      </c>
      <c r="CM142" s="72">
        <f t="shared" si="383"/>
        <v>157</v>
      </c>
      <c r="CN142" s="72">
        <f t="shared" si="384"/>
        <v>187</v>
      </c>
      <c r="CO142" s="72">
        <f t="shared" si="385"/>
        <v>200</v>
      </c>
      <c r="CP142" s="72">
        <f t="shared" si="386"/>
        <v>244</v>
      </c>
      <c r="CQ142" s="72">
        <f t="shared" si="387"/>
        <v>284</v>
      </c>
      <c r="CR142" s="72">
        <f t="shared" si="388"/>
        <v>320</v>
      </c>
      <c r="CS142" s="72">
        <f t="shared" si="389"/>
        <v>341</v>
      </c>
      <c r="CT142" s="23">
        <f t="shared" si="390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30" x14ac:dyDescent="0.2">
      <c r="A143" s="3" t="str">
        <f t="shared" si="559"/>
        <v>ccr9_human_5LWE</v>
      </c>
      <c r="B143" s="3" t="s">
        <v>177</v>
      </c>
      <c r="C143" s="3" t="s">
        <v>1372</v>
      </c>
      <c r="D143" s="3" t="str">
        <f>IFERROR(MID(VLOOKUP($B143,Seqs!$A:$B,2,0),E143,1),"")</f>
        <v>V</v>
      </c>
      <c r="E143" s="3">
        <v>43</v>
      </c>
      <c r="F143" s="3" t="str">
        <f>IFERROR(MID(VLOOKUP($B143,Seqs!$A:$B,2,0),G143,1),"")</f>
        <v>C</v>
      </c>
      <c r="G143" s="3">
        <v>76</v>
      </c>
      <c r="H143" s="3" t="str">
        <f>IFERROR(MID(VLOOKUP($B143,Seqs!$A:$B,2,0),I143,1),"")</f>
        <v/>
      </c>
      <c r="I143" s="23" t="s">
        <v>23</v>
      </c>
      <c r="J143" s="3" t="str">
        <f>IFERROR(MID(VLOOKUP($B143,Seqs!$A:$B,2,0),K143,1),"")</f>
        <v/>
      </c>
      <c r="K143" s="23" t="s">
        <v>23</v>
      </c>
      <c r="L143" s="3" t="str">
        <f>IFERROR(MID(VLOOKUP($B143,Seqs!$A:$B,2,0),M143,1),"")</f>
        <v>T</v>
      </c>
      <c r="M143" s="3">
        <v>81</v>
      </c>
      <c r="N143" s="3" t="str">
        <f>IFERROR(MID(VLOOKUP($B143,Seqs!$A:$B,2,0),O143,1),"")</f>
        <v>A</v>
      </c>
      <c r="O143" s="3">
        <v>108</v>
      </c>
      <c r="P143" s="3" t="str">
        <f>IFERROR(MID(VLOOKUP($B143,Seqs!$A:$B,2,0),Q143,1),"")</f>
        <v/>
      </c>
      <c r="Q143" s="3" t="s">
        <v>23</v>
      </c>
      <c r="R143" s="3" t="str">
        <f>IFERROR(MID(VLOOKUP($B143,Seqs!$A:$B,2,0),S143,1),"")</f>
        <v/>
      </c>
      <c r="S143" s="3" t="s">
        <v>23</v>
      </c>
      <c r="T143" s="3" t="str">
        <f>IFERROR(MID(VLOOKUP($B143,Seqs!$A:$B,2,0),U143,1),"")</f>
        <v>C</v>
      </c>
      <c r="U143" s="3">
        <v>119</v>
      </c>
      <c r="V143" s="3" t="str">
        <f>IFERROR(MID(VLOOKUP($B143,Seqs!$A:$B,2,0),W143,1),"")</f>
        <v>Q</v>
      </c>
      <c r="W143" s="3">
        <v>150</v>
      </c>
      <c r="X143" s="3" t="str">
        <f>IFERROR(MID(VLOOKUP($B143,Seqs!$A:$B,2,0),Y143,1),"")</f>
        <v>A</v>
      </c>
      <c r="Y143" s="3">
        <v>151</v>
      </c>
      <c r="Z143" s="3" t="str">
        <f>IFERROR(MID(VLOOKUP($B143,Seqs!$A:$B,2,0),AA143,1),"")</f>
        <v>W</v>
      </c>
      <c r="AA143" s="3">
        <v>157</v>
      </c>
      <c r="AB143" s="3" t="str">
        <f>IFERROR(MID(VLOOKUP($B143,Seqs!$A:$B,2,0),AC143,1),"")</f>
        <v>R</v>
      </c>
      <c r="AC143" s="9">
        <v>158</v>
      </c>
      <c r="AD143" s="3" t="str">
        <f>IFERROR(MID(VLOOKUP($B143,Seqs!$A:$B,2,0),AE143,1),"")</f>
        <v>I</v>
      </c>
      <c r="AE143" s="3">
        <v>184</v>
      </c>
      <c r="AF143" s="3" t="str">
        <f>IFERROR(MID(VLOOKUP($B143,Seqs!$A:$B,2,0),AG143,1),"")</f>
        <v/>
      </c>
      <c r="AG143" s="3" t="s">
        <v>23</v>
      </c>
      <c r="AH143" s="3" t="str">
        <f>IFERROR(MID(VLOOKUP($B143,Seqs!$A:$B,2,0),AI143,1),"")</f>
        <v/>
      </c>
      <c r="AI143" s="3" t="s">
        <v>23</v>
      </c>
      <c r="AJ143" s="3" t="str">
        <f>IFERROR(MID(VLOOKUP($B143,Seqs!$A:$B,2,0),AK143,1),"")</f>
        <v/>
      </c>
      <c r="AK143" s="3" t="s">
        <v>23</v>
      </c>
      <c r="AL143" s="3" t="str">
        <f>IFERROR(MID(VLOOKUP($B143,Seqs!$A:$B,2,0),AM143,1),"")</f>
        <v/>
      </c>
      <c r="AM143" s="3" t="s">
        <v>23</v>
      </c>
      <c r="AN143" s="3" t="str">
        <f>IFERROR(MID(VLOOKUP($B143,Seqs!$A:$B,2,0),AO143,1),"")</f>
        <v>S</v>
      </c>
      <c r="AO143" s="3">
        <v>247</v>
      </c>
      <c r="AP143" s="3" t="str">
        <f>IFERROR(MID(VLOOKUP($B143,Seqs!$A:$B,2,0),AQ143,1),"")</f>
        <v>M</v>
      </c>
      <c r="AQ143" s="3">
        <v>284</v>
      </c>
      <c r="AR143" s="3" t="str">
        <f>IFERROR(MID(VLOOKUP($B143,Seqs!$A:$B,2,0),AS143,1),"")</f>
        <v>N</v>
      </c>
      <c r="AS143" s="3">
        <v>288</v>
      </c>
      <c r="AT143" s="3" t="str">
        <f>IFERROR(MID(VLOOKUP($B143,Seqs!$A:$B,2,0),AU143,1),"")</f>
        <v>V</v>
      </c>
      <c r="AU143" s="3">
        <v>320</v>
      </c>
      <c r="AV143" s="3" t="str">
        <f>IFERROR(MID(VLOOKUP($B143,Seqs!$A:$B,2,0),AW143,1),"")</f>
        <v>G</v>
      </c>
      <c r="AW143" s="3">
        <v>321</v>
      </c>
      <c r="AX143" s="3" t="str">
        <f>IFERROR(MID(VLOOKUP($B143,Seqs!$A:$B,2,0),AY143,1),"")</f>
        <v>A</v>
      </c>
      <c r="AY143" s="3">
        <v>341</v>
      </c>
      <c r="AZ143" s="77" t="str">
        <f>VLOOKUP(B143,Classification!A:D,2,0)</f>
        <v>A</v>
      </c>
      <c r="BA143" s="94" t="str">
        <f>VLOOKUP(B143,Classification!A:D,4,0)</f>
        <v>Chemokine</v>
      </c>
      <c r="BB143" s="27" t="b">
        <f t="shared" si="560"/>
        <v>0</v>
      </c>
      <c r="BC143" s="23">
        <f t="shared" si="365"/>
        <v>224</v>
      </c>
      <c r="BD143" s="16" t="s">
        <v>1383</v>
      </c>
      <c r="BE143" s="3" t="s">
        <v>1381</v>
      </c>
      <c r="BF143" s="119">
        <v>2.8</v>
      </c>
      <c r="BG143" s="49" t="s">
        <v>1384</v>
      </c>
      <c r="BH143" s="49" t="s">
        <v>1384</v>
      </c>
      <c r="BI143" s="1"/>
      <c r="BJ143" s="70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0">
        <f t="shared" si="366"/>
        <v>43</v>
      </c>
      <c r="BW143" s="71" t="str">
        <f t="shared" si="367"/>
        <v>-</v>
      </c>
      <c r="BX143" s="72">
        <f t="shared" si="368"/>
        <v>81</v>
      </c>
      <c r="BY143" s="71" t="str">
        <f t="shared" si="369"/>
        <v>-</v>
      </c>
      <c r="BZ143" s="72">
        <f t="shared" si="370"/>
        <v>119</v>
      </c>
      <c r="CA143" s="71">
        <f t="shared" si="371"/>
        <v>151</v>
      </c>
      <c r="CB143" s="72">
        <f t="shared" si="372"/>
        <v>158</v>
      </c>
      <c r="CC143" s="71" t="str">
        <f t="shared" si="373"/>
        <v>-</v>
      </c>
      <c r="CD143" s="72" t="str">
        <f t="shared" si="374"/>
        <v>-</v>
      </c>
      <c r="CE143" s="71">
        <f t="shared" si="375"/>
        <v>247</v>
      </c>
      <c r="CF143" s="72">
        <f t="shared" si="376"/>
        <v>288</v>
      </c>
      <c r="CG143" s="71">
        <f t="shared" si="377"/>
        <v>321</v>
      </c>
      <c r="CH143" s="70">
        <f t="shared" si="378"/>
        <v>76</v>
      </c>
      <c r="CI143" s="71" t="str">
        <f t="shared" si="379"/>
        <v>-</v>
      </c>
      <c r="CJ143" s="72">
        <f t="shared" si="380"/>
        <v>108</v>
      </c>
      <c r="CK143" s="72" t="str">
        <f t="shared" si="381"/>
        <v>-</v>
      </c>
      <c r="CL143" s="72">
        <f t="shared" si="382"/>
        <v>150</v>
      </c>
      <c r="CM143" s="72">
        <f t="shared" si="383"/>
        <v>157</v>
      </c>
      <c r="CN143" s="72">
        <f t="shared" si="384"/>
        <v>184</v>
      </c>
      <c r="CO143" s="72" t="str">
        <f t="shared" si="385"/>
        <v>-</v>
      </c>
      <c r="CP143" s="72" t="str">
        <f t="shared" si="386"/>
        <v>-</v>
      </c>
      <c r="CQ143" s="72">
        <f t="shared" si="387"/>
        <v>284</v>
      </c>
      <c r="CR143" s="72">
        <f t="shared" si="388"/>
        <v>320</v>
      </c>
      <c r="CS143" s="72">
        <f t="shared" si="389"/>
        <v>341</v>
      </c>
      <c r="CT143" s="23" t="e">
        <f t="shared" si="390"/>
        <v>#VALUE!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>CONCATENATE(B144,"_",C144)</f>
        <v>ccr9_human_5LWE_dist</v>
      </c>
      <c r="B144" s="3" t="s">
        <v>177</v>
      </c>
      <c r="C144" s="3" t="s">
        <v>1391</v>
      </c>
      <c r="D144" s="3" t="str">
        <f>IFERROR(MID(VLOOKUP($B144,Seqs!$A:$B,2,0),E144,1),"")</f>
        <v>V</v>
      </c>
      <c r="E144" s="3">
        <v>43</v>
      </c>
      <c r="F144" s="3" t="str">
        <f>IFERROR(MID(VLOOKUP($B144,Seqs!$A:$B,2,0),G144,1),"")</f>
        <v>C</v>
      </c>
      <c r="G144" s="3">
        <v>76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T</v>
      </c>
      <c r="M144" s="3">
        <v>81</v>
      </c>
      <c r="N144" s="3" t="str">
        <f>IFERROR(MID(VLOOKUP($B144,Seqs!$A:$B,2,0),O144,1),"")</f>
        <v>A</v>
      </c>
      <c r="O144" s="3">
        <v>108</v>
      </c>
      <c r="P144" s="3" t="str">
        <f>IFERROR(MID(VLOOKUP($B144,Seqs!$A:$B,2,0),Q144,1),"")</f>
        <v/>
      </c>
      <c r="Q144" s="3" t="s">
        <v>23</v>
      </c>
      <c r="R144" s="3" t="str">
        <f>IFERROR(MID(VLOOKUP($B144,Seqs!$A:$B,2,0),S144,1),"")</f>
        <v/>
      </c>
      <c r="S144" s="3" t="s">
        <v>23</v>
      </c>
      <c r="T144" s="3" t="str">
        <f>IFERROR(MID(VLOOKUP($B144,Seqs!$A:$B,2,0),U144,1),"")</f>
        <v>C</v>
      </c>
      <c r="U144" s="3">
        <v>119</v>
      </c>
      <c r="V144" s="3" t="str">
        <f>IFERROR(MID(VLOOKUP($B144,Seqs!$A:$B,2,0),W144,1),"")</f>
        <v>Q</v>
      </c>
      <c r="W144" s="3">
        <v>150</v>
      </c>
      <c r="X144" s="3" t="str">
        <f>IFERROR(MID(VLOOKUP($B144,Seqs!$A:$B,2,0),Y144,1),"")</f>
        <v>A</v>
      </c>
      <c r="Y144" s="3">
        <v>151</v>
      </c>
      <c r="Z144" s="3" t="str">
        <f>IFERROR(MID(VLOOKUP($B144,Seqs!$A:$B,2,0),AA144,1),"")</f>
        <v>W</v>
      </c>
      <c r="AA144" s="3">
        <v>157</v>
      </c>
      <c r="AB144" s="3" t="str">
        <f>IFERROR(MID(VLOOKUP($B144,Seqs!$A:$B,2,0),AC144,1),"")</f>
        <v>R</v>
      </c>
      <c r="AC144" s="9">
        <v>158</v>
      </c>
      <c r="AD144" s="3" t="str">
        <f>IFERROR(MID(VLOOKUP($B144,Seqs!$A:$B,2,0),AE144,1),"")</f>
        <v>I</v>
      </c>
      <c r="AE144" s="3">
        <v>184</v>
      </c>
      <c r="AF144" s="3" t="str">
        <f>IFERROR(MID(VLOOKUP($B144,Seqs!$A:$B,2,0),AG144,1),"")</f>
        <v/>
      </c>
      <c r="AG144" s="3" t="s">
        <v>23</v>
      </c>
      <c r="AH144" s="3" t="str">
        <f>IFERROR(MID(VLOOKUP($B144,Seqs!$A:$B,2,0),AI144,1),"")</f>
        <v/>
      </c>
      <c r="AI144" s="3" t="s">
        <v>23</v>
      </c>
      <c r="AJ144" s="3" t="str">
        <f>IFERROR(MID(VLOOKUP($B144,Seqs!$A:$B,2,0),AK144,1),"")</f>
        <v>K</v>
      </c>
      <c r="AK144" s="3">
        <v>209</v>
      </c>
      <c r="AL144" s="3" t="str">
        <f>IFERROR(MID(VLOOKUP($B144,Seqs!$A:$B,2,0),AM144,1),"")</f>
        <v>A</v>
      </c>
      <c r="AM144" s="3">
        <v>244</v>
      </c>
      <c r="AN144" s="3" t="str">
        <f>IFERROR(MID(VLOOKUP($B144,Seqs!$A:$B,2,0),AO144,1),"")</f>
        <v>S</v>
      </c>
      <c r="AO144" s="3">
        <v>247</v>
      </c>
      <c r="AP144" s="3" t="str">
        <f>IFERROR(MID(VLOOKUP($B144,Seqs!$A:$B,2,0),AQ144,1),"")</f>
        <v>M</v>
      </c>
      <c r="AQ144" s="3">
        <v>284</v>
      </c>
      <c r="AR144" s="3" t="str">
        <f>IFERROR(MID(VLOOKUP($B144,Seqs!$A:$B,2,0),AS144,1),"")</f>
        <v>N</v>
      </c>
      <c r="AS144" s="3">
        <v>288</v>
      </c>
      <c r="AT144" s="3" t="str">
        <f>IFERROR(MID(VLOOKUP($B144,Seqs!$A:$B,2,0),AU144,1),"")</f>
        <v>V</v>
      </c>
      <c r="AU144" s="3">
        <v>320</v>
      </c>
      <c r="AV144" s="3" t="str">
        <f>IFERROR(MID(VLOOKUP($B144,Seqs!$A:$B,2,0),AW144,1),"")</f>
        <v>G</v>
      </c>
      <c r="AW144" s="3">
        <v>321</v>
      </c>
      <c r="AX144" s="3" t="str">
        <f>IFERROR(MID(VLOOKUP($B144,Seqs!$A:$B,2,0),AY144,1),"")</f>
        <v>A</v>
      </c>
      <c r="AY144" s="3">
        <v>341</v>
      </c>
      <c r="AZ144" s="77" t="str">
        <f>VLOOKUP(B144,Classification!A:D,2,0)</f>
        <v>A</v>
      </c>
      <c r="BA144" s="94" t="str">
        <f>VLOOKUP(B144,Classification!A:D,4,0)</f>
        <v>Chemokine</v>
      </c>
      <c r="BB144" s="27" t="b">
        <f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23">
        <f>_xlfn.AGGREGATE(9,6,CH144:CS144)-_xlfn.AGGREGATE(9,6,BV144:CG144)+12</f>
        <v>259</v>
      </c>
      <c r="BD144" s="16" t="s">
        <v>23</v>
      </c>
      <c r="BE144" s="3" t="s">
        <v>1381</v>
      </c>
      <c r="BF144" s="119">
        <v>2.8</v>
      </c>
      <c r="BG144" s="49" t="s">
        <v>1384</v>
      </c>
      <c r="BH144" s="49" t="s">
        <v>1384</v>
      </c>
      <c r="BI144" s="1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>E144</f>
        <v>43</v>
      </c>
      <c r="BW144" s="71" t="str">
        <f>I144</f>
        <v>-</v>
      </c>
      <c r="BX144" s="72">
        <f>M144</f>
        <v>81</v>
      </c>
      <c r="BY144" s="71" t="str">
        <f>Q144</f>
        <v>-</v>
      </c>
      <c r="BZ144" s="72">
        <f>U144</f>
        <v>119</v>
      </c>
      <c r="CA144" s="71">
        <f>Y144</f>
        <v>151</v>
      </c>
      <c r="CB144" s="72">
        <f>AC144</f>
        <v>158</v>
      </c>
      <c r="CC144" s="71" t="str">
        <f>AG144</f>
        <v>-</v>
      </c>
      <c r="CD144" s="72">
        <f>AK144</f>
        <v>209</v>
      </c>
      <c r="CE144" s="71">
        <f>AO144</f>
        <v>247</v>
      </c>
      <c r="CF144" s="72">
        <f>AS144</f>
        <v>288</v>
      </c>
      <c r="CG144" s="71">
        <f>AW144</f>
        <v>321</v>
      </c>
      <c r="CH144" s="70">
        <f>G144</f>
        <v>76</v>
      </c>
      <c r="CI144" s="71" t="str">
        <f>K144</f>
        <v>-</v>
      </c>
      <c r="CJ144" s="72">
        <f>O144</f>
        <v>108</v>
      </c>
      <c r="CK144" s="72" t="str">
        <f>S144</f>
        <v>-</v>
      </c>
      <c r="CL144" s="72">
        <f>W144</f>
        <v>150</v>
      </c>
      <c r="CM144" s="72">
        <f>AA144</f>
        <v>157</v>
      </c>
      <c r="CN144" s="72">
        <f>AE144</f>
        <v>184</v>
      </c>
      <c r="CO144" s="72" t="str">
        <f>AI144</f>
        <v>-</v>
      </c>
      <c r="CP144" s="72">
        <f>AM144</f>
        <v>244</v>
      </c>
      <c r="CQ144" s="72">
        <f>AQ144</f>
        <v>284</v>
      </c>
      <c r="CR144" s="72">
        <f>AU144</f>
        <v>320</v>
      </c>
      <c r="CS144" s="72">
        <f>AY144</f>
        <v>341</v>
      </c>
      <c r="CT144" s="23" t="e">
        <f>M144-K144</f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559"/>
        <v>cnr1_human__wt</v>
      </c>
      <c r="B145" s="3" t="s">
        <v>182</v>
      </c>
      <c r="C145" s="3" t="s">
        <v>100</v>
      </c>
      <c r="D145" s="3" t="str">
        <f>IFERROR(MID(VLOOKUP($B145,Seqs!$A:$B,2,0),E145,1),"")</f>
        <v>N</v>
      </c>
      <c r="E145" s="3">
        <v>112</v>
      </c>
      <c r="F145" s="3" t="str">
        <f>IFERROR(MID(VLOOKUP($B145,Seqs!$A:$B,2,0),G145,1),"")</f>
        <v>S</v>
      </c>
      <c r="G145" s="3">
        <v>144</v>
      </c>
      <c r="H145" s="3" t="str">
        <f>IFERROR(MID(VLOOKUP($B145,Seqs!$A:$B,2,0),I145,1),"")</f>
        <v>R</v>
      </c>
      <c r="I145" s="23">
        <v>145</v>
      </c>
      <c r="J145" s="3" t="str">
        <f>IFERROR(MID(VLOOKUP($B145,Seqs!$A:$B,2,0),K145,1),"")</f>
        <v>R</v>
      </c>
      <c r="K145" s="23">
        <v>148</v>
      </c>
      <c r="L145" s="3" t="str">
        <f>IFERROR(MID(VLOOKUP($B145,Seqs!$A:$B,2,0),M145,1),"")</f>
        <v>R</v>
      </c>
      <c r="M145" s="3">
        <v>150</v>
      </c>
      <c r="N145" s="3" t="str">
        <f>IFERROR(MID(VLOOKUP($B145,Seqs!$A:$B,2,0),O145,1),"")</f>
        <v>V</v>
      </c>
      <c r="O145" s="3">
        <v>179</v>
      </c>
      <c r="P145" s="3" t="str">
        <f>IFERROR(MID(VLOOKUP($B145,Seqs!$A:$B,2,0),Q145,1),"")</f>
        <v/>
      </c>
      <c r="Q145" s="3" t="s">
        <v>23</v>
      </c>
      <c r="R145" s="3" t="str">
        <f>IFERROR(MID(VLOOKUP($B145,Seqs!$A:$B,2,0),S145,1),"")</f>
        <v/>
      </c>
      <c r="S145" s="3" t="s">
        <v>23</v>
      </c>
      <c r="T145" s="3" t="str">
        <f>IFERROR(MID(VLOOKUP($B145,Seqs!$A:$B,2,0),U145,1),"")</f>
        <v>S</v>
      </c>
      <c r="U145" s="3">
        <v>185</v>
      </c>
      <c r="V145" s="3" t="str">
        <f>IFERROR(MID(VLOOKUP($B145,Seqs!$A:$B,2,0),W145,1),"")</f>
        <v>R</v>
      </c>
      <c r="W145" s="3">
        <v>220</v>
      </c>
      <c r="X145" s="3" t="str">
        <f>IFERROR(MID(VLOOKUP($B145,Seqs!$A:$B,2,0),Y145,1),"")</f>
        <v>P</v>
      </c>
      <c r="Y145" s="3">
        <v>221</v>
      </c>
      <c r="Z145" s="3" t="str">
        <f>IFERROR(MID(VLOOKUP($B145,Seqs!$A:$B,2,0),AA145,1),"")</f>
        <v>V</v>
      </c>
      <c r="AA145" s="3">
        <v>228</v>
      </c>
      <c r="AB145" s="3" t="str">
        <f>IFERROR(MID(VLOOKUP($B145,Seqs!$A:$B,2,0),AC145,1),"")</f>
        <v>T</v>
      </c>
      <c r="AC145" s="9">
        <v>229</v>
      </c>
      <c r="AD145" s="3" t="str">
        <f>IFERROR(MID(VLOOKUP($B145,Seqs!$A:$B,2,0),AE145,1),"")</f>
        <v>G</v>
      </c>
      <c r="AE145" s="3">
        <v>254</v>
      </c>
      <c r="AF145" s="3" t="str">
        <f>IFERROR(MID(VLOOKUP($B145,Seqs!$A:$B,2,0),AG145,1),"")</f>
        <v/>
      </c>
      <c r="AG145" s="3" t="s">
        <v>23</v>
      </c>
      <c r="AH145" s="3" t="str">
        <f>IFERROR(MID(VLOOKUP($B145,Seqs!$A:$B,2,0),AI145,1),"")</f>
        <v/>
      </c>
      <c r="AI145" s="3" t="s">
        <v>23</v>
      </c>
      <c r="AJ145" s="3" t="str">
        <f>IFERROR(MID(VLOOKUP($B145,Seqs!$A:$B,2,0),AK145,1),"")</f>
        <v>D</v>
      </c>
      <c r="AK145" s="3">
        <v>272</v>
      </c>
      <c r="AL145" s="3" t="str">
        <f>IFERROR(MID(VLOOKUP($B145,Seqs!$A:$B,2,0),AM145,1),"")</f>
        <v>G</v>
      </c>
      <c r="AM145" s="3">
        <v>312</v>
      </c>
      <c r="AN145" s="3" t="str">
        <f>IFERROR(MID(VLOOKUP($B145,Seqs!$A:$B,2,0),AO145,1),"")</f>
        <v>P</v>
      </c>
      <c r="AO145" s="3">
        <v>332</v>
      </c>
      <c r="AP145" s="3" t="str">
        <f>IFERROR(MID(VLOOKUP($B145,Seqs!$A:$B,2,0),AQ145,1),"")</f>
        <v>G</v>
      </c>
      <c r="AQ145" s="3">
        <v>369</v>
      </c>
      <c r="AR145" s="3" t="str">
        <f>IFERROR(MID(VLOOKUP($B145,Seqs!$A:$B,2,0),AS145,1),"")</f>
        <v>N</v>
      </c>
      <c r="AS145" s="3">
        <v>372</v>
      </c>
      <c r="AT145" s="3" t="str">
        <f>IFERROR(MID(VLOOKUP($B145,Seqs!$A:$B,2,0),AU145,1),"")</f>
        <v>R</v>
      </c>
      <c r="AU145" s="3">
        <v>400</v>
      </c>
      <c r="AV145" s="3" t="str">
        <f>IFERROR(MID(VLOOKUP($B145,Seqs!$A:$B,2,0),AW145,1),"")</f>
        <v>S</v>
      </c>
      <c r="AW145" s="3">
        <v>401</v>
      </c>
      <c r="AX145" s="3" t="str">
        <f>IFERROR(MID(VLOOKUP($B145,Seqs!$A:$B,2,0),AY145,1),"")</f>
        <v>P</v>
      </c>
      <c r="AY145" s="3">
        <v>413</v>
      </c>
      <c r="AZ145" s="77" t="str">
        <f>VLOOKUP(B145,Classification!A:D,2,0)</f>
        <v>A</v>
      </c>
      <c r="BA145" s="94" t="str">
        <f>VLOOKUP(B145,Classification!A:D,4,0)</f>
        <v>Cannabinoid</v>
      </c>
      <c r="BB145" s="27" t="b">
        <f t="shared" si="560"/>
        <v>1</v>
      </c>
      <c r="BC145" s="23">
        <f t="shared" si="365"/>
        <v>260</v>
      </c>
      <c r="BD145" s="56" t="s">
        <v>1379</v>
      </c>
      <c r="BE145" s="3" t="s">
        <v>23</v>
      </c>
      <c r="BF145" s="119" t="s">
        <v>23</v>
      </c>
      <c r="BG145" s="49" t="s">
        <v>1379</v>
      </c>
      <c r="BH145" s="49" t="s">
        <v>1384</v>
      </c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366"/>
        <v>112</v>
      </c>
      <c r="BW145" s="71">
        <f t="shared" si="367"/>
        <v>145</v>
      </c>
      <c r="BX145" s="72">
        <f t="shared" si="368"/>
        <v>150</v>
      </c>
      <c r="BY145" s="71" t="str">
        <f t="shared" si="369"/>
        <v>-</v>
      </c>
      <c r="BZ145" s="72">
        <f t="shared" si="370"/>
        <v>185</v>
      </c>
      <c r="CA145" s="71">
        <f t="shared" si="371"/>
        <v>221</v>
      </c>
      <c r="CB145" s="72">
        <f t="shared" si="372"/>
        <v>229</v>
      </c>
      <c r="CC145" s="71" t="str">
        <f t="shared" si="373"/>
        <v>-</v>
      </c>
      <c r="CD145" s="72">
        <f t="shared" si="374"/>
        <v>272</v>
      </c>
      <c r="CE145" s="71">
        <f t="shared" si="375"/>
        <v>332</v>
      </c>
      <c r="CF145" s="72">
        <f t="shared" si="376"/>
        <v>372</v>
      </c>
      <c r="CG145" s="71">
        <f t="shared" si="377"/>
        <v>401</v>
      </c>
      <c r="CH145" s="70">
        <f t="shared" si="378"/>
        <v>144</v>
      </c>
      <c r="CI145" s="71">
        <f t="shared" si="379"/>
        <v>148</v>
      </c>
      <c r="CJ145" s="72">
        <f t="shared" si="380"/>
        <v>179</v>
      </c>
      <c r="CK145" s="72" t="str">
        <f t="shared" si="381"/>
        <v>-</v>
      </c>
      <c r="CL145" s="72">
        <f t="shared" si="382"/>
        <v>220</v>
      </c>
      <c r="CM145" s="72">
        <f t="shared" si="383"/>
        <v>228</v>
      </c>
      <c r="CN145" s="72">
        <f t="shared" si="384"/>
        <v>254</v>
      </c>
      <c r="CO145" s="72" t="str">
        <f t="shared" si="385"/>
        <v>-</v>
      </c>
      <c r="CP145" s="72">
        <f t="shared" si="386"/>
        <v>312</v>
      </c>
      <c r="CQ145" s="72">
        <f t="shared" si="387"/>
        <v>369</v>
      </c>
      <c r="CR145" s="72">
        <f t="shared" si="388"/>
        <v>400</v>
      </c>
      <c r="CS145" s="72">
        <f t="shared" si="389"/>
        <v>413</v>
      </c>
      <c r="CT145" s="23">
        <f t="shared" si="390"/>
        <v>2</v>
      </c>
    </row>
    <row r="146" spans="1:1030" s="3" customFormat="1" x14ac:dyDescent="0.2">
      <c r="A146" s="3" t="str">
        <f t="shared" si="559"/>
        <v>cnr1_human_5TGZ</v>
      </c>
      <c r="B146" s="3" t="s">
        <v>182</v>
      </c>
      <c r="C146" s="3" t="s">
        <v>1365</v>
      </c>
      <c r="D146" s="3" t="str">
        <f>IFERROR(MID(VLOOKUP($B146,Seqs!$A:$B,2,0),E146,1),"")</f>
        <v>P</v>
      </c>
      <c r="E146" s="3">
        <v>113</v>
      </c>
      <c r="F146" s="3" t="str">
        <f>IFERROR(MID(VLOOKUP($B146,Seqs!$A:$B,2,0),G146,1),"")</f>
        <v>S</v>
      </c>
      <c r="G146" s="3">
        <v>144</v>
      </c>
      <c r="H146" s="3" t="str">
        <f>IFERROR(MID(VLOOKUP($B146,Seqs!$A:$B,2,0),I146,1),"")</f>
        <v>R</v>
      </c>
      <c r="I146" s="23">
        <v>145</v>
      </c>
      <c r="J146" s="3" t="str">
        <f>IFERROR(MID(VLOOKUP($B146,Seqs!$A:$B,2,0),K146,1),"")</f>
        <v>R</v>
      </c>
      <c r="K146" s="23">
        <v>148</v>
      </c>
      <c r="L146" s="3" t="str">
        <f>IFERROR(MID(VLOOKUP($B146,Seqs!$A:$B,2,0),M146,1),"")</f>
        <v>R</v>
      </c>
      <c r="M146" s="3">
        <v>150</v>
      </c>
      <c r="N146" s="3" t="str">
        <f>IFERROR(MID(VLOOKUP($B146,Seqs!$A:$B,2,0),O146,1),"")</f>
        <v>V</v>
      </c>
      <c r="O146" s="3">
        <v>179</v>
      </c>
      <c r="P146" s="3" t="str">
        <f>IFERROR(MID(VLOOKUP($B146,Seqs!$A:$B,2,0),Q146,1),"")</f>
        <v/>
      </c>
      <c r="Q146" s="3" t="s">
        <v>23</v>
      </c>
      <c r="R146" s="3" t="str">
        <f>IFERROR(MID(VLOOKUP($B146,Seqs!$A:$B,2,0),S146,1),"")</f>
        <v/>
      </c>
      <c r="S146" s="3" t="s">
        <v>23</v>
      </c>
      <c r="T146" s="3" t="str">
        <f>IFERROR(MID(VLOOKUP($B146,Seqs!$A:$B,2,0),U146,1),"")</f>
        <v>S</v>
      </c>
      <c r="U146" s="3">
        <v>185</v>
      </c>
      <c r="V146" s="3" t="str">
        <f>IFERROR(MID(VLOOKUP($B146,Seqs!$A:$B,2,0),W146,1),"")</f>
        <v>R</v>
      </c>
      <c r="W146" s="3">
        <v>220</v>
      </c>
      <c r="X146" s="3" t="str">
        <f>IFERROR(MID(VLOOKUP($B146,Seqs!$A:$B,2,0),Y146,1),"")</f>
        <v>P</v>
      </c>
      <c r="Y146" s="3">
        <v>221</v>
      </c>
      <c r="Z146" s="3" t="str">
        <f>IFERROR(MID(VLOOKUP($B146,Seqs!$A:$B,2,0),AA146,1),"")</f>
        <v>V</v>
      </c>
      <c r="AA146" s="3">
        <v>228</v>
      </c>
      <c r="AB146" s="3" t="str">
        <f>IFERROR(MID(VLOOKUP($B146,Seqs!$A:$B,2,0),AC146,1),"")</f>
        <v>T</v>
      </c>
      <c r="AC146" s="9">
        <v>229</v>
      </c>
      <c r="AD146" s="3" t="str">
        <f>IFERROR(MID(VLOOKUP($B146,Seqs!$A:$B,2,0),AE146,1),"")</f>
        <v>G</v>
      </c>
      <c r="AE146" s="3">
        <v>254</v>
      </c>
      <c r="AF146" s="3" t="str">
        <f>IFERROR(MID(VLOOKUP($B146,Seqs!$A:$B,2,0),AG146,1),"")</f>
        <v/>
      </c>
      <c r="AG146" s="3" t="s">
        <v>23</v>
      </c>
      <c r="AH146" s="3" t="str">
        <f>IFERROR(MID(VLOOKUP($B146,Seqs!$A:$B,2,0),AI146,1),"")</f>
        <v/>
      </c>
      <c r="AI146" s="3" t="s">
        <v>23</v>
      </c>
      <c r="AJ146" s="3" t="str">
        <f>IFERROR(MID(VLOOKUP($B146,Seqs!$A:$B,2,0),AK146,1),"")</f>
        <v>D</v>
      </c>
      <c r="AK146" s="3">
        <v>272</v>
      </c>
      <c r="AL146" s="3" t="str">
        <f>IFERROR(MID(VLOOKUP($B146,Seqs!$A:$B,2,0),AM146,1),"")</f>
        <v>H</v>
      </c>
      <c r="AM146" s="3">
        <v>304</v>
      </c>
      <c r="AN146" s="3" t="str">
        <f>IFERROR(MID(VLOOKUP($B146,Seqs!$A:$B,2,0),AO146,1),"")</f>
        <v>P</v>
      </c>
      <c r="AO146" s="3">
        <v>332</v>
      </c>
      <c r="AP146" s="3" t="str">
        <f>IFERROR(MID(VLOOKUP($B146,Seqs!$A:$B,2,0),AQ146,1),"")</f>
        <v>F</v>
      </c>
      <c r="AQ146" s="3">
        <v>368</v>
      </c>
      <c r="AR146" s="3" t="str">
        <f>IFERROR(MID(VLOOKUP($B146,Seqs!$A:$B,2,0),AS146,1),"")</f>
        <v>N</v>
      </c>
      <c r="AS146" s="3">
        <v>372</v>
      </c>
      <c r="AT146" s="3" t="str">
        <f>IFERROR(MID(VLOOKUP($B146,Seqs!$A:$B,2,0),AU146,1),"")</f>
        <v>R</v>
      </c>
      <c r="AU146" s="3">
        <v>400</v>
      </c>
      <c r="AV146" s="3" t="str">
        <f>IFERROR(MID(VLOOKUP($B146,Seqs!$A:$B,2,0),AW146,1),"")</f>
        <v>S</v>
      </c>
      <c r="AW146" s="3">
        <v>401</v>
      </c>
      <c r="AX146" s="3" t="str">
        <f>IFERROR(MID(VLOOKUP($B146,Seqs!$A:$B,2,0),AY146,1),"")</f>
        <v>M</v>
      </c>
      <c r="AY146" s="3">
        <v>411</v>
      </c>
      <c r="AZ146" s="77" t="str">
        <f>VLOOKUP(B146,Classification!A:D,2,0)</f>
        <v>A</v>
      </c>
      <c r="BA146" s="94" t="str">
        <f>VLOOKUP(B146,Classification!A:D,4,0)</f>
        <v>Cannabinoid</v>
      </c>
      <c r="BB146" s="27" t="b">
        <f t="shared" si="560"/>
        <v>1</v>
      </c>
      <c r="BC146" s="23">
        <f t="shared" si="365"/>
        <v>248</v>
      </c>
      <c r="BD146" s="16" t="s">
        <v>1383</v>
      </c>
      <c r="BE146" s="3" t="s">
        <v>1381</v>
      </c>
      <c r="BF146" s="119">
        <v>2.8</v>
      </c>
      <c r="BG146" s="49" t="s">
        <v>1384</v>
      </c>
      <c r="BH146" s="49" t="s">
        <v>1384</v>
      </c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 t="shared" si="366"/>
        <v>113</v>
      </c>
      <c r="BW146" s="71">
        <f t="shared" si="367"/>
        <v>145</v>
      </c>
      <c r="BX146" s="72">
        <f t="shared" si="368"/>
        <v>150</v>
      </c>
      <c r="BY146" s="71" t="str">
        <f t="shared" si="369"/>
        <v>-</v>
      </c>
      <c r="BZ146" s="72">
        <f t="shared" si="370"/>
        <v>185</v>
      </c>
      <c r="CA146" s="71">
        <f t="shared" si="371"/>
        <v>221</v>
      </c>
      <c r="CB146" s="72">
        <f t="shared" si="372"/>
        <v>229</v>
      </c>
      <c r="CC146" s="71" t="str">
        <f t="shared" si="373"/>
        <v>-</v>
      </c>
      <c r="CD146" s="72">
        <f t="shared" si="374"/>
        <v>272</v>
      </c>
      <c r="CE146" s="71">
        <f t="shared" si="375"/>
        <v>332</v>
      </c>
      <c r="CF146" s="72">
        <f t="shared" si="376"/>
        <v>372</v>
      </c>
      <c r="CG146" s="71">
        <f t="shared" si="377"/>
        <v>401</v>
      </c>
      <c r="CH146" s="70">
        <f t="shared" si="378"/>
        <v>144</v>
      </c>
      <c r="CI146" s="71">
        <f t="shared" si="379"/>
        <v>148</v>
      </c>
      <c r="CJ146" s="72">
        <f t="shared" si="380"/>
        <v>179</v>
      </c>
      <c r="CK146" s="72" t="str">
        <f t="shared" si="381"/>
        <v>-</v>
      </c>
      <c r="CL146" s="72">
        <f t="shared" si="382"/>
        <v>220</v>
      </c>
      <c r="CM146" s="72">
        <f t="shared" si="383"/>
        <v>228</v>
      </c>
      <c r="CN146" s="72">
        <f t="shared" si="384"/>
        <v>254</v>
      </c>
      <c r="CO146" s="72" t="str">
        <f t="shared" si="385"/>
        <v>-</v>
      </c>
      <c r="CP146" s="72">
        <f t="shared" si="386"/>
        <v>304</v>
      </c>
      <c r="CQ146" s="72">
        <f t="shared" si="387"/>
        <v>368</v>
      </c>
      <c r="CR146" s="72">
        <f t="shared" si="388"/>
        <v>400</v>
      </c>
      <c r="CS146" s="72">
        <f t="shared" si="389"/>
        <v>411</v>
      </c>
      <c r="CT146" s="23">
        <f t="shared" si="390"/>
        <v>2</v>
      </c>
      <c r="AMP146" s="1"/>
    </row>
    <row r="147" spans="1:1030" x14ac:dyDescent="0.2">
      <c r="A147" s="3" t="str">
        <f t="shared" si="559"/>
        <v>cnr1_human_5U09</v>
      </c>
      <c r="B147" s="3" t="s">
        <v>182</v>
      </c>
      <c r="C147" s="3" t="s">
        <v>1371</v>
      </c>
      <c r="D147" s="3" t="str">
        <f>IFERROR(MID(VLOOKUP($B147,Seqs!$A:$B,2,0),E147,1),"")</f>
        <v>N</v>
      </c>
      <c r="E147" s="3">
        <v>112</v>
      </c>
      <c r="F147" s="3" t="str">
        <f>IFERROR(MID(VLOOKUP($B147,Seqs!$A:$B,2,0),G147,1),"")</f>
        <v>S</v>
      </c>
      <c r="G147" s="3">
        <v>144</v>
      </c>
      <c r="H147" s="3" t="str">
        <f>IFERROR(MID(VLOOKUP($B147,Seqs!$A:$B,2,0),I147,1),"")</f>
        <v>R</v>
      </c>
      <c r="I147" s="23">
        <v>145</v>
      </c>
      <c r="J147" s="3" t="str">
        <f>IFERROR(MID(VLOOKUP($B147,Seqs!$A:$B,2,0),K147,1),"")</f>
        <v>R</v>
      </c>
      <c r="K147" s="23">
        <v>148</v>
      </c>
      <c r="L147" s="3" t="str">
        <f>IFERROR(MID(VLOOKUP($B147,Seqs!$A:$B,2,0),M147,1),"")</f>
        <v>R</v>
      </c>
      <c r="M147" s="3">
        <v>150</v>
      </c>
      <c r="N147" s="3" t="str">
        <f>IFERROR(MID(VLOOKUP($B147,Seqs!$A:$B,2,0),O147,1),"")</f>
        <v>V</v>
      </c>
      <c r="O147" s="3">
        <v>179</v>
      </c>
      <c r="P147" s="3" t="str">
        <f>IFERROR(MID(VLOOKUP($B147,Seqs!$A:$B,2,0),Q147,1),"")</f>
        <v/>
      </c>
      <c r="Q147" s="3" t="s">
        <v>23</v>
      </c>
      <c r="R147" s="3" t="str">
        <f>IFERROR(MID(VLOOKUP($B147,Seqs!$A:$B,2,0),S147,1),"")</f>
        <v/>
      </c>
      <c r="S147" s="3" t="s">
        <v>23</v>
      </c>
      <c r="T147" s="3" t="str">
        <f>IFERROR(MID(VLOOKUP($B147,Seqs!$A:$B,2,0),U147,1),"")</f>
        <v>S</v>
      </c>
      <c r="U147" s="3">
        <v>185</v>
      </c>
      <c r="V147" s="3" t="str">
        <f>IFERROR(MID(VLOOKUP($B147,Seqs!$A:$B,2,0),W147,1),"")</f>
        <v>R</v>
      </c>
      <c r="W147" s="3">
        <v>220</v>
      </c>
      <c r="X147" s="3" t="str">
        <f>IFERROR(MID(VLOOKUP($B147,Seqs!$A:$B,2,0),Y147,1),"")</f>
        <v>P</v>
      </c>
      <c r="Y147" s="3">
        <v>221</v>
      </c>
      <c r="Z147" s="3" t="str">
        <f>IFERROR(MID(VLOOKUP($B147,Seqs!$A:$B,2,0),AA147,1),"")</f>
        <v>V</v>
      </c>
      <c r="AA147" s="3">
        <v>228</v>
      </c>
      <c r="AB147" s="3" t="str">
        <f>IFERROR(MID(VLOOKUP($B147,Seqs!$A:$B,2,0),AC147,1),"")</f>
        <v>T</v>
      </c>
      <c r="AC147" s="9">
        <v>229</v>
      </c>
      <c r="AD147" s="3" t="str">
        <f>IFERROR(MID(VLOOKUP($B147,Seqs!$A:$B,2,0),AE147,1),"")</f>
        <v>G</v>
      </c>
      <c r="AE147" s="3">
        <v>254</v>
      </c>
      <c r="AF147" s="3" t="str">
        <f>IFERROR(MID(VLOOKUP($B147,Seqs!$A:$B,2,0),AG147,1),"")</f>
        <v/>
      </c>
      <c r="AG147" s="3" t="s">
        <v>23</v>
      </c>
      <c r="AH147" s="3" t="str">
        <f>IFERROR(MID(VLOOKUP($B147,Seqs!$A:$B,2,0),AI147,1),"")</f>
        <v/>
      </c>
      <c r="AI147" s="3" t="s">
        <v>23</v>
      </c>
      <c r="AJ147" s="3" t="str">
        <f>IFERROR(MID(VLOOKUP($B147,Seqs!$A:$B,2,0),AK147,1),"")</f>
        <v>D</v>
      </c>
      <c r="AK147" s="3">
        <v>272</v>
      </c>
      <c r="AL147" s="3" t="str">
        <f>IFERROR(MID(VLOOKUP($B147,Seqs!$A:$B,2,0),AM147,1),"")</f>
        <v>A</v>
      </c>
      <c r="AM147" s="3">
        <v>301</v>
      </c>
      <c r="AN147" s="3" t="str">
        <f>IFERROR(MID(VLOOKUP($B147,Seqs!$A:$B,2,0),AO147,1),"")</f>
        <v>D</v>
      </c>
      <c r="AO147" s="3">
        <v>333</v>
      </c>
      <c r="AP147" s="3" t="str">
        <f>IFERROR(MID(VLOOKUP($B147,Seqs!$A:$B,2,0),AQ147,1),"")</f>
        <v>F</v>
      </c>
      <c r="AQ147" s="3">
        <v>368</v>
      </c>
      <c r="AR147" s="3" t="str">
        <f>IFERROR(MID(VLOOKUP($B147,Seqs!$A:$B,2,0),AS147,1),"")</f>
        <v>L</v>
      </c>
      <c r="AS147" s="3">
        <v>374</v>
      </c>
      <c r="AT147" s="3" t="str">
        <f>IFERROR(MID(VLOOKUP($B147,Seqs!$A:$B,2,0),AU147,1),"")</f>
        <v>R</v>
      </c>
      <c r="AU147" s="3">
        <v>400</v>
      </c>
      <c r="AV147" s="3" t="str">
        <f>IFERROR(MID(VLOOKUP($B147,Seqs!$A:$B,2,0),AW147,1),"")</f>
        <v>S</v>
      </c>
      <c r="AW147" s="3">
        <v>401</v>
      </c>
      <c r="AX147" s="3" t="str">
        <f>IFERROR(MID(VLOOKUP($B147,Seqs!$A:$B,2,0),AY147,1),"")</f>
        <v>M</v>
      </c>
      <c r="AY147" s="3">
        <v>411</v>
      </c>
      <c r="AZ147" s="77" t="str">
        <f>VLOOKUP(B147,Classification!A:D,2,0)</f>
        <v>A</v>
      </c>
      <c r="BA147" s="94" t="str">
        <f>VLOOKUP(B147,Classification!A:D,4,0)</f>
        <v>Cannabinoid</v>
      </c>
      <c r="BB147" s="27" t="b">
        <f t="shared" si="560"/>
        <v>1</v>
      </c>
      <c r="BC147" s="23">
        <f t="shared" si="365"/>
        <v>243</v>
      </c>
      <c r="BD147" s="2" t="s">
        <v>23</v>
      </c>
      <c r="BE147" s="3" t="s">
        <v>1381</v>
      </c>
      <c r="BF147" s="119">
        <v>2.6</v>
      </c>
      <c r="BG147" s="49" t="s">
        <v>1384</v>
      </c>
      <c r="BH147" s="49" t="s">
        <v>1384</v>
      </c>
      <c r="BJ147" s="70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0">
        <f t="shared" si="366"/>
        <v>112</v>
      </c>
      <c r="BW147" s="71">
        <f t="shared" si="367"/>
        <v>145</v>
      </c>
      <c r="BX147" s="72">
        <f t="shared" si="368"/>
        <v>150</v>
      </c>
      <c r="BY147" s="71" t="str">
        <f t="shared" si="369"/>
        <v>-</v>
      </c>
      <c r="BZ147" s="72">
        <f t="shared" si="370"/>
        <v>185</v>
      </c>
      <c r="CA147" s="71">
        <f t="shared" si="371"/>
        <v>221</v>
      </c>
      <c r="CB147" s="72">
        <f t="shared" si="372"/>
        <v>229</v>
      </c>
      <c r="CC147" s="71" t="str">
        <f t="shared" si="373"/>
        <v>-</v>
      </c>
      <c r="CD147" s="72">
        <f t="shared" si="374"/>
        <v>272</v>
      </c>
      <c r="CE147" s="71">
        <f t="shared" si="375"/>
        <v>333</v>
      </c>
      <c r="CF147" s="72">
        <f t="shared" si="376"/>
        <v>374</v>
      </c>
      <c r="CG147" s="71">
        <f t="shared" si="377"/>
        <v>401</v>
      </c>
      <c r="CH147" s="70">
        <f t="shared" si="378"/>
        <v>144</v>
      </c>
      <c r="CI147" s="71">
        <f t="shared" si="379"/>
        <v>148</v>
      </c>
      <c r="CJ147" s="72">
        <f t="shared" si="380"/>
        <v>179</v>
      </c>
      <c r="CK147" s="72" t="str">
        <f t="shared" si="381"/>
        <v>-</v>
      </c>
      <c r="CL147" s="72">
        <f t="shared" si="382"/>
        <v>220</v>
      </c>
      <c r="CM147" s="72">
        <f t="shared" si="383"/>
        <v>228</v>
      </c>
      <c r="CN147" s="72">
        <f t="shared" si="384"/>
        <v>254</v>
      </c>
      <c r="CO147" s="72" t="str">
        <f t="shared" si="385"/>
        <v>-</v>
      </c>
      <c r="CP147" s="72">
        <f t="shared" si="386"/>
        <v>301</v>
      </c>
      <c r="CQ147" s="72">
        <f t="shared" si="387"/>
        <v>368</v>
      </c>
      <c r="CR147" s="72">
        <f t="shared" si="388"/>
        <v>400</v>
      </c>
      <c r="CS147" s="72">
        <f t="shared" si="389"/>
        <v>411</v>
      </c>
      <c r="CT147" s="23">
        <f t="shared" si="390"/>
        <v>2</v>
      </c>
    </row>
    <row r="148" spans="1:1030" x14ac:dyDescent="0.2">
      <c r="A148" s="3" t="str">
        <f>CONCATENATE(B148,"_",C148)</f>
        <v>cnr1_human_5XR8</v>
      </c>
      <c r="B148" s="3" t="s">
        <v>182</v>
      </c>
      <c r="C148" s="3" t="s">
        <v>1435</v>
      </c>
      <c r="D148" s="3" t="str">
        <f>IFERROR(MID(VLOOKUP($B148,Seqs!$A:$B,2,0),E148,1),"")</f>
        <v>N</v>
      </c>
      <c r="E148" s="3">
        <v>112</v>
      </c>
      <c r="F148" s="3" t="str">
        <f>IFERROR(MID(VLOOKUP($B148,Seqs!$A:$B,2,0),G148,1),"")</f>
        <v>S</v>
      </c>
      <c r="G148" s="3">
        <v>146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Y</v>
      </c>
      <c r="M148" s="3">
        <v>153</v>
      </c>
      <c r="N148" s="3" t="str">
        <f>IFERROR(MID(VLOOKUP($B148,Seqs!$A:$B,2,0),O148,1),"")</f>
        <v>F</v>
      </c>
      <c r="O148" s="3">
        <v>180</v>
      </c>
      <c r="P148" s="3" t="str">
        <f>IFERROR(MID(VLOOKUP($B148,Seqs!$A:$B,2,0),Q148,1),"")</f>
        <v/>
      </c>
      <c r="Q148" s="3" t="s">
        <v>23</v>
      </c>
      <c r="R148" s="3" t="str">
        <f>IFERROR(MID(VLOOKUP($B148,Seqs!$A:$B,2,0),S148,1),"")</f>
        <v/>
      </c>
      <c r="S148" s="3" t="s">
        <v>23</v>
      </c>
      <c r="T148" s="3" t="str">
        <f>IFERROR(MID(VLOOKUP($B148,Seqs!$A:$B,2,0),U148,1),"")</f>
        <v>S</v>
      </c>
      <c r="U148" s="3">
        <v>185</v>
      </c>
      <c r="V148" s="3" t="str">
        <f>IFERROR(MID(VLOOKUP($B148,Seqs!$A:$B,2,0),W148,1),"")</f>
        <v>R</v>
      </c>
      <c r="W148" s="3">
        <v>220</v>
      </c>
      <c r="X148" s="3" t="str">
        <f>IFERROR(MID(VLOOKUP($B148,Seqs!$A:$B,2,0),Y148,1),"")</f>
        <v>P</v>
      </c>
      <c r="Y148" s="3">
        <v>221</v>
      </c>
      <c r="Z148" s="3" t="str">
        <f>IFERROR(MID(VLOOKUP($B148,Seqs!$A:$B,2,0),AA148,1),"")</f>
        <v>V</v>
      </c>
      <c r="AA148" s="3">
        <v>228</v>
      </c>
      <c r="AB148" s="3" t="str">
        <f>IFERROR(MID(VLOOKUP($B148,Seqs!$A:$B,2,0),AC148,1),"")</f>
        <v>T</v>
      </c>
      <c r="AC148" s="3">
        <v>229</v>
      </c>
      <c r="AD148" s="3" t="str">
        <f>IFERROR(MID(VLOOKUP($B148,Seqs!$A:$B,2,0),AE148,1),"")</f>
        <v>G</v>
      </c>
      <c r="AE148" s="3">
        <v>254</v>
      </c>
      <c r="AF148" s="3" t="str">
        <f>IFERROR(MID(VLOOKUP($B148,Seqs!$A:$B,2,0),AG148,1),"")</f>
        <v/>
      </c>
      <c r="AG148" s="3" t="s">
        <v>23</v>
      </c>
      <c r="AH148" s="3" t="str">
        <f>IFERROR(MID(VLOOKUP($B148,Seqs!$A:$B,2,0),AI148,1),"")</f>
        <v/>
      </c>
      <c r="AI148" s="3" t="s">
        <v>23</v>
      </c>
      <c r="AJ148" s="3" t="str">
        <f>IFERROR(MID(VLOOKUP($B148,Seqs!$A:$B,2,0),AK148,1),"")</f>
        <v>D</v>
      </c>
      <c r="AK148" s="3">
        <v>272</v>
      </c>
      <c r="AL148" s="3" t="str">
        <f>IFERROR(MID(VLOOKUP($B148,Seqs!$A:$B,2,0),AM148,1),"")</f>
        <v>S</v>
      </c>
      <c r="AM148" s="3">
        <v>303</v>
      </c>
      <c r="AN148" s="3" t="str">
        <f>IFERROR(MID(VLOOKUP($B148,Seqs!$A:$B,2,0),AO148,1),"")</f>
        <v>D</v>
      </c>
      <c r="AO148" s="3">
        <v>338</v>
      </c>
      <c r="AP148" s="3" t="str">
        <f>IFERROR(MID(VLOOKUP($B148,Seqs!$A:$B,2,0),AQ148,1),"")</f>
        <v>F</v>
      </c>
      <c r="AQ148" s="3">
        <v>368</v>
      </c>
      <c r="AR148" s="3" t="str">
        <f>IFERROR(MID(VLOOKUP($B148,Seqs!$A:$B,2,0),AS148,1),"")</f>
        <v>N</v>
      </c>
      <c r="AS148" s="3">
        <v>372</v>
      </c>
      <c r="AT148" s="3" t="str">
        <f>IFERROR(MID(VLOOKUP($B148,Seqs!$A:$B,2,0),AU148,1),"")</f>
        <v>Y</v>
      </c>
      <c r="AU148" s="3">
        <v>397</v>
      </c>
      <c r="AV148" s="3" t="str">
        <f>IFERROR(MID(VLOOKUP($B148,Seqs!$A:$B,2,0),AW148,1),"")</f>
        <v>S</v>
      </c>
      <c r="AW148" s="3">
        <v>401</v>
      </c>
      <c r="AX148" s="3" t="str">
        <f>IFERROR(MID(VLOOKUP($B148,Seqs!$A:$B,2,0),AY148,1),"")</f>
        <v>F</v>
      </c>
      <c r="AY148" s="3">
        <v>412</v>
      </c>
      <c r="AZ148" s="77" t="str">
        <f>VLOOKUP(B148,Classification!A:D,2,0)</f>
        <v>A</v>
      </c>
      <c r="BA148" s="94" t="str">
        <f>VLOOKUP(B148,Classification!A:D,4,0)</f>
        <v>Cannabinoid</v>
      </c>
      <c r="BB148" s="27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23">
        <f>_xlfn.AGGREGATE(9,6,CH148:CS148)-_xlfn.AGGREGATE(9,6,BV148:CG148)+12</f>
        <v>237</v>
      </c>
      <c r="BD148" s="2" t="s">
        <v>23</v>
      </c>
      <c r="BE148" s="3" t="s">
        <v>1297</v>
      </c>
      <c r="BF148" s="119">
        <v>2.95</v>
      </c>
      <c r="BG148" s="49" t="s">
        <v>1</v>
      </c>
      <c r="BH148" s="49" t="s">
        <v>1</v>
      </c>
      <c r="BJ148" s="70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0">
        <f>E148</f>
        <v>112</v>
      </c>
      <c r="BW148" s="71" t="str">
        <f>I148</f>
        <v>-</v>
      </c>
      <c r="BX148" s="72">
        <f>M148</f>
        <v>153</v>
      </c>
      <c r="BY148" s="71" t="str">
        <f>Q148</f>
        <v>-</v>
      </c>
      <c r="BZ148" s="72">
        <f>U148</f>
        <v>185</v>
      </c>
      <c r="CA148" s="71">
        <f>Y148</f>
        <v>221</v>
      </c>
      <c r="CB148" s="72">
        <f>AC148</f>
        <v>229</v>
      </c>
      <c r="CC148" s="71" t="str">
        <f>AG148</f>
        <v>-</v>
      </c>
      <c r="CD148" s="72">
        <f>AK148</f>
        <v>272</v>
      </c>
      <c r="CE148" s="71">
        <f>AO148</f>
        <v>338</v>
      </c>
      <c r="CF148" s="72">
        <f>AS148</f>
        <v>372</v>
      </c>
      <c r="CG148" s="71">
        <f>AW148</f>
        <v>401</v>
      </c>
      <c r="CH148" s="70">
        <f>G148</f>
        <v>146</v>
      </c>
      <c r="CI148" s="71" t="str">
        <f>K148</f>
        <v>-</v>
      </c>
      <c r="CJ148" s="72">
        <f>O148</f>
        <v>180</v>
      </c>
      <c r="CK148" s="72" t="str">
        <f>S148</f>
        <v>-</v>
      </c>
      <c r="CL148" s="72">
        <f>W148</f>
        <v>220</v>
      </c>
      <c r="CM148" s="72">
        <f>AA148</f>
        <v>228</v>
      </c>
      <c r="CN148" s="72">
        <f>AE148</f>
        <v>254</v>
      </c>
      <c r="CO148" s="72" t="str">
        <f>AI148</f>
        <v>-</v>
      </c>
      <c r="CP148" s="72">
        <f>AM148</f>
        <v>303</v>
      </c>
      <c r="CQ148" s="72">
        <f>AQ148</f>
        <v>368</v>
      </c>
      <c r="CR148" s="72">
        <f>AU148</f>
        <v>397</v>
      </c>
      <c r="CS148" s="72">
        <f>AY148</f>
        <v>412</v>
      </c>
      <c r="CT148" s="23" t="e">
        <f>M148-K148</f>
        <v>#VALUE!</v>
      </c>
    </row>
    <row r="149" spans="1:1030" x14ac:dyDescent="0.2">
      <c r="A149" s="3" t="str">
        <f>CONCATENATE(B149,"_",C149)</f>
        <v>cnr1_human_5XRA</v>
      </c>
      <c r="B149" s="3" t="s">
        <v>182</v>
      </c>
      <c r="C149" s="3" t="s">
        <v>1436</v>
      </c>
      <c r="D149" s="3" t="str">
        <f>IFERROR(MID(VLOOKUP($B149,Seqs!$A:$B,2,0),E149,1),"")</f>
        <v>N</v>
      </c>
      <c r="E149" s="3">
        <v>112</v>
      </c>
      <c r="F149" s="3" t="str">
        <f>IFERROR(MID(VLOOKUP($B149,Seqs!$A:$B,2,0),G149,1),"")</f>
        <v>S</v>
      </c>
      <c r="G149" s="3">
        <v>146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Y</v>
      </c>
      <c r="M149" s="3">
        <v>153</v>
      </c>
      <c r="N149" s="3" t="str">
        <f>IFERROR(MID(VLOOKUP($B149,Seqs!$A:$B,2,0),O149,1),"")</f>
        <v>F</v>
      </c>
      <c r="O149" s="3">
        <v>180</v>
      </c>
      <c r="P149" s="3" t="str">
        <f>IFERROR(MID(VLOOKUP($B149,Seqs!$A:$B,2,0),Q149,1),"")</f>
        <v/>
      </c>
      <c r="Q149" s="3" t="s">
        <v>23</v>
      </c>
      <c r="R149" s="3" t="str">
        <f>IFERROR(MID(VLOOKUP($B149,Seqs!$A:$B,2,0),S149,1),"")</f>
        <v/>
      </c>
      <c r="S149" s="3" t="s">
        <v>23</v>
      </c>
      <c r="T149" s="3" t="str">
        <f>IFERROR(MID(VLOOKUP($B149,Seqs!$A:$B,2,0),U149,1),"")</f>
        <v>S</v>
      </c>
      <c r="U149" s="3">
        <v>185</v>
      </c>
      <c r="V149" s="3" t="str">
        <f>IFERROR(MID(VLOOKUP($B149,Seqs!$A:$B,2,0),W149,1),"")</f>
        <v>R</v>
      </c>
      <c r="W149" s="3">
        <v>220</v>
      </c>
      <c r="X149" s="3" t="str">
        <f>IFERROR(MID(VLOOKUP($B149,Seqs!$A:$B,2,0),Y149,1),"")</f>
        <v>P</v>
      </c>
      <c r="Y149" s="3">
        <v>221</v>
      </c>
      <c r="Z149" s="3" t="str">
        <f>IFERROR(MID(VLOOKUP($B149,Seqs!$A:$B,2,0),AA149,1),"")</f>
        <v>V</v>
      </c>
      <c r="AA149" s="3">
        <v>228</v>
      </c>
      <c r="AB149" s="3" t="str">
        <f>IFERROR(MID(VLOOKUP($B149,Seqs!$A:$B,2,0),AC149,1),"")</f>
        <v>T</v>
      </c>
      <c r="AC149" s="3">
        <v>229</v>
      </c>
      <c r="AD149" s="3" t="str">
        <f>IFERROR(MID(VLOOKUP($B149,Seqs!$A:$B,2,0),AE149,1),"")</f>
        <v>G</v>
      </c>
      <c r="AE149" s="3">
        <v>254</v>
      </c>
      <c r="AF149" s="3" t="str">
        <f>IFERROR(MID(VLOOKUP($B149,Seqs!$A:$B,2,0),AG149,1),"")</f>
        <v/>
      </c>
      <c r="AG149" s="3" t="s">
        <v>23</v>
      </c>
      <c r="AH149" s="3" t="str">
        <f>IFERROR(MID(VLOOKUP($B149,Seqs!$A:$B,2,0),AI149,1),"")</f>
        <v/>
      </c>
      <c r="AI149" s="3" t="s">
        <v>23</v>
      </c>
      <c r="AJ149" s="3" t="str">
        <f>IFERROR(MID(VLOOKUP($B149,Seqs!$A:$B,2,0),AK149,1),"")</f>
        <v>D</v>
      </c>
      <c r="AK149" s="3">
        <v>272</v>
      </c>
      <c r="AL149" s="3" t="str">
        <f>IFERROR(MID(VLOOKUP($B149,Seqs!$A:$B,2,0),AM149,1),"")</f>
        <v>A</v>
      </c>
      <c r="AM149" s="3">
        <v>305</v>
      </c>
      <c r="AN149" s="3" t="str">
        <f>IFERROR(MID(VLOOKUP($B149,Seqs!$A:$B,2,0),AO149,1),"")</f>
        <v>D</v>
      </c>
      <c r="AO149" s="3">
        <v>338</v>
      </c>
      <c r="AP149" s="3" t="str">
        <f>IFERROR(MID(VLOOKUP($B149,Seqs!$A:$B,2,0),AQ149,1),"")</f>
        <v>G</v>
      </c>
      <c r="AQ149" s="3">
        <v>369</v>
      </c>
      <c r="AR149" s="3" t="str">
        <f>IFERROR(MID(VLOOKUP($B149,Seqs!$A:$B,2,0),AS149,1),"")</f>
        <v>N</v>
      </c>
      <c r="AS149" s="3">
        <v>372</v>
      </c>
      <c r="AT149" s="3" t="str">
        <f>IFERROR(MID(VLOOKUP($B149,Seqs!$A:$B,2,0),AU149,1),"")</f>
        <v>Y</v>
      </c>
      <c r="AU149" s="3">
        <v>397</v>
      </c>
      <c r="AV149" s="3" t="str">
        <f>IFERROR(MID(VLOOKUP($B149,Seqs!$A:$B,2,0),AW149,1),"")</f>
        <v>S</v>
      </c>
      <c r="AW149" s="3">
        <v>401</v>
      </c>
      <c r="AX149" s="3" t="str">
        <f>IFERROR(MID(VLOOKUP($B149,Seqs!$A:$B,2,0),AY149,1),"")</f>
        <v>F</v>
      </c>
      <c r="AY149" s="3">
        <v>412</v>
      </c>
      <c r="AZ149" s="77" t="str">
        <f>VLOOKUP(B149,Classification!A:D,2,0)</f>
        <v>A</v>
      </c>
      <c r="BA149" s="94" t="str">
        <f>VLOOKUP(B149,Classification!A:D,4,0)</f>
        <v>Cannabinoid</v>
      </c>
      <c r="BB149" s="27" t="b">
        <f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23">
        <f>_xlfn.AGGREGATE(9,6,CH149:CS149)-_xlfn.AGGREGATE(9,6,BV149:CG149)+12</f>
        <v>240</v>
      </c>
      <c r="BD149" s="2" t="s">
        <v>1382</v>
      </c>
      <c r="BE149" s="3" t="s">
        <v>1297</v>
      </c>
      <c r="BF149" s="119">
        <v>2.8</v>
      </c>
      <c r="BG149" s="49" t="s">
        <v>1</v>
      </c>
      <c r="BH149" s="49" t="s">
        <v>1</v>
      </c>
      <c r="BJ149" s="70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0">
        <f>E149</f>
        <v>112</v>
      </c>
      <c r="BW149" s="71" t="str">
        <f>I149</f>
        <v>-</v>
      </c>
      <c r="BX149" s="72">
        <f>M149</f>
        <v>153</v>
      </c>
      <c r="BY149" s="71" t="str">
        <f>Q149</f>
        <v>-</v>
      </c>
      <c r="BZ149" s="72">
        <f>U149</f>
        <v>185</v>
      </c>
      <c r="CA149" s="71">
        <f>Y149</f>
        <v>221</v>
      </c>
      <c r="CB149" s="72">
        <f>AC149</f>
        <v>229</v>
      </c>
      <c r="CC149" s="71" t="str">
        <f>AG149</f>
        <v>-</v>
      </c>
      <c r="CD149" s="72">
        <f>AK149</f>
        <v>272</v>
      </c>
      <c r="CE149" s="71">
        <f>AO149</f>
        <v>338</v>
      </c>
      <c r="CF149" s="72">
        <f>AS149</f>
        <v>372</v>
      </c>
      <c r="CG149" s="71">
        <f>AW149</f>
        <v>401</v>
      </c>
      <c r="CH149" s="70">
        <f>G149</f>
        <v>146</v>
      </c>
      <c r="CI149" s="71" t="str">
        <f>K149</f>
        <v>-</v>
      </c>
      <c r="CJ149" s="72">
        <f>O149</f>
        <v>180</v>
      </c>
      <c r="CK149" s="72" t="str">
        <f>S149</f>
        <v>-</v>
      </c>
      <c r="CL149" s="72">
        <f>W149</f>
        <v>220</v>
      </c>
      <c r="CM149" s="72">
        <f>AA149</f>
        <v>228</v>
      </c>
      <c r="CN149" s="72">
        <f>AE149</f>
        <v>254</v>
      </c>
      <c r="CO149" s="72" t="str">
        <f>AI149</f>
        <v>-</v>
      </c>
      <c r="CP149" s="72">
        <f>AM149</f>
        <v>305</v>
      </c>
      <c r="CQ149" s="72">
        <f>AQ149</f>
        <v>369</v>
      </c>
      <c r="CR149" s="72">
        <f>AU149</f>
        <v>397</v>
      </c>
      <c r="CS149" s="72">
        <f>AY149</f>
        <v>412</v>
      </c>
      <c r="CT149" s="23" t="e">
        <f>M149-K149</f>
        <v>#VALUE!</v>
      </c>
    </row>
    <row r="150" spans="1:1030" x14ac:dyDescent="0.2">
      <c r="A150" s="3" t="str">
        <f t="shared" si="559"/>
        <v>cxcr4_human__wt</v>
      </c>
      <c r="B150" s="3" t="s">
        <v>1172</v>
      </c>
      <c r="C150" s="3" t="s">
        <v>100</v>
      </c>
      <c r="D150" s="3" t="str">
        <f>IFERROR(MID(VLOOKUP($B150,Seqs!$A:$B,2,0),E150,1),"")</f>
        <v>R</v>
      </c>
      <c r="E150" s="3">
        <v>30</v>
      </c>
      <c r="F150" s="3" t="str">
        <f>IFERROR(MID(VLOOKUP($B150,Seqs!$A:$B,2,0),G150,1),"")</f>
        <v>Q</v>
      </c>
      <c r="G150" s="3">
        <v>66</v>
      </c>
      <c r="H150" s="3" t="str">
        <f>IFERROR(MID(VLOOKUP($B150,Seqs!$A:$B,2,0),I150,1),"")</f>
        <v>K</v>
      </c>
      <c r="I150" s="23">
        <v>67</v>
      </c>
      <c r="J150" s="3" t="str">
        <f>IFERROR(MID(VLOOKUP($B150,Seqs!$A:$B,2,0),K150,1),"")</f>
        <v>R</v>
      </c>
      <c r="K150" s="23">
        <v>70</v>
      </c>
      <c r="L150" s="3" t="str">
        <f>IFERROR(MID(VLOOKUP($B150,Seqs!$A:$B,2,0),M150,1),"")</f>
        <v>S</v>
      </c>
      <c r="M150" s="3">
        <v>71</v>
      </c>
      <c r="N150" s="3" t="str">
        <f>IFERROR(MID(VLOOKUP($B150,Seqs!$A:$B,2,0),O150,1),"")</f>
        <v>A</v>
      </c>
      <c r="O150" s="3">
        <v>100</v>
      </c>
      <c r="P150" s="3" t="str">
        <f>IFERROR(MID(VLOOKUP($B150,Seqs!$A:$B,2,0),Q150,1),"")</f>
        <v>N</v>
      </c>
      <c r="Q150" s="3">
        <v>101</v>
      </c>
      <c r="R150" s="3" t="str">
        <f>IFERROR(MID(VLOOKUP($B150,Seqs!$A:$B,2,0),S150,1),"")</f>
        <v>F</v>
      </c>
      <c r="S150" s="3">
        <v>104</v>
      </c>
      <c r="T150" s="3" t="str">
        <f>IFERROR(MID(VLOOKUP($B150,Seqs!$A:$B,2,0),U150,1),"")</f>
        <v>G</v>
      </c>
      <c r="U150" s="3">
        <v>105</v>
      </c>
      <c r="V150" s="3" t="str">
        <f>IFERROR(MID(VLOOKUP($B150,Seqs!$A:$B,2,0),W150,1),"")</f>
        <v>H</v>
      </c>
      <c r="W150" s="3">
        <v>140</v>
      </c>
      <c r="X150" s="3" t="str">
        <f>IFERROR(MID(VLOOKUP($B150,Seqs!$A:$B,2,0),Y150,1),"")</f>
        <v>A</v>
      </c>
      <c r="Y150" s="3">
        <v>141</v>
      </c>
      <c r="Z150" s="3" t="str">
        <f>IFERROR(MID(VLOOKUP($B150,Seqs!$A:$B,2,0),AA150,1),"")</f>
        <v>R</v>
      </c>
      <c r="AA150" s="3">
        <v>148</v>
      </c>
      <c r="AB150" s="3" t="str">
        <f>IFERROR(MID(VLOOKUP($B150,Seqs!$A:$B,2,0),AC150,1),"")</f>
        <v>K</v>
      </c>
      <c r="AC150" s="9">
        <v>149</v>
      </c>
      <c r="AD150" s="3" t="str">
        <f>IFERROR(MID(VLOOKUP($B150,Seqs!$A:$B,2,0),AE150,1),"")</f>
        <v>A</v>
      </c>
      <c r="AE150" s="3">
        <v>175</v>
      </c>
      <c r="AF150" s="3" t="str">
        <f>IFERROR(MID(VLOOKUP($B150,Seqs!$A:$B,2,0),AG150,1),"")</f>
        <v>C</v>
      </c>
      <c r="AG150" s="3">
        <v>186</v>
      </c>
      <c r="AH150" s="3" t="str">
        <f>IFERROR(MID(VLOOKUP($B150,Seqs!$A:$B,2,0),AI150,1),"")</f>
        <v>R</v>
      </c>
      <c r="AI150" s="3">
        <v>188</v>
      </c>
      <c r="AJ150" s="3" t="str">
        <f>IFERROR(MID(VLOOKUP($B150,Seqs!$A:$B,2,0),AK150,1),"")</f>
        <v>D</v>
      </c>
      <c r="AK150" s="3">
        <v>193</v>
      </c>
      <c r="AL150" s="3" t="str">
        <f>IFERROR(MID(VLOOKUP($B150,Seqs!$A:$B,2,0),AM150,1),"")</f>
        <v>S</v>
      </c>
      <c r="AM150" s="3">
        <v>229</v>
      </c>
      <c r="AN150" s="3" t="str">
        <f>IFERROR(MID(VLOOKUP($B150,Seqs!$A:$B,2,0),AO150,1),"")</f>
        <v>K</v>
      </c>
      <c r="AO150" s="3">
        <v>234</v>
      </c>
      <c r="AP150" s="3" t="str">
        <f>IFERROR(MID(VLOOKUP($B150,Seqs!$A:$B,2,0),AQ150,1),"")</f>
        <v>E</v>
      </c>
      <c r="AQ150" s="3">
        <v>268</v>
      </c>
      <c r="AR150" s="3" t="str">
        <f>IFERROR(MID(VLOOKUP($B150,Seqs!$A:$B,2,0),AS150,1),"")</f>
        <v>G</v>
      </c>
      <c r="AS150" s="3">
        <v>273</v>
      </c>
      <c r="AT150" s="3" t="str">
        <f>IFERROR(MID(VLOOKUP($B150,Seqs!$A:$B,2,0),AU150,1),"")</f>
        <v>L</v>
      </c>
      <c r="AU150" s="3">
        <v>305</v>
      </c>
      <c r="AV150" s="3" t="str">
        <f>IFERROR(MID(VLOOKUP($B150,Seqs!$A:$B,2,0),AW150,1),"")</f>
        <v>G</v>
      </c>
      <c r="AW150" s="3">
        <v>306</v>
      </c>
      <c r="AX150" s="3" t="str">
        <f>IFERROR(MID(VLOOKUP($B150,Seqs!$A:$B,2,0),AY150,1),"")</f>
        <v>T</v>
      </c>
      <c r="AY150" s="3">
        <v>318</v>
      </c>
      <c r="AZ150" s="77" t="str">
        <f>VLOOKUP(B150,Classification!A:D,2,0)</f>
        <v>A</v>
      </c>
      <c r="BA150" s="94" t="str">
        <f>VLOOKUP(B150,Classification!A:D,4,0)</f>
        <v>Chemokine</v>
      </c>
      <c r="BB150" s="27" t="b">
        <f t="shared" si="560"/>
        <v>1</v>
      </c>
      <c r="BC150" s="23">
        <f t="shared" ref="BC150:BC157" si="617">_xlfn.AGGREGATE(9,6,CH150:CS150)-_xlfn.AGGREGATE(9,6,BV150:CG150)+12</f>
        <v>267</v>
      </c>
      <c r="BD150" s="34" t="s">
        <v>1379</v>
      </c>
      <c r="BE150" s="3" t="s">
        <v>23</v>
      </c>
      <c r="BF150" s="119" t="s">
        <v>23</v>
      </c>
      <c r="BG150" s="49" t="s">
        <v>1379</v>
      </c>
      <c r="BH150" s="49" t="s">
        <v>1384</v>
      </c>
      <c r="BI150" s="1"/>
      <c r="BJ150" s="70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0">
        <f t="shared" ref="BV150:BV157" si="618">E150</f>
        <v>30</v>
      </c>
      <c r="BW150" s="71">
        <f t="shared" ref="BW150:BW157" si="619">I150</f>
        <v>67</v>
      </c>
      <c r="BX150" s="72">
        <f t="shared" ref="BX150:BX157" si="620">M150</f>
        <v>71</v>
      </c>
      <c r="BY150" s="71">
        <f t="shared" ref="BY150:BY157" si="621">Q150</f>
        <v>101</v>
      </c>
      <c r="BZ150" s="72">
        <f t="shared" ref="BZ150:BZ157" si="622">U150</f>
        <v>105</v>
      </c>
      <c r="CA150" s="71">
        <f t="shared" ref="CA150:CA157" si="623">Y150</f>
        <v>141</v>
      </c>
      <c r="CB150" s="72">
        <f t="shared" ref="CB150:CB157" si="624">AC150</f>
        <v>149</v>
      </c>
      <c r="CC150" s="71">
        <f t="shared" ref="CC150:CC157" si="625">AG150</f>
        <v>186</v>
      </c>
      <c r="CD150" s="72">
        <f t="shared" ref="CD150:CD157" si="626">AK150</f>
        <v>193</v>
      </c>
      <c r="CE150" s="71">
        <f t="shared" ref="CE150:CE157" si="627">AO150</f>
        <v>234</v>
      </c>
      <c r="CF150" s="72">
        <f t="shared" ref="CF150:CF157" si="628">AS150</f>
        <v>273</v>
      </c>
      <c r="CG150" s="71">
        <f t="shared" ref="CG150:CG157" si="629">AW150</f>
        <v>306</v>
      </c>
      <c r="CH150" s="70">
        <f t="shared" ref="CH150:CH157" si="630">G150</f>
        <v>66</v>
      </c>
      <c r="CI150" s="71">
        <f t="shared" ref="CI150:CI157" si="631">K150</f>
        <v>70</v>
      </c>
      <c r="CJ150" s="72">
        <f t="shared" ref="CJ150:CJ157" si="632">O150</f>
        <v>100</v>
      </c>
      <c r="CK150" s="72">
        <f t="shared" ref="CK150:CK157" si="633">S150</f>
        <v>104</v>
      </c>
      <c r="CL150" s="72">
        <f t="shared" ref="CL150:CL157" si="634">W150</f>
        <v>140</v>
      </c>
      <c r="CM150" s="72">
        <f t="shared" ref="CM150:CM157" si="635">AA150</f>
        <v>148</v>
      </c>
      <c r="CN150" s="72">
        <f t="shared" ref="CN150:CN157" si="636">AE150</f>
        <v>175</v>
      </c>
      <c r="CO150" s="72">
        <f t="shared" ref="CO150:CO157" si="637">AI150</f>
        <v>188</v>
      </c>
      <c r="CP150" s="72">
        <f t="shared" ref="CP150:CP157" si="638">AM150</f>
        <v>229</v>
      </c>
      <c r="CQ150" s="72">
        <f t="shared" ref="CQ150:CQ157" si="639">AQ150</f>
        <v>268</v>
      </c>
      <c r="CR150" s="72">
        <f t="shared" ref="CR150:CR157" si="640">AU150</f>
        <v>305</v>
      </c>
      <c r="CS150" s="72">
        <f t="shared" ref="CS150:CS157" si="641">AY150</f>
        <v>318</v>
      </c>
      <c r="CT150" s="23">
        <f t="shared" ref="CT150:CT157" si="642">M150-K150</f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si="559"/>
        <v>cxcr4_human_3ODU</v>
      </c>
      <c r="B151" s="3" t="s">
        <v>1172</v>
      </c>
      <c r="C151" s="3" t="s">
        <v>63</v>
      </c>
      <c r="D151" s="3" t="str">
        <f>IFERROR(MID(VLOOKUP($B151,Seqs!$A:$B,2,0),E151,1),"")</f>
        <v>A</v>
      </c>
      <c r="E151" s="3">
        <v>34</v>
      </c>
      <c r="F151" s="3" t="str">
        <f>IFERROR(MID(VLOOKUP($B151,Seqs!$A:$B,2,0),G151,1),"")</f>
        <v>Q</v>
      </c>
      <c r="G151" s="3">
        <v>66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71</v>
      </c>
      <c r="N151" s="3" t="str">
        <f>IFERROR(MID(VLOOKUP($B151,Seqs!$A:$B,2,0),O151,1),"")</f>
        <v>A</v>
      </c>
      <c r="O151" s="3">
        <v>100</v>
      </c>
      <c r="P151" s="3" t="str">
        <f>IFERROR(MID(VLOOKUP($B151,Seqs!$A:$B,2,0),Q151,1),"")</f>
        <v>N</v>
      </c>
      <c r="Q151" s="3">
        <v>101</v>
      </c>
      <c r="R151" s="3" t="str">
        <f>IFERROR(MID(VLOOKUP($B151,Seqs!$A:$B,2,0),S151,1),"")</f>
        <v>F</v>
      </c>
      <c r="S151" s="3">
        <v>104</v>
      </c>
      <c r="T151" s="3" t="str">
        <f>IFERROR(MID(VLOOKUP($B151,Seqs!$A:$B,2,0),U151,1),"")</f>
        <v>G</v>
      </c>
      <c r="U151" s="3">
        <v>105</v>
      </c>
      <c r="V151" s="3" t="str">
        <f>IFERROR(MID(VLOOKUP($B151,Seqs!$A:$B,2,0),W151,1),"")</f>
        <v>H</v>
      </c>
      <c r="W151" s="3">
        <v>140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S</v>
      </c>
      <c r="AC151" s="9">
        <v>144</v>
      </c>
      <c r="AD151" s="3" t="str">
        <f>IFERROR(MID(VLOOKUP($B151,Seqs!$A:$B,2,0),AE151,1),"")</f>
        <v>A</v>
      </c>
      <c r="AE151" s="3">
        <v>175</v>
      </c>
      <c r="AF151" s="3" t="str">
        <f>IFERROR(MID(VLOOKUP($B151,Seqs!$A:$B,2,0),AG151,1),"")</f>
        <v>C</v>
      </c>
      <c r="AG151" s="3">
        <v>186</v>
      </c>
      <c r="AH151" s="3" t="str">
        <f>IFERROR(MID(VLOOKUP($B151,Seqs!$A:$B,2,0),AI151,1),"")</f>
        <v>R</v>
      </c>
      <c r="AI151" s="3">
        <v>188</v>
      </c>
      <c r="AJ151" s="3" t="str">
        <f>IFERROR(MID(VLOOKUP($B151,Seqs!$A:$B,2,0),AK151,1),"")</f>
        <v>D</v>
      </c>
      <c r="AK151" s="3">
        <v>193</v>
      </c>
      <c r="AL151" s="3" t="str">
        <f>IFERROR(MID(VLOOKUP($B151,Seqs!$A:$B,2,0),AM151,1),"")</f>
        <v>K</v>
      </c>
      <c r="AM151" s="3">
        <v>225</v>
      </c>
      <c r="AN151" s="3" t="str">
        <f>IFERROR(MID(VLOOKUP($B151,Seqs!$A:$B,2,0),AO151,1),"")</f>
        <v>G</v>
      </c>
      <c r="AO151" s="3">
        <v>231</v>
      </c>
      <c r="AP151" s="3" t="str">
        <f>IFERROR(MID(VLOOKUP($B151,Seqs!$A:$B,2,0),AQ151,1),"")</f>
        <v>E</v>
      </c>
      <c r="AQ151" s="3">
        <v>268</v>
      </c>
      <c r="AR151" s="3" t="str">
        <f>IFERROR(MID(VLOOKUP($B151,Seqs!$A:$B,2,0),AS151,1),"")</f>
        <v>G</v>
      </c>
      <c r="AS151" s="3">
        <v>273</v>
      </c>
      <c r="AT151" s="3" t="str">
        <f>IFERROR(MID(VLOOKUP($B151,Seqs!$A:$B,2,0),AU151,1),"")</f>
        <v>I</v>
      </c>
      <c r="AU151" s="3">
        <v>300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 t="shared" si="560"/>
        <v>1</v>
      </c>
      <c r="BC151" s="23">
        <f t="shared" si="617"/>
        <v>240</v>
      </c>
      <c r="BD151" s="2" t="s">
        <v>1383</v>
      </c>
      <c r="BE151" s="3" t="s">
        <v>1381</v>
      </c>
      <c r="BF151" s="119">
        <v>2.5</v>
      </c>
      <c r="BG151" s="49" t="s">
        <v>1384</v>
      </c>
      <c r="BH151" s="49" t="s">
        <v>1384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 t="shared" si="618"/>
        <v>34</v>
      </c>
      <c r="BW151" s="71" t="str">
        <f t="shared" si="619"/>
        <v>-</v>
      </c>
      <c r="BX151" s="72">
        <f t="shared" si="620"/>
        <v>71</v>
      </c>
      <c r="BY151" s="71">
        <f t="shared" si="621"/>
        <v>101</v>
      </c>
      <c r="BZ151" s="72">
        <f t="shared" si="622"/>
        <v>105</v>
      </c>
      <c r="CA151" s="71" t="str">
        <f t="shared" si="623"/>
        <v>-</v>
      </c>
      <c r="CB151" s="72">
        <f t="shared" si="624"/>
        <v>144</v>
      </c>
      <c r="CC151" s="71">
        <f t="shared" si="625"/>
        <v>186</v>
      </c>
      <c r="CD151" s="72">
        <f t="shared" si="626"/>
        <v>193</v>
      </c>
      <c r="CE151" s="71">
        <f t="shared" si="627"/>
        <v>231</v>
      </c>
      <c r="CF151" s="72">
        <f t="shared" si="628"/>
        <v>273</v>
      </c>
      <c r="CG151" s="71" t="str">
        <f t="shared" si="629"/>
        <v>-</v>
      </c>
      <c r="CH151" s="70">
        <f t="shared" si="630"/>
        <v>66</v>
      </c>
      <c r="CI151" s="71" t="str">
        <f t="shared" si="631"/>
        <v>-</v>
      </c>
      <c r="CJ151" s="72">
        <f t="shared" si="632"/>
        <v>100</v>
      </c>
      <c r="CK151" s="72">
        <f t="shared" si="633"/>
        <v>104</v>
      </c>
      <c r="CL151" s="72">
        <f t="shared" si="634"/>
        <v>140</v>
      </c>
      <c r="CM151" s="72" t="str">
        <f t="shared" si="635"/>
        <v>-</v>
      </c>
      <c r="CN151" s="72">
        <f t="shared" si="636"/>
        <v>175</v>
      </c>
      <c r="CO151" s="72">
        <f t="shared" si="637"/>
        <v>188</v>
      </c>
      <c r="CP151" s="72">
        <f t="shared" si="638"/>
        <v>225</v>
      </c>
      <c r="CQ151" s="72">
        <f t="shared" si="639"/>
        <v>268</v>
      </c>
      <c r="CR151" s="72">
        <f t="shared" si="640"/>
        <v>300</v>
      </c>
      <c r="CS151" s="72" t="str">
        <f t="shared" si="641"/>
        <v>-</v>
      </c>
      <c r="CT151" s="23" t="e">
        <f t="shared" si="642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559"/>
        <v>cxcr4_human_3OE0</v>
      </c>
      <c r="B152" s="3" t="s">
        <v>1172</v>
      </c>
      <c r="C152" s="3" t="s">
        <v>1032</v>
      </c>
      <c r="D152" s="3" t="str">
        <f>IFERROR(MID(VLOOKUP($B152,Seqs!$A:$B,2,0),E152,1),"")</f>
        <v>A</v>
      </c>
      <c r="E152" s="3">
        <v>34</v>
      </c>
      <c r="F152" s="3" t="str">
        <f>IFERROR(MID(VLOOKUP($B152,Seqs!$A:$B,2,0),G152,1),"")</f>
        <v>Q</v>
      </c>
      <c r="G152" s="3">
        <v>66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S</v>
      </c>
      <c r="M152" s="3">
        <v>71</v>
      </c>
      <c r="N152" s="3" t="str">
        <f>IFERROR(MID(VLOOKUP($B152,Seqs!$A:$B,2,0),O152,1),"")</f>
        <v>A</v>
      </c>
      <c r="O152" s="3">
        <v>100</v>
      </c>
      <c r="P152" s="3" t="str">
        <f>IFERROR(MID(VLOOKUP($B152,Seqs!$A:$B,2,0),Q152,1),"")</f>
        <v>N</v>
      </c>
      <c r="Q152" s="3">
        <v>101</v>
      </c>
      <c r="R152" s="3" t="str">
        <f>IFERROR(MID(VLOOKUP($B152,Seqs!$A:$B,2,0),S152,1),"")</f>
        <v>F</v>
      </c>
      <c r="S152" s="3">
        <v>104</v>
      </c>
      <c r="T152" s="3" t="str">
        <f>IFERROR(MID(VLOOKUP($B152,Seqs!$A:$B,2,0),U152,1),"")</f>
        <v>G</v>
      </c>
      <c r="U152" s="3">
        <v>105</v>
      </c>
      <c r="V152" s="3" t="str">
        <f>IFERROR(MID(VLOOKUP($B152,Seqs!$A:$B,2,0),W152,1),"")</f>
        <v>H</v>
      </c>
      <c r="W152" s="3">
        <v>140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S</v>
      </c>
      <c r="AC152" s="9">
        <v>144</v>
      </c>
      <c r="AD152" s="3" t="str">
        <f>IFERROR(MID(VLOOKUP($B152,Seqs!$A:$B,2,0),AE152,1),"")</f>
        <v>A</v>
      </c>
      <c r="AE152" s="3">
        <v>175</v>
      </c>
      <c r="AF152" s="3" t="str">
        <f>IFERROR(MID(VLOOKUP($B152,Seqs!$A:$B,2,0),AG152,1),"")</f>
        <v>C</v>
      </c>
      <c r="AG152" s="3">
        <v>186</v>
      </c>
      <c r="AH152" s="3" t="str">
        <f>IFERROR(MID(VLOOKUP($B152,Seqs!$A:$B,2,0),AI152,1),"")</f>
        <v>R</v>
      </c>
      <c r="AI152" s="3">
        <v>188</v>
      </c>
      <c r="AJ152" s="3" t="str">
        <f>IFERROR(MID(VLOOKUP($B152,Seqs!$A:$B,2,0),AK152,1),"")</f>
        <v>D</v>
      </c>
      <c r="AK152" s="3">
        <v>193</v>
      </c>
      <c r="AL152" s="3" t="str">
        <f>IFERROR(MID(VLOOKUP($B152,Seqs!$A:$B,2,0),AM152,1),"")</f>
        <v>H</v>
      </c>
      <c r="AM152" s="3">
        <v>228</v>
      </c>
      <c r="AN152" s="3" t="str">
        <f>IFERROR(MID(VLOOKUP($B152,Seqs!$A:$B,2,0),AO152,1),"")</f>
        <v>K</v>
      </c>
      <c r="AO152" s="3">
        <v>239</v>
      </c>
      <c r="AP152" s="3" t="str">
        <f>IFERROR(MID(VLOOKUP($B152,Seqs!$A:$B,2,0),AQ152,1),"")</f>
        <v>E</v>
      </c>
      <c r="AQ152" s="3">
        <v>268</v>
      </c>
      <c r="AR152" s="3" t="str">
        <f>IFERROR(MID(VLOOKUP($B152,Seqs!$A:$B,2,0),AS152,1),"")</f>
        <v>G</v>
      </c>
      <c r="AS152" s="3">
        <v>273</v>
      </c>
      <c r="AT152" s="3" t="str">
        <f>IFERROR(MID(VLOOKUP($B152,Seqs!$A:$B,2,0),AU152,1),"")</f>
        <v>I</v>
      </c>
      <c r="AU152" s="3">
        <v>300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560"/>
        <v>1</v>
      </c>
      <c r="BC152" s="23">
        <f t="shared" si="617"/>
        <v>235</v>
      </c>
      <c r="BD152" s="4" t="s">
        <v>23</v>
      </c>
      <c r="BE152" s="3" t="s">
        <v>1381</v>
      </c>
      <c r="BF152" s="119">
        <v>2.9</v>
      </c>
      <c r="BG152" s="49" t="s">
        <v>1384</v>
      </c>
      <c r="BH152" s="49" t="s">
        <v>1384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si="618"/>
        <v>34</v>
      </c>
      <c r="BW152" s="71" t="str">
        <f t="shared" si="619"/>
        <v>-</v>
      </c>
      <c r="BX152" s="72">
        <f t="shared" si="620"/>
        <v>71</v>
      </c>
      <c r="BY152" s="71">
        <f t="shared" si="621"/>
        <v>101</v>
      </c>
      <c r="BZ152" s="72">
        <f t="shared" si="622"/>
        <v>105</v>
      </c>
      <c r="CA152" s="71" t="str">
        <f t="shared" si="623"/>
        <v>-</v>
      </c>
      <c r="CB152" s="72">
        <f t="shared" si="624"/>
        <v>144</v>
      </c>
      <c r="CC152" s="71">
        <f t="shared" si="625"/>
        <v>186</v>
      </c>
      <c r="CD152" s="72">
        <f t="shared" si="626"/>
        <v>193</v>
      </c>
      <c r="CE152" s="71">
        <f t="shared" si="627"/>
        <v>239</v>
      </c>
      <c r="CF152" s="72">
        <f t="shared" si="628"/>
        <v>273</v>
      </c>
      <c r="CG152" s="71" t="str">
        <f t="shared" si="629"/>
        <v>-</v>
      </c>
      <c r="CH152" s="70">
        <f t="shared" si="630"/>
        <v>66</v>
      </c>
      <c r="CI152" s="71" t="str">
        <f t="shared" si="631"/>
        <v>-</v>
      </c>
      <c r="CJ152" s="72">
        <f t="shared" si="632"/>
        <v>100</v>
      </c>
      <c r="CK152" s="72">
        <f t="shared" si="633"/>
        <v>104</v>
      </c>
      <c r="CL152" s="72">
        <f t="shared" si="634"/>
        <v>140</v>
      </c>
      <c r="CM152" s="72" t="str">
        <f t="shared" si="635"/>
        <v>-</v>
      </c>
      <c r="CN152" s="72">
        <f t="shared" si="636"/>
        <v>175</v>
      </c>
      <c r="CO152" s="72">
        <f t="shared" si="637"/>
        <v>188</v>
      </c>
      <c r="CP152" s="72">
        <f t="shared" si="638"/>
        <v>228</v>
      </c>
      <c r="CQ152" s="72">
        <f t="shared" si="639"/>
        <v>268</v>
      </c>
      <c r="CR152" s="72">
        <f t="shared" si="640"/>
        <v>300</v>
      </c>
      <c r="CS152" s="72" t="str">
        <f t="shared" si="641"/>
        <v>-</v>
      </c>
      <c r="CT152" s="23" t="e">
        <f t="shared" si="64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559"/>
        <v>cxcr4_human_4RWS</v>
      </c>
      <c r="B153" s="3" t="s">
        <v>1172</v>
      </c>
      <c r="C153" s="3" t="s">
        <v>1053</v>
      </c>
      <c r="D153" s="3" t="str">
        <f>IFERROR(MID(VLOOKUP($B153,Seqs!$A:$B,2,0),E153,1),"")</f>
        <v>R</v>
      </c>
      <c r="E153" s="3">
        <v>30</v>
      </c>
      <c r="F153" s="3" t="str">
        <f>IFERROR(MID(VLOOKUP($B153,Seqs!$A:$B,2,0),G153,1),"")</f>
        <v>Q</v>
      </c>
      <c r="G153" s="3">
        <v>66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71</v>
      </c>
      <c r="N153" s="3" t="str">
        <f>IFERROR(MID(VLOOKUP($B153,Seqs!$A:$B,2,0),O153,1),"")</f>
        <v>A</v>
      </c>
      <c r="O153" s="3">
        <v>100</v>
      </c>
      <c r="P153" s="3" t="str">
        <f>IFERROR(MID(VLOOKUP($B153,Seqs!$A:$B,2,0),Q153,1),"")</f>
        <v>N</v>
      </c>
      <c r="Q153" s="3">
        <v>101</v>
      </c>
      <c r="R153" s="3" t="str">
        <f>IFERROR(MID(VLOOKUP($B153,Seqs!$A:$B,2,0),S153,1),"")</f>
        <v>F</v>
      </c>
      <c r="S153" s="3">
        <v>104</v>
      </c>
      <c r="T153" s="3" t="str">
        <f>IFERROR(MID(VLOOKUP($B153,Seqs!$A:$B,2,0),U153,1),"")</f>
        <v>G</v>
      </c>
      <c r="U153" s="3">
        <v>105</v>
      </c>
      <c r="V153" s="3" t="str">
        <f>IFERROR(MID(VLOOKUP($B153,Seqs!$A:$B,2,0),W153,1),"")</f>
        <v>H</v>
      </c>
      <c r="W153" s="3">
        <v>140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S</v>
      </c>
      <c r="AC153" s="9">
        <v>144</v>
      </c>
      <c r="AD153" s="3" t="str">
        <f>IFERROR(MID(VLOOKUP($B153,Seqs!$A:$B,2,0),AE153,1),"")</f>
        <v>A</v>
      </c>
      <c r="AE153" s="3">
        <v>175</v>
      </c>
      <c r="AF153" s="3" t="str">
        <f>IFERROR(MID(VLOOKUP($B153,Seqs!$A:$B,2,0),AG153,1),"")</f>
        <v>C</v>
      </c>
      <c r="AG153" s="3">
        <v>186</v>
      </c>
      <c r="AH153" s="3" t="str">
        <f>IFERROR(MID(VLOOKUP($B153,Seqs!$A:$B,2,0),AI153,1),"")</f>
        <v>R</v>
      </c>
      <c r="AI153" s="3">
        <v>188</v>
      </c>
      <c r="AJ153" s="3" t="str">
        <f>IFERROR(MID(VLOOKUP($B153,Seqs!$A:$B,2,0),AK153,1),"")</f>
        <v>D</v>
      </c>
      <c r="AK153" s="3">
        <v>193</v>
      </c>
      <c r="AL153" s="3" t="str">
        <f>IFERROR(MID(VLOOKUP($B153,Seqs!$A:$B,2,0),AM153,1),"")</f>
        <v>S</v>
      </c>
      <c r="AM153" s="3">
        <v>227</v>
      </c>
      <c r="AN153" s="3" t="str">
        <f>IFERROR(MID(VLOOKUP($B153,Seqs!$A:$B,2,0),AO153,1),"")</f>
        <v>K</v>
      </c>
      <c r="AO153" s="3">
        <v>239</v>
      </c>
      <c r="AP153" s="3" t="str">
        <f>IFERROR(MID(VLOOKUP($B153,Seqs!$A:$B,2,0),AQ153,1),"")</f>
        <v>E</v>
      </c>
      <c r="AQ153" s="3">
        <v>268</v>
      </c>
      <c r="AR153" s="3" t="str">
        <f>IFERROR(MID(VLOOKUP($B153,Seqs!$A:$B,2,0),AS153,1),"")</f>
        <v>G</v>
      </c>
      <c r="AS153" s="3">
        <v>273</v>
      </c>
      <c r="AT153" s="3" t="str">
        <f>IFERROR(MID(VLOOKUP($B153,Seqs!$A:$B,2,0),AU153,1),"")</f>
        <v>I</v>
      </c>
      <c r="AU153" s="3">
        <v>300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 t="shared" si="560"/>
        <v>1</v>
      </c>
      <c r="BC153" s="23">
        <f t="shared" si="617"/>
        <v>238</v>
      </c>
      <c r="BD153" s="5" t="s">
        <v>23</v>
      </c>
      <c r="BE153" s="3" t="s">
        <v>1381</v>
      </c>
      <c r="BF153" s="119">
        <v>3.1</v>
      </c>
      <c r="BG153" s="49" t="s">
        <v>1384</v>
      </c>
      <c r="BH153" s="49" t="s">
        <v>1384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 t="shared" si="618"/>
        <v>30</v>
      </c>
      <c r="BW153" s="71" t="str">
        <f t="shared" si="619"/>
        <v>-</v>
      </c>
      <c r="BX153" s="72">
        <f t="shared" si="620"/>
        <v>71</v>
      </c>
      <c r="BY153" s="71">
        <f t="shared" si="621"/>
        <v>101</v>
      </c>
      <c r="BZ153" s="72">
        <f t="shared" si="622"/>
        <v>105</v>
      </c>
      <c r="CA153" s="71" t="str">
        <f t="shared" si="623"/>
        <v>-</v>
      </c>
      <c r="CB153" s="72">
        <f t="shared" si="624"/>
        <v>144</v>
      </c>
      <c r="CC153" s="71">
        <f t="shared" si="625"/>
        <v>186</v>
      </c>
      <c r="CD153" s="72">
        <f t="shared" si="626"/>
        <v>193</v>
      </c>
      <c r="CE153" s="71">
        <f t="shared" si="627"/>
        <v>239</v>
      </c>
      <c r="CF153" s="72">
        <f t="shared" si="628"/>
        <v>273</v>
      </c>
      <c r="CG153" s="71" t="str">
        <f t="shared" si="629"/>
        <v>-</v>
      </c>
      <c r="CH153" s="70">
        <f t="shared" si="630"/>
        <v>66</v>
      </c>
      <c r="CI153" s="71" t="str">
        <f t="shared" si="631"/>
        <v>-</v>
      </c>
      <c r="CJ153" s="72">
        <f t="shared" si="632"/>
        <v>100</v>
      </c>
      <c r="CK153" s="72">
        <f t="shared" si="633"/>
        <v>104</v>
      </c>
      <c r="CL153" s="72">
        <f t="shared" si="634"/>
        <v>140</v>
      </c>
      <c r="CM153" s="72" t="str">
        <f t="shared" si="635"/>
        <v>-</v>
      </c>
      <c r="CN153" s="72">
        <f t="shared" si="636"/>
        <v>175</v>
      </c>
      <c r="CO153" s="72">
        <f t="shared" si="637"/>
        <v>188</v>
      </c>
      <c r="CP153" s="72">
        <f t="shared" si="638"/>
        <v>227</v>
      </c>
      <c r="CQ153" s="72">
        <f t="shared" si="639"/>
        <v>268</v>
      </c>
      <c r="CR153" s="72">
        <f t="shared" si="640"/>
        <v>300</v>
      </c>
      <c r="CS153" s="72" t="str">
        <f t="shared" si="641"/>
        <v>-</v>
      </c>
      <c r="CT153" s="23" t="e">
        <f t="shared" si="642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>CONCATENATE(B154,"_",C154)</f>
        <v>drd2_human__wt</v>
      </c>
      <c r="B154" s="3" t="s">
        <v>191</v>
      </c>
      <c r="C154" s="3" t="s">
        <v>100</v>
      </c>
      <c r="D154" s="3" t="str">
        <f>IFERROR(MID(VLOOKUP($B154,Seqs!$A:$B,2,0),E154,1),"")</f>
        <v>R</v>
      </c>
      <c r="E154" s="3">
        <v>31</v>
      </c>
      <c r="F154" s="3" t="str">
        <f>IFERROR(MID(VLOOKUP($B154,Seqs!$A:$B,2,0),G154,1),"")</f>
        <v>E</v>
      </c>
      <c r="G154" s="3">
        <v>62</v>
      </c>
      <c r="H154" s="3" t="str">
        <f>IFERROR(MID(VLOOKUP($B154,Seqs!$A:$B,2,0),I154,1),"")</f>
        <v>K</v>
      </c>
      <c r="I154" s="23">
        <v>63</v>
      </c>
      <c r="J154" s="3" t="str">
        <f>IFERROR(MID(VLOOKUP($B154,Seqs!$A:$B,2,0),K154,1),"")</f>
        <v>Q</v>
      </c>
      <c r="K154" s="23">
        <v>66</v>
      </c>
      <c r="L154" s="3" t="str">
        <f>IFERROR(MID(VLOOKUP($B154,Seqs!$A:$B,2,0),M154,1),"")</f>
        <v>T</v>
      </c>
      <c r="M154" s="3">
        <v>67</v>
      </c>
      <c r="N154" s="3" t="str">
        <f>IFERROR(MID(VLOOKUP($B154,Seqs!$A:$B,2,0),O154,1),"")</f>
        <v>G</v>
      </c>
      <c r="O154" s="3">
        <v>98</v>
      </c>
      <c r="P154" s="3" t="str">
        <f>IFERROR(MID(VLOOKUP($B154,Seqs!$A:$B,2,0),Q154,1),"")</f>
        <v>E</v>
      </c>
      <c r="Q154" s="3">
        <v>99</v>
      </c>
      <c r="R154" s="3" t="str">
        <f>IFERROR(MID(VLOOKUP($B154,Seqs!$A:$B,2,0),S154,1),"")</f>
        <v>F</v>
      </c>
      <c r="S154" s="3">
        <v>102</v>
      </c>
      <c r="T154" s="3" t="str">
        <f>IFERROR(MID(VLOOKUP($B154,Seqs!$A:$B,2,0),U154,1),"")</f>
        <v>S</v>
      </c>
      <c r="U154" s="3">
        <v>103</v>
      </c>
      <c r="V154" s="3" t="str">
        <f>IFERROR(MID(VLOOKUP($B154,Seqs!$A:$B,2,0),W154,1),"")</f>
        <v>M</v>
      </c>
      <c r="W154" s="3">
        <v>138</v>
      </c>
      <c r="X154" s="3" t="str">
        <f>IFERROR(MID(VLOOKUP($B154,Seqs!$A:$B,2,0),Y154,1),"")</f>
        <v>P</v>
      </c>
      <c r="Y154" s="3">
        <v>139</v>
      </c>
      <c r="Z154" s="3" t="str">
        <f>IFERROR(MID(VLOOKUP($B154,Seqs!$A:$B,2,0),AA154,1),"")</f>
        <v>S</v>
      </c>
      <c r="AA154" s="3">
        <v>147</v>
      </c>
      <c r="AB154" s="3" t="str">
        <f>IFERROR(MID(VLOOKUP($B154,Seqs!$A:$B,2,0),AC154,1),"")</f>
        <v>S</v>
      </c>
      <c r="AC154" s="3">
        <v>148</v>
      </c>
      <c r="AD154" s="3" t="str">
        <f>IFERROR(MID(VLOOKUP($B154,Seqs!$A:$B,2,0),AE154,1),"")</f>
        <v>F</v>
      </c>
      <c r="AE154" s="3">
        <v>172</v>
      </c>
      <c r="AF154" s="3" t="str">
        <f>IFERROR(MID(VLOOKUP($B154,Seqs!$A:$B,2,0),AG154,1),"")</f>
        <v>C</v>
      </c>
      <c r="AG154" s="3">
        <v>182</v>
      </c>
      <c r="AH154" s="3" t="str">
        <f>IFERROR(MID(VLOOKUP($B154,Seqs!$A:$B,2,0),AI154,1),"")</f>
        <v>I</v>
      </c>
      <c r="AI154" s="3">
        <v>184</v>
      </c>
      <c r="AJ154" s="3" t="str">
        <f>IFERROR(MID(VLOOKUP($B154,Seqs!$A:$B,2,0),AK154,1),"")</f>
        <v>N</v>
      </c>
      <c r="AK154" s="3">
        <v>186</v>
      </c>
      <c r="AL154" s="3" t="str">
        <f>IFERROR(MID(VLOOKUP($B154,Seqs!$A:$B,2,0),AM154,1),"")</f>
        <v>K</v>
      </c>
      <c r="AM154" s="3">
        <v>226</v>
      </c>
      <c r="AN154" s="3" t="str">
        <f>IFERROR(MID(VLOOKUP($B154,Seqs!$A:$B,2,0),AO154,1),"")</f>
        <v>K</v>
      </c>
      <c r="AO154" s="3">
        <v>362</v>
      </c>
      <c r="AP154" s="3" t="str">
        <f>IFERROR(MID(VLOOKUP($B154,Seqs!$A:$B,2,0),AQ154,1),"")</f>
        <v>C</v>
      </c>
      <c r="AQ154" s="3">
        <v>399</v>
      </c>
      <c r="AR154" s="3" t="str">
        <f>IFERROR(MID(VLOOKUP($B154,Seqs!$A:$B,2,0),AS154,1),"")</f>
        <v>P</v>
      </c>
      <c r="AS154" s="3">
        <v>404</v>
      </c>
      <c r="AT154" s="3" t="str">
        <f>IFERROR(MID(VLOOKUP($B154,Seqs!$A:$B,2,0),AU154,1),"")</f>
        <v>F</v>
      </c>
      <c r="AU154" s="3">
        <v>429</v>
      </c>
      <c r="AV154" s="3" t="str">
        <f>IFERROR(MID(VLOOKUP($B154,Seqs!$A:$B,2,0),AW154,1),"")</f>
        <v>N</v>
      </c>
      <c r="AW154" s="3">
        <v>430</v>
      </c>
      <c r="AX154" s="3" t="str">
        <f>IFERROR(MID(VLOOKUP($B154,Seqs!$A:$B,2,0),AY154,1),"")</f>
        <v>H</v>
      </c>
      <c r="AY154" s="3">
        <v>442</v>
      </c>
      <c r="AZ154" s="77" t="str">
        <f>VLOOKUP(B154,Classification!A:D,2,0)</f>
        <v>A</v>
      </c>
      <c r="BA154" s="94" t="str">
        <f>VLOOKUP(B154,Classification!A:D,4,0)</f>
        <v>Dopamine</v>
      </c>
      <c r="BB154" s="27" t="b">
        <f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23">
        <f>_xlfn.AGGREGATE(9,6,CH154:CS154)-_xlfn.AGGREGATE(9,6,BV154:CG154)+12</f>
        <v>263</v>
      </c>
      <c r="BD154" s="56" t="s">
        <v>1379</v>
      </c>
      <c r="BE154" s="3" t="s">
        <v>23</v>
      </c>
      <c r="BF154" s="119" t="s">
        <v>23</v>
      </c>
      <c r="BG154" s="49" t="s">
        <v>1379</v>
      </c>
      <c r="BH154" s="49" t="s">
        <v>1384</v>
      </c>
      <c r="BI154" s="1"/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>E154</f>
        <v>31</v>
      </c>
      <c r="BW154" s="71">
        <f>I154</f>
        <v>63</v>
      </c>
      <c r="BX154" s="72">
        <f>M154</f>
        <v>67</v>
      </c>
      <c r="BY154" s="71">
        <f>Q154</f>
        <v>99</v>
      </c>
      <c r="BZ154" s="72">
        <f>U154</f>
        <v>103</v>
      </c>
      <c r="CA154" s="71">
        <f>Y154</f>
        <v>139</v>
      </c>
      <c r="CB154" s="72">
        <f>AC154</f>
        <v>148</v>
      </c>
      <c r="CC154" s="71">
        <f>AG154</f>
        <v>182</v>
      </c>
      <c r="CD154" s="72">
        <f>AK154</f>
        <v>186</v>
      </c>
      <c r="CE154" s="71">
        <f>AO154</f>
        <v>362</v>
      </c>
      <c r="CF154" s="72">
        <f>AS154</f>
        <v>404</v>
      </c>
      <c r="CG154" s="71">
        <f>AW154</f>
        <v>430</v>
      </c>
      <c r="CH154" s="70">
        <f>G154</f>
        <v>62</v>
      </c>
      <c r="CI154" s="71">
        <f>K154</f>
        <v>66</v>
      </c>
      <c r="CJ154" s="72">
        <f>O154</f>
        <v>98</v>
      </c>
      <c r="CK154" s="72">
        <f>S154</f>
        <v>102</v>
      </c>
      <c r="CL154" s="72">
        <f>W154</f>
        <v>138</v>
      </c>
      <c r="CM154" s="72">
        <f>AA154</f>
        <v>147</v>
      </c>
      <c r="CN154" s="72">
        <f>AE154</f>
        <v>172</v>
      </c>
      <c r="CO154" s="72">
        <f>AI154</f>
        <v>184</v>
      </c>
      <c r="CP154" s="72">
        <f>AM154</f>
        <v>226</v>
      </c>
      <c r="CQ154" s="72">
        <f>AQ154</f>
        <v>399</v>
      </c>
      <c r="CR154" s="72">
        <f>AU154</f>
        <v>429</v>
      </c>
      <c r="CS154" s="72">
        <f>AY154</f>
        <v>442</v>
      </c>
      <c r="CT154" s="23">
        <f>M154-K154</f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>CONCATENATE(B155,"_",C155)</f>
        <v>drd2_human_6CM4</v>
      </c>
      <c r="B155" s="3" t="s">
        <v>191</v>
      </c>
      <c r="C155" s="3" t="s">
        <v>1489</v>
      </c>
      <c r="D155" s="3" t="str">
        <f>IFERROR(MID(VLOOKUP($B155,Seqs!$A:$B,2,0),E155,1),"")</f>
        <v>N</v>
      </c>
      <c r="E155" s="3">
        <v>35</v>
      </c>
      <c r="F155" s="3" t="str">
        <f>IFERROR(MID(VLOOKUP($B155,Seqs!$A:$B,2,0),G155,1),"")</f>
        <v>E</v>
      </c>
      <c r="G155" s="3">
        <v>62</v>
      </c>
      <c r="H155" s="3" t="str">
        <f>IFERROR(MID(VLOOKUP($B155,Seqs!$A:$B,2,0),I155,1),"")</f>
        <v>K</v>
      </c>
      <c r="I155" s="23">
        <v>63</v>
      </c>
      <c r="J155" s="3" t="str">
        <f>IFERROR(MID(VLOOKUP($B155,Seqs!$A:$B,2,0),K155,1),"")</f>
        <v>Q</v>
      </c>
      <c r="K155" s="23">
        <v>66</v>
      </c>
      <c r="L155" s="3" t="str">
        <f>IFERROR(MID(VLOOKUP($B155,Seqs!$A:$B,2,0),M155,1),"")</f>
        <v>T</v>
      </c>
      <c r="M155" s="3">
        <v>67</v>
      </c>
      <c r="N155" s="3" t="str">
        <f>IFERROR(MID(VLOOKUP($B155,Seqs!$A:$B,2,0),O155,1),"")</f>
        <v>G</v>
      </c>
      <c r="O155" s="3">
        <v>98</v>
      </c>
      <c r="P155" s="3" t="str">
        <f>IFERROR(MID(VLOOKUP($B155,Seqs!$A:$B,2,0),Q155,1),"")</f>
        <v>E</v>
      </c>
      <c r="Q155" s="3">
        <v>99</v>
      </c>
      <c r="R155" s="3" t="str">
        <f>IFERROR(MID(VLOOKUP($B155,Seqs!$A:$B,2,0),S155,1),"")</f>
        <v>F</v>
      </c>
      <c r="S155" s="3">
        <v>102</v>
      </c>
      <c r="T155" s="3" t="str">
        <f>IFERROR(MID(VLOOKUP($B155,Seqs!$A:$B,2,0),U155,1),"")</f>
        <v>S</v>
      </c>
      <c r="U155" s="3">
        <v>103</v>
      </c>
      <c r="V155" s="3" t="str">
        <f>IFERROR(MID(VLOOKUP($B155,Seqs!$A:$B,2,0),W155,1),"")</f>
        <v>M</v>
      </c>
      <c r="W155" s="3">
        <v>138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Y</v>
      </c>
      <c r="AC155" s="3">
        <v>146</v>
      </c>
      <c r="AD155" s="3" t="str">
        <f>IFERROR(MID(VLOOKUP($B155,Seqs!$A:$B,2,0),AE155,1),"")</f>
        <v>F</v>
      </c>
      <c r="AE155" s="3">
        <v>172</v>
      </c>
      <c r="AF155" s="3" t="str">
        <f>IFERROR(MID(VLOOKUP($B155,Seqs!$A:$B,2,0),AG155,1),"")</f>
        <v>C</v>
      </c>
      <c r="AG155" s="3">
        <v>182</v>
      </c>
      <c r="AH155" s="3" t="str">
        <f>IFERROR(MID(VLOOKUP($B155,Seqs!$A:$B,2,0),AI155,1),"")</f>
        <v>I</v>
      </c>
      <c r="AI155" s="3">
        <v>184</v>
      </c>
      <c r="AJ155" s="3" t="str">
        <f>IFERROR(MID(VLOOKUP($B155,Seqs!$A:$B,2,0),AK155,1),"")</f>
        <v>A</v>
      </c>
      <c r="AK155" s="3">
        <v>188</v>
      </c>
      <c r="AL155" s="3" t="str">
        <f>IFERROR(MID(VLOOKUP($B155,Seqs!$A:$B,2,0),AM155,1),"")</f>
        <v>R</v>
      </c>
      <c r="AM155" s="3">
        <v>222</v>
      </c>
      <c r="AN155" s="3" t="str">
        <f>IFERROR(MID(VLOOKUP($B155,Seqs!$A:$B,2,0),AO155,1),"")</f>
        <v>E</v>
      </c>
      <c r="AO155" s="3">
        <v>368</v>
      </c>
      <c r="AP155" s="3" t="str">
        <f>IFERROR(MID(VLOOKUP($B155,Seqs!$A:$B,2,0),AQ155,1),"")</f>
        <v>C</v>
      </c>
      <c r="AQ155" s="3">
        <v>399</v>
      </c>
      <c r="AR155" s="3" t="str">
        <f>IFERROR(MID(VLOOKUP($B155,Seqs!$A:$B,2,0),AS155,1),"")</f>
        <v>P</v>
      </c>
      <c r="AS155" s="3">
        <v>404</v>
      </c>
      <c r="AT155" s="3" t="str">
        <f>IFERROR(MID(VLOOKUP($B155,Seqs!$A:$B,2,0),AU155,1),"")</f>
        <v>F</v>
      </c>
      <c r="AU155" s="3">
        <v>429</v>
      </c>
      <c r="AV155" s="3" t="str">
        <f>IFERROR(MID(VLOOKUP($B155,Seqs!$A:$B,2,0),AW155,1),"")</f>
        <v>N</v>
      </c>
      <c r="AW155" s="3">
        <v>430</v>
      </c>
      <c r="AX155" s="3" t="str">
        <f>IFERROR(MID(VLOOKUP($B155,Seqs!$A:$B,2,0),AY155,1),"")</f>
        <v>H</v>
      </c>
      <c r="AY155" s="3">
        <v>442</v>
      </c>
      <c r="AZ155" s="77" t="str">
        <f>VLOOKUP(B155,Classification!A:D,2,0)</f>
        <v>A</v>
      </c>
      <c r="BA155" s="94" t="str">
        <f>VLOOKUP(B155,Classification!A:D,4,0)</f>
        <v>Dopamine</v>
      </c>
      <c r="BB155" s="27" t="b">
        <f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>_xlfn.AGGREGATE(9,6,CH155:CS155)-_xlfn.AGGREGATE(9,6,BV155:CG155)+12</f>
        <v>241</v>
      </c>
      <c r="BD155" s="56" t="s">
        <v>1383</v>
      </c>
      <c r="BE155" s="3" t="s">
        <v>1381</v>
      </c>
      <c r="BF155" s="119">
        <v>2.87</v>
      </c>
      <c r="BG155" s="49" t="s">
        <v>1</v>
      </c>
      <c r="BH155" s="49" t="s">
        <v>1</v>
      </c>
      <c r="BI155" s="1"/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>E155</f>
        <v>35</v>
      </c>
      <c r="BW155" s="71">
        <f>I155</f>
        <v>63</v>
      </c>
      <c r="BX155" s="72">
        <f>M155</f>
        <v>67</v>
      </c>
      <c r="BY155" s="71">
        <f>Q155</f>
        <v>99</v>
      </c>
      <c r="BZ155" s="72">
        <f>U155</f>
        <v>103</v>
      </c>
      <c r="CA155" s="71" t="str">
        <f>Y155</f>
        <v>-</v>
      </c>
      <c r="CB155" s="72">
        <f>AC155</f>
        <v>146</v>
      </c>
      <c r="CC155" s="71">
        <f>AG155</f>
        <v>182</v>
      </c>
      <c r="CD155" s="72">
        <f>AK155</f>
        <v>188</v>
      </c>
      <c r="CE155" s="71">
        <f>AO155</f>
        <v>368</v>
      </c>
      <c r="CF155" s="72">
        <f>AS155</f>
        <v>404</v>
      </c>
      <c r="CG155" s="71">
        <f>AW155</f>
        <v>430</v>
      </c>
      <c r="CH155" s="70">
        <f>G155</f>
        <v>62</v>
      </c>
      <c r="CI155" s="71">
        <f>K155</f>
        <v>66</v>
      </c>
      <c r="CJ155" s="72">
        <f>O155</f>
        <v>98</v>
      </c>
      <c r="CK155" s="72">
        <f>S155</f>
        <v>102</v>
      </c>
      <c r="CL155" s="72">
        <f>W155</f>
        <v>138</v>
      </c>
      <c r="CM155" s="72" t="str">
        <f>AA155</f>
        <v>-</v>
      </c>
      <c r="CN155" s="72">
        <f>AE155</f>
        <v>172</v>
      </c>
      <c r="CO155" s="72">
        <f>AI155</f>
        <v>184</v>
      </c>
      <c r="CP155" s="72">
        <f>AM155</f>
        <v>222</v>
      </c>
      <c r="CQ155" s="72">
        <f>AQ155</f>
        <v>399</v>
      </c>
      <c r="CR155" s="72">
        <f>AU155</f>
        <v>429</v>
      </c>
      <c r="CS155" s="72">
        <f>AY155</f>
        <v>442</v>
      </c>
      <c r="CT155" s="23">
        <f>M155-K155</f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si="559"/>
        <v>drd3_human__wt</v>
      </c>
      <c r="B156" s="3" t="s">
        <v>192</v>
      </c>
      <c r="C156" s="3" t="s">
        <v>100</v>
      </c>
      <c r="D156" s="3" t="str">
        <f>IFERROR(MID(VLOOKUP($B156,Seqs!$A:$B,2,0),E156,1),"")</f>
        <v>A</v>
      </c>
      <c r="E156" s="3">
        <v>26</v>
      </c>
      <c r="F156" s="3" t="str">
        <f>IFERROR(MID(VLOOKUP($B156,Seqs!$A:$B,2,0),G156,1),"")</f>
        <v>E</v>
      </c>
      <c r="G156" s="3">
        <v>57</v>
      </c>
      <c r="H156" s="3" t="str">
        <f>IFERROR(MID(VLOOKUP($B156,Seqs!$A:$B,2,0),I156,1),"")</f>
        <v>R</v>
      </c>
      <c r="I156" s="23">
        <v>58</v>
      </c>
      <c r="J156" s="3" t="str">
        <f>IFERROR(MID(VLOOKUP($B156,Seqs!$A:$B,2,0),K156,1),"")</f>
        <v>Q</v>
      </c>
      <c r="K156" s="23">
        <v>61</v>
      </c>
      <c r="L156" s="3" t="str">
        <f>IFERROR(MID(VLOOKUP($B156,Seqs!$A:$B,2,0),M156,1),"")</f>
        <v>T</v>
      </c>
      <c r="M156" s="3">
        <v>62</v>
      </c>
      <c r="N156" s="3" t="str">
        <f>IFERROR(MID(VLOOKUP($B156,Seqs!$A:$B,2,0),O156,1),"")</f>
        <v>T</v>
      </c>
      <c r="O156" s="3">
        <v>92</v>
      </c>
      <c r="P156" s="3" t="str">
        <f>IFERROR(MID(VLOOKUP($B156,Seqs!$A:$B,2,0),Q156,1),"")</f>
        <v>V</v>
      </c>
      <c r="Q156" s="3">
        <v>95</v>
      </c>
      <c r="R156" s="3" t="str">
        <f>IFERROR(MID(VLOOKUP($B156,Seqs!$A:$B,2,0),S156,1),"")</f>
        <v>F</v>
      </c>
      <c r="S156" s="3">
        <v>98</v>
      </c>
      <c r="T156" s="3" t="str">
        <f>IFERROR(MID(VLOOKUP($B156,Seqs!$A:$B,2,0),U156,1),"")</f>
        <v>S</v>
      </c>
      <c r="U156" s="3">
        <v>99</v>
      </c>
      <c r="V156" s="3" t="str">
        <f>IFERROR(MID(VLOOKUP($B156,Seqs!$A:$B,2,0),W156,1),"")</f>
        <v>M</v>
      </c>
      <c r="W156" s="3">
        <v>134</v>
      </c>
      <c r="X156" s="3" t="str">
        <f>IFERROR(MID(VLOOKUP($B156,Seqs!$A:$B,2,0),Y156,1),"")</f>
        <v>P</v>
      </c>
      <c r="Y156" s="3">
        <v>135</v>
      </c>
      <c r="Z156" s="3" t="str">
        <f>IFERROR(MID(VLOOKUP($B156,Seqs!$A:$B,2,0),AA156,1),"")</f>
        <v>G</v>
      </c>
      <c r="AA156" s="3">
        <v>143</v>
      </c>
      <c r="AB156" s="3" t="str">
        <f>IFERROR(MID(VLOOKUP($B156,Seqs!$A:$B,2,0),AC156,1),"")</f>
        <v>S</v>
      </c>
      <c r="AC156" s="3">
        <v>146</v>
      </c>
      <c r="AD156" s="3" t="str">
        <f>IFERROR(MID(VLOOKUP($B156,Seqs!$A:$B,2,0),AE156,1),"")</f>
        <v>G</v>
      </c>
      <c r="AE156" s="3">
        <v>171</v>
      </c>
      <c r="AF156" s="3" t="str">
        <f>IFERROR(MID(VLOOKUP($B156,Seqs!$A:$B,2,0),AG156,1),"")</f>
        <v>C</v>
      </c>
      <c r="AG156" s="3">
        <v>181</v>
      </c>
      <c r="AH156" s="3" t="str">
        <f>IFERROR(MID(VLOOKUP($B156,Seqs!$A:$B,2,0),AI156,1),"")</f>
        <v>I</v>
      </c>
      <c r="AI156" s="3">
        <v>183</v>
      </c>
      <c r="AJ156" s="3" t="str">
        <f>IFERROR(MID(VLOOKUP($B156,Seqs!$A:$B,2,0),AK156,1),"")</f>
        <v>N</v>
      </c>
      <c r="AK156" s="3">
        <v>185</v>
      </c>
      <c r="AL156" s="3" t="str">
        <f>IFERROR(MID(VLOOKUP($B156,Seqs!$A:$B,2,0),AM156,1),"")</f>
        <v>R</v>
      </c>
      <c r="AM156" s="3">
        <v>226</v>
      </c>
      <c r="AN156" s="3" t="str">
        <f>IFERROR(MID(VLOOKUP($B156,Seqs!$A:$B,2,0),AO156,1),"")</f>
        <v>R</v>
      </c>
      <c r="AO156" s="3">
        <v>318</v>
      </c>
      <c r="AP156" s="3" t="str">
        <f>IFERROR(MID(VLOOKUP($B156,Seqs!$A:$B,2,0),AQ156,1),"")</f>
        <v>H</v>
      </c>
      <c r="AQ156" s="3">
        <v>354</v>
      </c>
      <c r="AR156" s="3" t="str">
        <f>IFERROR(MID(VLOOKUP($B156,Seqs!$A:$B,2,0),AS156,1),"")</f>
        <v>S</v>
      </c>
      <c r="AS156" s="3">
        <v>361</v>
      </c>
      <c r="AT156" s="3" t="str">
        <f>IFERROR(MID(VLOOKUP($B156,Seqs!$A:$B,2,0),AU156,1),"")</f>
        <v>F</v>
      </c>
      <c r="AU156" s="3">
        <v>386</v>
      </c>
      <c r="AV156" s="3" t="str">
        <f>IFERROR(MID(VLOOKUP($B156,Seqs!$A:$B,2,0),AW156,1),"")</f>
        <v>N</v>
      </c>
      <c r="AW156" s="3">
        <v>387</v>
      </c>
      <c r="AX156" s="3" t="str">
        <f>IFERROR(MID(VLOOKUP($B156,Seqs!$A:$B,2,0),AY156,1),"")</f>
        <v>S</v>
      </c>
      <c r="AY156" s="3">
        <v>399</v>
      </c>
      <c r="AZ156" s="77" t="str">
        <f>VLOOKUP(B156,Classification!A:D,2,0)</f>
        <v>A</v>
      </c>
      <c r="BA156" s="94" t="str">
        <f>VLOOKUP(B156,Classification!A:D,4,0)</f>
        <v>Dopamine</v>
      </c>
      <c r="BB156" s="27" t="b">
        <f t="shared" si="560"/>
        <v>1</v>
      </c>
      <c r="BC156" s="23">
        <f t="shared" si="617"/>
        <v>263</v>
      </c>
      <c r="BD156" s="56" t="s">
        <v>1379</v>
      </c>
      <c r="BE156" s="3" t="s">
        <v>23</v>
      </c>
      <c r="BF156" s="119" t="s">
        <v>23</v>
      </c>
      <c r="BG156" s="49" t="s">
        <v>1379</v>
      </c>
      <c r="BH156" s="49" t="s">
        <v>1384</v>
      </c>
      <c r="BI156" s="1"/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 t="shared" si="618"/>
        <v>26</v>
      </c>
      <c r="BW156" s="71">
        <f t="shared" si="619"/>
        <v>58</v>
      </c>
      <c r="BX156" s="72">
        <f t="shared" si="620"/>
        <v>62</v>
      </c>
      <c r="BY156" s="71">
        <f t="shared" si="621"/>
        <v>95</v>
      </c>
      <c r="BZ156" s="72">
        <f t="shared" si="622"/>
        <v>99</v>
      </c>
      <c r="CA156" s="71">
        <f t="shared" si="623"/>
        <v>135</v>
      </c>
      <c r="CB156" s="72">
        <f t="shared" si="624"/>
        <v>146</v>
      </c>
      <c r="CC156" s="71">
        <f t="shared" si="625"/>
        <v>181</v>
      </c>
      <c r="CD156" s="72">
        <f t="shared" si="626"/>
        <v>185</v>
      </c>
      <c r="CE156" s="71">
        <f t="shared" si="627"/>
        <v>318</v>
      </c>
      <c r="CF156" s="72">
        <f t="shared" si="628"/>
        <v>361</v>
      </c>
      <c r="CG156" s="71">
        <f t="shared" si="629"/>
        <v>387</v>
      </c>
      <c r="CH156" s="70">
        <f t="shared" si="630"/>
        <v>57</v>
      </c>
      <c r="CI156" s="71">
        <f t="shared" si="631"/>
        <v>61</v>
      </c>
      <c r="CJ156" s="72">
        <f t="shared" si="632"/>
        <v>92</v>
      </c>
      <c r="CK156" s="72">
        <f t="shared" si="633"/>
        <v>98</v>
      </c>
      <c r="CL156" s="72">
        <f t="shared" si="634"/>
        <v>134</v>
      </c>
      <c r="CM156" s="72">
        <f t="shared" si="635"/>
        <v>143</v>
      </c>
      <c r="CN156" s="72">
        <f t="shared" si="636"/>
        <v>171</v>
      </c>
      <c r="CO156" s="72">
        <f t="shared" si="637"/>
        <v>183</v>
      </c>
      <c r="CP156" s="72">
        <f t="shared" si="638"/>
        <v>226</v>
      </c>
      <c r="CQ156" s="72">
        <f t="shared" si="639"/>
        <v>354</v>
      </c>
      <c r="CR156" s="72">
        <f t="shared" si="640"/>
        <v>386</v>
      </c>
      <c r="CS156" s="72">
        <f t="shared" si="641"/>
        <v>399</v>
      </c>
      <c r="CT156" s="23">
        <f t="shared" si="642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559"/>
        <v>drd3_human_3PBL</v>
      </c>
      <c r="B157" s="3" t="s">
        <v>192</v>
      </c>
      <c r="C157" s="3" t="s">
        <v>72</v>
      </c>
      <c r="D157" s="3" t="str">
        <f>IFERROR(MID(VLOOKUP($B157,Seqs!$A:$B,2,0),E157,1),"")</f>
        <v>Y</v>
      </c>
      <c r="E157" s="3">
        <v>32</v>
      </c>
      <c r="F157" s="3" t="str">
        <f>IFERROR(MID(VLOOKUP($B157,Seqs!$A:$B,2,0),G157,1),"")</f>
        <v>E</v>
      </c>
      <c r="G157" s="3">
        <v>57</v>
      </c>
      <c r="H157" s="3" t="str">
        <f>IFERROR(MID(VLOOKUP($B157,Seqs!$A:$B,2,0),I157,1),"")</f>
        <v>R</v>
      </c>
      <c r="I157" s="23">
        <v>58</v>
      </c>
      <c r="J157" s="3" t="str">
        <f>IFERROR(MID(VLOOKUP($B157,Seqs!$A:$B,2,0),K157,1),"")</f>
        <v>Q</v>
      </c>
      <c r="K157" s="23">
        <v>61</v>
      </c>
      <c r="L157" s="3" t="str">
        <f>IFERROR(MID(VLOOKUP($B157,Seqs!$A:$B,2,0),M157,1),"")</f>
        <v>T</v>
      </c>
      <c r="M157" s="3">
        <v>62</v>
      </c>
      <c r="N157" s="3" t="str">
        <f>IFERROR(MID(VLOOKUP($B157,Seqs!$A:$B,2,0),O157,1),"")</f>
        <v>T</v>
      </c>
      <c r="O157" s="3">
        <v>92</v>
      </c>
      <c r="P157" s="3" t="str">
        <f>IFERROR(MID(VLOOKUP($B157,Seqs!$A:$B,2,0),Q157,1),"")</f>
        <v>V</v>
      </c>
      <c r="Q157" s="3">
        <v>95</v>
      </c>
      <c r="R157" s="3" t="str">
        <f>IFERROR(MID(VLOOKUP($B157,Seqs!$A:$B,2,0),S157,1),"")</f>
        <v>F</v>
      </c>
      <c r="S157" s="3">
        <v>98</v>
      </c>
      <c r="T157" s="3" t="str">
        <f>IFERROR(MID(VLOOKUP($B157,Seqs!$A:$B,2,0),U157,1),"")</f>
        <v>S</v>
      </c>
      <c r="U157" s="3">
        <v>99</v>
      </c>
      <c r="V157" s="3" t="str">
        <f>IFERROR(MID(VLOOKUP($B157,Seqs!$A:$B,2,0),W157,1),"")</f>
        <v>M</v>
      </c>
      <c r="W157" s="3">
        <v>134</v>
      </c>
      <c r="X157" s="3" t="str">
        <f>IFERROR(MID(VLOOKUP($B157,Seqs!$A:$B,2,0),Y157,1),"")</f>
        <v>P</v>
      </c>
      <c r="Y157" s="3">
        <v>135</v>
      </c>
      <c r="Z157" s="3" t="str">
        <f>IFERROR(MID(VLOOKUP($B157,Seqs!$A:$B,2,0),AA157,1),"")</f>
        <v>G</v>
      </c>
      <c r="AA157" s="3">
        <v>143</v>
      </c>
      <c r="AB157" s="3" t="str">
        <f>IFERROR(MID(VLOOKUP($B157,Seqs!$A:$B,2,0),AC157,1),"")</f>
        <v>S</v>
      </c>
      <c r="AC157" s="3">
        <v>146</v>
      </c>
      <c r="AD157" s="3" t="str">
        <f>IFERROR(MID(VLOOKUP($B157,Seqs!$A:$B,2,0),AE157,1),"")</f>
        <v>G</v>
      </c>
      <c r="AE157" s="3">
        <v>171</v>
      </c>
      <c r="AF157" s="3" t="str">
        <f>IFERROR(MID(VLOOKUP($B157,Seqs!$A:$B,2,0),AG157,1),"")</f>
        <v>C</v>
      </c>
      <c r="AG157" s="3">
        <v>181</v>
      </c>
      <c r="AH157" s="3" t="str">
        <f>IFERROR(MID(VLOOKUP($B157,Seqs!$A:$B,2,0),AI157,1),"")</f>
        <v>I</v>
      </c>
      <c r="AI157" s="3">
        <v>183</v>
      </c>
      <c r="AJ157" s="3" t="str">
        <f>IFERROR(MID(VLOOKUP($B157,Seqs!$A:$B,2,0),AK157,1),"")</f>
        <v>N</v>
      </c>
      <c r="AK157" s="3">
        <v>185</v>
      </c>
      <c r="AL157" s="3" t="str">
        <f>IFERROR(MID(VLOOKUP($B157,Seqs!$A:$B,2,0),AM157,1),"")</f>
        <v>K</v>
      </c>
      <c r="AM157" s="3">
        <v>216</v>
      </c>
      <c r="AN157" s="3" t="str">
        <f>IFERROR(MID(VLOOKUP($B157,Seqs!$A:$B,2,0),AO157,1),"")</f>
        <v>R</v>
      </c>
      <c r="AO157" s="3">
        <v>323</v>
      </c>
      <c r="AP157" s="3" t="str">
        <f>IFERROR(MID(VLOOKUP($B157,Seqs!$A:$B,2,0),AQ157,1),"")</f>
        <v>H</v>
      </c>
      <c r="AQ157" s="3">
        <v>354</v>
      </c>
      <c r="AR157" s="3" t="str">
        <f>IFERROR(MID(VLOOKUP($B157,Seqs!$A:$B,2,0),AS157,1),"")</f>
        <v>S</v>
      </c>
      <c r="AS157" s="3">
        <v>361</v>
      </c>
      <c r="AT157" s="3" t="str">
        <f>IFERROR(MID(VLOOKUP($B157,Seqs!$A:$B,2,0),AU157,1),"")</f>
        <v>F</v>
      </c>
      <c r="AU157" s="3">
        <v>386</v>
      </c>
      <c r="AV157" s="3" t="str">
        <f>IFERROR(MID(VLOOKUP($B157,Seqs!$A:$B,2,0),AW157,1),"")</f>
        <v>N</v>
      </c>
      <c r="AW157" s="3">
        <v>387</v>
      </c>
      <c r="AX157" s="3" t="str">
        <f>IFERROR(MID(VLOOKUP($B157,Seqs!$A:$B,2,0),AY157,1),"")</f>
        <v>S</v>
      </c>
      <c r="AY157" s="3">
        <v>399</v>
      </c>
      <c r="AZ157" s="77" t="str">
        <f>VLOOKUP(B157,Classification!A:D,2,0)</f>
        <v>A</v>
      </c>
      <c r="BA157" s="94" t="str">
        <f>VLOOKUP(B157,Classification!A:D,4,0)</f>
        <v>Dopamine</v>
      </c>
      <c r="BB157" s="27" t="b">
        <f t="shared" si="560"/>
        <v>1</v>
      </c>
      <c r="BC157" s="23">
        <f t="shared" si="617"/>
        <v>242</v>
      </c>
      <c r="BD157" s="2" t="s">
        <v>1383</v>
      </c>
      <c r="BE157" s="3" t="s">
        <v>1381</v>
      </c>
      <c r="BF157" s="119">
        <v>2.89</v>
      </c>
      <c r="BG157" s="49" t="s">
        <v>1384</v>
      </c>
      <c r="BH157" s="49" t="s">
        <v>1384</v>
      </c>
      <c r="BI157" s="1"/>
      <c r="BJ157" s="70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0">
        <f t="shared" si="618"/>
        <v>32</v>
      </c>
      <c r="BW157" s="71">
        <f t="shared" si="619"/>
        <v>58</v>
      </c>
      <c r="BX157" s="72">
        <f t="shared" si="620"/>
        <v>62</v>
      </c>
      <c r="BY157" s="71">
        <f t="shared" si="621"/>
        <v>95</v>
      </c>
      <c r="BZ157" s="72">
        <f t="shared" si="622"/>
        <v>99</v>
      </c>
      <c r="CA157" s="71">
        <f t="shared" si="623"/>
        <v>135</v>
      </c>
      <c r="CB157" s="72">
        <f t="shared" si="624"/>
        <v>146</v>
      </c>
      <c r="CC157" s="71">
        <f t="shared" si="625"/>
        <v>181</v>
      </c>
      <c r="CD157" s="72">
        <f t="shared" si="626"/>
        <v>185</v>
      </c>
      <c r="CE157" s="71">
        <f t="shared" si="627"/>
        <v>323</v>
      </c>
      <c r="CF157" s="72">
        <f t="shared" si="628"/>
        <v>361</v>
      </c>
      <c r="CG157" s="71">
        <f t="shared" si="629"/>
        <v>387</v>
      </c>
      <c r="CH157" s="70">
        <f t="shared" si="630"/>
        <v>57</v>
      </c>
      <c r="CI157" s="71">
        <f t="shared" si="631"/>
        <v>61</v>
      </c>
      <c r="CJ157" s="72">
        <f t="shared" si="632"/>
        <v>92</v>
      </c>
      <c r="CK157" s="72">
        <f t="shared" si="633"/>
        <v>98</v>
      </c>
      <c r="CL157" s="72">
        <f t="shared" si="634"/>
        <v>134</v>
      </c>
      <c r="CM157" s="72">
        <f t="shared" si="635"/>
        <v>143</v>
      </c>
      <c r="CN157" s="72">
        <f t="shared" si="636"/>
        <v>171</v>
      </c>
      <c r="CO157" s="72">
        <f t="shared" si="637"/>
        <v>183</v>
      </c>
      <c r="CP157" s="72">
        <f t="shared" si="638"/>
        <v>216</v>
      </c>
      <c r="CQ157" s="72">
        <f t="shared" si="639"/>
        <v>354</v>
      </c>
      <c r="CR157" s="72">
        <f t="shared" si="640"/>
        <v>386</v>
      </c>
      <c r="CS157" s="72">
        <f t="shared" si="641"/>
        <v>399</v>
      </c>
      <c r="CT157" s="23">
        <f t="shared" si="642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x14ac:dyDescent="0.2">
      <c r="A158" s="3" t="str">
        <f>CONCATENATE(B158,"_",C158)</f>
        <v>drd4_human__wt</v>
      </c>
      <c r="B158" s="3" t="s">
        <v>193</v>
      </c>
      <c r="C158" s="3" t="s">
        <v>100</v>
      </c>
      <c r="D158" s="3" t="str">
        <f>IFERROR(MID(VLOOKUP($B158,Seqs!$A:$B,2,0),E158,1),"")</f>
        <v>A</v>
      </c>
      <c r="E158" s="3">
        <v>31</v>
      </c>
      <c r="F158" s="3" t="str">
        <f>IFERROR(MID(VLOOKUP($B158,Seqs!$A:$B,2,0),G158,1),"")</f>
        <v>E</v>
      </c>
      <c r="G158" s="3">
        <v>62</v>
      </c>
      <c r="H158" s="3" t="str">
        <f>IFERROR(MID(VLOOKUP($B158,Seqs!$A:$B,2,0),I158,1),"")</f>
        <v>R</v>
      </c>
      <c r="I158" s="23">
        <v>63</v>
      </c>
      <c r="J158" s="3" t="str">
        <f>IFERROR(MID(VLOOKUP($B158,Seqs!$A:$B,2,0),K158,1),"")</f>
        <v>Q</v>
      </c>
      <c r="K158" s="23">
        <v>66</v>
      </c>
      <c r="L158" s="3" t="str">
        <f>IFERROR(MID(VLOOKUP($B158,Seqs!$A:$B,2,0),M158,1),"")</f>
        <v>T</v>
      </c>
      <c r="M158" s="3">
        <v>67</v>
      </c>
      <c r="N158" s="3" t="str">
        <f>IFERROR(MID(VLOOKUP($B158,Seqs!$A:$B,2,0),O158,1),"")</f>
        <v>Q</v>
      </c>
      <c r="O158" s="3">
        <v>97</v>
      </c>
      <c r="P158" s="3" t="str">
        <f>IFERROR(MID(VLOOKUP($B158,Seqs!$A:$B,2,0),Q158,1),"")</f>
        <v>A</v>
      </c>
      <c r="Q158" s="3">
        <v>100</v>
      </c>
      <c r="R158" s="3" t="str">
        <f>IFERROR(MID(VLOOKUP($B158,Seqs!$A:$B,2,0),S158,1),"")</f>
        <v>L</v>
      </c>
      <c r="S158" s="3">
        <v>103</v>
      </c>
      <c r="T158" s="3" t="str">
        <f>IFERROR(MID(VLOOKUP($B158,Seqs!$A:$B,2,0),U158,1),"")</f>
        <v>S</v>
      </c>
      <c r="U158" s="3">
        <v>104</v>
      </c>
      <c r="V158" s="3" t="str">
        <f>IFERROR(MID(VLOOKUP($B158,Seqs!$A:$B,2,0),W158,1),"")</f>
        <v>V</v>
      </c>
      <c r="W158" s="3">
        <v>139</v>
      </c>
      <c r="X158" s="3" t="str">
        <f>IFERROR(MID(VLOOKUP($B158,Seqs!$A:$B,2,0),Y158,1),"")</f>
        <v>P</v>
      </c>
      <c r="Y158" s="3">
        <v>140</v>
      </c>
      <c r="Z158" s="3" t="str">
        <f>IFERROR(MID(VLOOKUP($B158,Seqs!$A:$B,2,0),AA158,1),"")</f>
        <v>G</v>
      </c>
      <c r="AA158" s="3">
        <v>147</v>
      </c>
      <c r="AB158" s="3" t="str">
        <f>IFERROR(MID(VLOOKUP($B158,Seqs!$A:$B,2,0),AC158,1),"")</f>
        <v>G</v>
      </c>
      <c r="AC158" s="3">
        <v>148</v>
      </c>
      <c r="AD158" s="3" t="str">
        <f>IFERROR(MID(VLOOKUP($B158,Seqs!$A:$B,2,0),AE158,1),"")</f>
        <v>G</v>
      </c>
      <c r="AE158" s="3">
        <v>173</v>
      </c>
      <c r="AF158" s="3" t="str">
        <f>IFERROR(MID(VLOOKUP($B158,Seqs!$A:$B,2,0),AG158,1),"")</f>
        <v>C</v>
      </c>
      <c r="AG158" s="3">
        <v>185</v>
      </c>
      <c r="AH158" s="3" t="str">
        <f>IFERROR(MID(VLOOKUP($B158,Seqs!$A:$B,2,0),AI158,1),"")</f>
        <v>L</v>
      </c>
      <c r="AI158" s="3">
        <v>187</v>
      </c>
      <c r="AJ158" s="3" t="str">
        <f>IFERROR(MID(VLOOKUP($B158,Seqs!$A:$B,2,0),AK158,1),"")</f>
        <v>D</v>
      </c>
      <c r="AK158" s="3">
        <v>189</v>
      </c>
      <c r="AL158" s="3" t="str">
        <f>IFERROR(MID(VLOOKUP($B158,Seqs!$A:$B,2,0),AM158,1),"")</f>
        <v>K</v>
      </c>
      <c r="AM158" s="3">
        <v>229</v>
      </c>
      <c r="AN158" s="3" t="str">
        <f>IFERROR(MID(VLOOKUP($B158,Seqs!$A:$B,2,0),AO158,1),"")</f>
        <v>A</v>
      </c>
      <c r="AO158" s="3">
        <v>383</v>
      </c>
      <c r="AP158" s="3" t="str">
        <f>IFERROR(MID(VLOOKUP($B158,Seqs!$A:$B,2,0),AQ158,1),"")</f>
        <v>C</v>
      </c>
      <c r="AQ158" s="3">
        <v>420</v>
      </c>
      <c r="AR158" s="3" t="str">
        <f>IFERROR(MID(VLOOKUP($B158,Seqs!$A:$B,2,0),AS158,1),"")</f>
        <v>P</v>
      </c>
      <c r="AS158" s="3">
        <v>426</v>
      </c>
      <c r="AT158" s="3" t="str">
        <f>IFERROR(MID(VLOOKUP($B158,Seqs!$A:$B,2,0),AU158,1),"")</f>
        <v>F</v>
      </c>
      <c r="AU158" s="3">
        <v>451</v>
      </c>
      <c r="AV158" s="3" t="str">
        <f>IFERROR(MID(VLOOKUP($B158,Seqs!$A:$B,2,0),AW158,1),"")</f>
        <v>N</v>
      </c>
      <c r="AW158" s="3">
        <v>452</v>
      </c>
      <c r="AX158" s="3" t="str">
        <f>IFERROR(MID(VLOOKUP($B158,Seqs!$A:$B,2,0),AY158,1),"")</f>
        <v>R</v>
      </c>
      <c r="AY158" s="3">
        <v>464</v>
      </c>
      <c r="AZ158" s="77" t="str">
        <f>VLOOKUP(B158,Classification!A:D,2,0)</f>
        <v>A</v>
      </c>
      <c r="BA158" s="94" t="str">
        <f>VLOOKUP(B158,Classification!A:D,4,0)</f>
        <v>Dopamine</v>
      </c>
      <c r="BB158" s="27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262</v>
      </c>
      <c r="BD158" s="2" t="s">
        <v>23</v>
      </c>
      <c r="BE158" s="3" t="s">
        <v>1381</v>
      </c>
      <c r="BF158" s="119" t="s">
        <v>23</v>
      </c>
      <c r="BG158" s="49" t="s">
        <v>1384</v>
      </c>
      <c r="BH158" s="49" t="s">
        <v>1384</v>
      </c>
      <c r="BI158" s="1"/>
      <c r="BJ158" s="70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0">
        <f>E158</f>
        <v>31</v>
      </c>
      <c r="BW158" s="71">
        <f>I158</f>
        <v>63</v>
      </c>
      <c r="BX158" s="72">
        <f>M158</f>
        <v>67</v>
      </c>
      <c r="BY158" s="71">
        <f>Q158</f>
        <v>100</v>
      </c>
      <c r="BZ158" s="72">
        <f>U158</f>
        <v>104</v>
      </c>
      <c r="CA158" s="71">
        <f>Y158</f>
        <v>140</v>
      </c>
      <c r="CB158" s="72">
        <f>AC158</f>
        <v>148</v>
      </c>
      <c r="CC158" s="71">
        <f>AG158</f>
        <v>185</v>
      </c>
      <c r="CD158" s="72">
        <f>AK158</f>
        <v>189</v>
      </c>
      <c r="CE158" s="71">
        <f>AO158</f>
        <v>383</v>
      </c>
      <c r="CF158" s="72">
        <f>AS158</f>
        <v>426</v>
      </c>
      <c r="CG158" s="71">
        <f>AW158</f>
        <v>452</v>
      </c>
      <c r="CH158" s="70">
        <f>G158</f>
        <v>62</v>
      </c>
      <c r="CI158" s="71">
        <f>K158</f>
        <v>66</v>
      </c>
      <c r="CJ158" s="72">
        <f>O158</f>
        <v>97</v>
      </c>
      <c r="CK158" s="72">
        <f>S158</f>
        <v>103</v>
      </c>
      <c r="CL158" s="72">
        <f>W158</f>
        <v>139</v>
      </c>
      <c r="CM158" s="72">
        <f>AA158</f>
        <v>147</v>
      </c>
      <c r="CN158" s="72">
        <f>AE158</f>
        <v>173</v>
      </c>
      <c r="CO158" s="72">
        <f>AI158</f>
        <v>187</v>
      </c>
      <c r="CP158" s="72">
        <f>AM158</f>
        <v>229</v>
      </c>
      <c r="CQ158" s="72">
        <f>AQ158</f>
        <v>420</v>
      </c>
      <c r="CR158" s="72">
        <f>AU158</f>
        <v>451</v>
      </c>
      <c r="CS158" s="72">
        <f>AY158</f>
        <v>464</v>
      </c>
      <c r="CT158" s="23">
        <f>M158-K158</f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>CONCATENATE(B159,"_",C159)</f>
        <v>drd4_human_5WIU</v>
      </c>
      <c r="B159" s="3" t="s">
        <v>193</v>
      </c>
      <c r="C159" s="3" t="s">
        <v>1456</v>
      </c>
      <c r="D159" s="3" t="str">
        <f>IFERROR(MID(VLOOKUP($B159,Seqs!$A:$B,2,0),E159,1),"")</f>
        <v>G</v>
      </c>
      <c r="E159" s="3">
        <v>34</v>
      </c>
      <c r="F159" s="3" t="str">
        <f>IFERROR(MID(VLOOKUP($B159,Seqs!$A:$B,2,0),G159,1),"")</f>
        <v>E</v>
      </c>
      <c r="G159" s="3">
        <v>62</v>
      </c>
      <c r="H159" s="3" t="str">
        <f>IFERROR(MID(VLOOKUP($B159,Seqs!$A:$B,2,0),I159,1),"")</f>
        <v>R</v>
      </c>
      <c r="I159" s="23">
        <v>63</v>
      </c>
      <c r="J159" s="3" t="str">
        <f>IFERROR(MID(VLOOKUP($B159,Seqs!$A:$B,2,0),K159,1),"")</f>
        <v>Q</v>
      </c>
      <c r="K159" s="23">
        <v>66</v>
      </c>
      <c r="L159" s="3" t="str">
        <f>IFERROR(MID(VLOOKUP($B159,Seqs!$A:$B,2,0),M159,1),"")</f>
        <v>T</v>
      </c>
      <c r="M159" s="3">
        <v>67</v>
      </c>
      <c r="N159" s="3" t="str">
        <f>IFERROR(MID(VLOOKUP($B159,Seqs!$A:$B,2,0),O159,1),"")</f>
        <v>Q</v>
      </c>
      <c r="O159" s="3">
        <v>97</v>
      </c>
      <c r="P159" s="3" t="str">
        <f>IFERROR(MID(VLOOKUP($B159,Seqs!$A:$B,2,0),Q159,1),"")</f>
        <v>A</v>
      </c>
      <c r="Q159" s="3">
        <v>100</v>
      </c>
      <c r="R159" s="3" t="str">
        <f>IFERROR(MID(VLOOKUP($B159,Seqs!$A:$B,2,0),S159,1),"")</f>
        <v>L</v>
      </c>
      <c r="S159" s="3">
        <v>103</v>
      </c>
      <c r="T159" s="3" t="str">
        <f>IFERROR(MID(VLOOKUP($B159,Seqs!$A:$B,2,0),U159,1),"")</f>
        <v>S</v>
      </c>
      <c r="U159" s="3">
        <v>104</v>
      </c>
      <c r="V159" s="3" t="str">
        <f>IFERROR(MID(VLOOKUP($B159,Seqs!$A:$B,2,0),W159,1),"")</f>
        <v>V</v>
      </c>
      <c r="W159" s="3">
        <v>139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R</v>
      </c>
      <c r="AC159" s="3">
        <v>150</v>
      </c>
      <c r="AD159" s="3" t="str">
        <f>IFERROR(MID(VLOOKUP($B159,Seqs!$A:$B,2,0),AE159,1),"")</f>
        <v>G</v>
      </c>
      <c r="AE159" s="3">
        <v>173</v>
      </c>
      <c r="AF159" s="3" t="str">
        <f>IFERROR(MID(VLOOKUP($B159,Seqs!$A:$B,2,0),AG159,1),"")</f>
        <v>C</v>
      </c>
      <c r="AG159" s="3">
        <v>185</v>
      </c>
      <c r="AH159" s="3" t="str">
        <f>IFERROR(MID(VLOOKUP($B159,Seqs!$A:$B,2,0),AI159,1),"")</f>
        <v>L</v>
      </c>
      <c r="AI159" s="3">
        <v>187</v>
      </c>
      <c r="AJ159" s="3" t="str">
        <f>IFERROR(MID(VLOOKUP($B159,Seqs!$A:$B,2,0),AK159,1),"")</f>
        <v>D</v>
      </c>
      <c r="AK159" s="3">
        <v>189</v>
      </c>
      <c r="AL159" s="3" t="str">
        <f>IFERROR(MID(VLOOKUP($B159,Seqs!$A:$B,2,0),AM159,1),"")</f>
        <v>W</v>
      </c>
      <c r="AM159" s="3">
        <v>222</v>
      </c>
      <c r="AN159" s="3" t="str">
        <f>IFERROR(MID(VLOOKUP($B159,Seqs!$A:$B,2,0),AO159,1),"")</f>
        <v>V</v>
      </c>
      <c r="AO159" s="3">
        <v>395</v>
      </c>
      <c r="AP159" s="3" t="str">
        <f>IFERROR(MID(VLOOKUP($B159,Seqs!$A:$B,2,0),AQ159,1),"")</f>
        <v>C</v>
      </c>
      <c r="AQ159" s="3">
        <v>420</v>
      </c>
      <c r="AR159" s="3" t="str">
        <f>IFERROR(MID(VLOOKUP($B159,Seqs!$A:$B,2,0),AS159,1),"")</f>
        <v>P</v>
      </c>
      <c r="AS159" s="3">
        <v>426</v>
      </c>
      <c r="AT159" s="3" t="str">
        <f>IFERROR(MID(VLOOKUP($B159,Seqs!$A:$B,2,0),AU159,1),"")</f>
        <v>F</v>
      </c>
      <c r="AU159" s="3">
        <v>451</v>
      </c>
      <c r="AV159" s="3" t="str">
        <f>IFERROR(MID(VLOOKUP($B159,Seqs!$A:$B,2,0),AW159,1),"")</f>
        <v>N</v>
      </c>
      <c r="AW159" s="3">
        <v>452</v>
      </c>
      <c r="AX159" s="3" t="str">
        <f>IFERROR(MID(VLOOKUP($B159,Seqs!$A:$B,2,0),AY159,1),"")</f>
        <v>R</v>
      </c>
      <c r="AY159" s="3">
        <v>460</v>
      </c>
      <c r="AZ159" s="77" t="str">
        <f>VLOOKUP(B159,Classification!A:D,2,0)</f>
        <v>A</v>
      </c>
      <c r="BA159" s="94" t="str">
        <f>VLOOKUP(B159,Classification!A:D,4,0)</f>
        <v>Dopamine</v>
      </c>
      <c r="BB159" s="27" t="b">
        <f>AND(E159&lt;G159,OR(G159&lt;I159,I159="-"),OR(I159&lt;K159,I159="-"),OR(K159&lt;M159,K159="-"),M159&lt;O159,OR(O159&lt;Q159,Q159="-"),OR(Q159&lt;S159,Q159="-"),OR(S159&lt;U159,S159="-"),U159&lt;W159,OR(W159&lt;Y159,Y159="-"),OR(Y159&lt;AA159,Y159="-"),OR(AA159&lt;AC159,AA159="-"),AC159&lt;AE159,OR(AE159&lt;AG159,AG159="-"),OR(AG159&lt;AI159,AG159="-"),OR(AI159&lt;AK159,AI159="-"),AK159&lt;AM159,AM159&lt;AO159,AO159&lt;AQ159,AQ159&lt;AS159,AS159&lt;AU159,OR(AU159&lt;AW159,AW159="-"),OR(AW159&lt;AY159,AW159="-"))</f>
        <v>1</v>
      </c>
      <c r="BC159" s="23">
        <f>_xlfn.AGGREGATE(9,6,CH159:CS159)-_xlfn.AGGREGATE(9,6,BV159:CG159)+12</f>
        <v>227</v>
      </c>
      <c r="BD159" s="2" t="s">
        <v>23</v>
      </c>
      <c r="BE159" s="3" t="s">
        <v>1381</v>
      </c>
      <c r="BF159" s="119">
        <v>1.96</v>
      </c>
      <c r="BG159" s="49" t="s">
        <v>1</v>
      </c>
      <c r="BH159" s="49" t="s">
        <v>1384</v>
      </c>
      <c r="BI159" s="1"/>
      <c r="BJ159" s="70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0">
        <f>E159</f>
        <v>34</v>
      </c>
      <c r="BW159" s="71">
        <f>I159</f>
        <v>63</v>
      </c>
      <c r="BX159" s="72">
        <f>M159</f>
        <v>67</v>
      </c>
      <c r="BY159" s="71">
        <f>Q159</f>
        <v>100</v>
      </c>
      <c r="BZ159" s="72">
        <f>U159</f>
        <v>104</v>
      </c>
      <c r="CA159" s="71" t="str">
        <f>Y159</f>
        <v>-</v>
      </c>
      <c r="CB159" s="72">
        <f>AC159</f>
        <v>150</v>
      </c>
      <c r="CC159" s="71">
        <f>AG159</f>
        <v>185</v>
      </c>
      <c r="CD159" s="72">
        <f>AK159</f>
        <v>189</v>
      </c>
      <c r="CE159" s="71">
        <f>AO159</f>
        <v>395</v>
      </c>
      <c r="CF159" s="72">
        <f>AS159</f>
        <v>426</v>
      </c>
      <c r="CG159" s="71">
        <f>AW159</f>
        <v>452</v>
      </c>
      <c r="CH159" s="70">
        <f>G159</f>
        <v>62</v>
      </c>
      <c r="CI159" s="71">
        <f>K159</f>
        <v>66</v>
      </c>
      <c r="CJ159" s="72">
        <f>O159</f>
        <v>97</v>
      </c>
      <c r="CK159" s="72">
        <f>S159</f>
        <v>103</v>
      </c>
      <c r="CL159" s="72">
        <f>W159</f>
        <v>139</v>
      </c>
      <c r="CM159" s="72" t="str">
        <f>AA159</f>
        <v>-</v>
      </c>
      <c r="CN159" s="72">
        <f>AE159</f>
        <v>173</v>
      </c>
      <c r="CO159" s="72">
        <f>AI159</f>
        <v>187</v>
      </c>
      <c r="CP159" s="72">
        <f>AM159</f>
        <v>222</v>
      </c>
      <c r="CQ159" s="72">
        <f>AQ159</f>
        <v>420</v>
      </c>
      <c r="CR159" s="72">
        <f>AU159</f>
        <v>451</v>
      </c>
      <c r="CS159" s="72">
        <f>AY159</f>
        <v>460</v>
      </c>
      <c r="CT159" s="23">
        <f>M159-K159</f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>CONCATENATE(B160,"_",C160)</f>
        <v>drd4_human_5WIV</v>
      </c>
      <c r="B160" s="3" t="s">
        <v>193</v>
      </c>
      <c r="C160" s="3" t="s">
        <v>1458</v>
      </c>
      <c r="D160" s="3" t="str">
        <f>IFERROR(MID(VLOOKUP($B160,Seqs!$A:$B,2,0),E160,1),"")</f>
        <v>G</v>
      </c>
      <c r="E160" s="3">
        <v>32</v>
      </c>
      <c r="F160" s="3" t="str">
        <f>IFERROR(MID(VLOOKUP($B160,Seqs!$A:$B,2,0),G160,1),"")</f>
        <v>E</v>
      </c>
      <c r="G160" s="3">
        <v>62</v>
      </c>
      <c r="H160" s="3" t="str">
        <f>IFERROR(MID(VLOOKUP($B160,Seqs!$A:$B,2,0),I160,1),"")</f>
        <v>R</v>
      </c>
      <c r="I160" s="23">
        <v>63</v>
      </c>
      <c r="J160" s="3" t="str">
        <f>IFERROR(MID(VLOOKUP($B160,Seqs!$A:$B,2,0),K160,1),"")</f>
        <v>Q</v>
      </c>
      <c r="K160" s="23">
        <v>66</v>
      </c>
      <c r="L160" s="3" t="str">
        <f>IFERROR(MID(VLOOKUP($B160,Seqs!$A:$B,2,0),M160,1),"")</f>
        <v>T</v>
      </c>
      <c r="M160" s="3">
        <v>67</v>
      </c>
      <c r="N160" s="3" t="str">
        <f>IFERROR(MID(VLOOKUP($B160,Seqs!$A:$B,2,0),O160,1),"")</f>
        <v>Q</v>
      </c>
      <c r="O160" s="3">
        <v>97</v>
      </c>
      <c r="P160" s="3" t="str">
        <f>IFERROR(MID(VLOOKUP($B160,Seqs!$A:$B,2,0),Q160,1),"")</f>
        <v>A</v>
      </c>
      <c r="Q160" s="3">
        <v>100</v>
      </c>
      <c r="R160" s="3" t="str">
        <f>IFERROR(MID(VLOOKUP($B160,Seqs!$A:$B,2,0),S160,1),"")</f>
        <v>L</v>
      </c>
      <c r="S160" s="3">
        <v>103</v>
      </c>
      <c r="T160" s="3" t="str">
        <f>IFERROR(MID(VLOOKUP($B160,Seqs!$A:$B,2,0),U160,1),"")</f>
        <v>S</v>
      </c>
      <c r="U160" s="3">
        <v>104</v>
      </c>
      <c r="V160" s="3" t="str">
        <f>IFERROR(MID(VLOOKUP($B160,Seqs!$A:$B,2,0),W160,1),"")</f>
        <v>V</v>
      </c>
      <c r="W160" s="3">
        <v>139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R</v>
      </c>
      <c r="AC160" s="3">
        <v>150</v>
      </c>
      <c r="AD160" s="3" t="str">
        <f>IFERROR(MID(VLOOKUP($B160,Seqs!$A:$B,2,0),AE160,1),"")</f>
        <v>G</v>
      </c>
      <c r="AE160" s="3">
        <v>173</v>
      </c>
      <c r="AF160" s="3" t="str">
        <f>IFERROR(MID(VLOOKUP($B160,Seqs!$A:$B,2,0),AG160,1),"")</f>
        <v>C</v>
      </c>
      <c r="AG160" s="3">
        <v>185</v>
      </c>
      <c r="AH160" s="3" t="str">
        <f>IFERROR(MID(VLOOKUP($B160,Seqs!$A:$B,2,0),AI160,1),"")</f>
        <v>L</v>
      </c>
      <c r="AI160" s="3">
        <v>187</v>
      </c>
      <c r="AJ160" s="3" t="str">
        <f>IFERROR(MID(VLOOKUP($B160,Seqs!$A:$B,2,0),AK160,1),"")</f>
        <v>D</v>
      </c>
      <c r="AK160" s="3">
        <v>189</v>
      </c>
      <c r="AL160" s="3" t="str">
        <f>IFERROR(MID(VLOOKUP($B160,Seqs!$A:$B,2,0),AM160,1),"")</f>
        <v>W</v>
      </c>
      <c r="AM160" s="3">
        <v>222</v>
      </c>
      <c r="AN160" s="3" t="str">
        <f>IFERROR(MID(VLOOKUP($B160,Seqs!$A:$B,2,0),AO160,1),"")</f>
        <v>V</v>
      </c>
      <c r="AO160" s="3">
        <v>395</v>
      </c>
      <c r="AP160" s="3" t="str">
        <f>IFERROR(MID(VLOOKUP($B160,Seqs!$A:$B,2,0),AQ160,1),"")</f>
        <v>C</v>
      </c>
      <c r="AQ160" s="3">
        <v>420</v>
      </c>
      <c r="AR160" s="3" t="str">
        <f>IFERROR(MID(VLOOKUP($B160,Seqs!$A:$B,2,0),AS160,1),"")</f>
        <v>P</v>
      </c>
      <c r="AS160" s="3">
        <v>426</v>
      </c>
      <c r="AT160" s="3" t="str">
        <f>IFERROR(MID(VLOOKUP($B160,Seqs!$A:$B,2,0),AU160,1),"")</f>
        <v>F</v>
      </c>
      <c r="AU160" s="3">
        <v>451</v>
      </c>
      <c r="AV160" s="3" t="str">
        <f>IFERROR(MID(VLOOKUP($B160,Seqs!$A:$B,2,0),AW160,1),"")</f>
        <v>N</v>
      </c>
      <c r="AW160" s="3">
        <v>452</v>
      </c>
      <c r="AX160" s="3" t="str">
        <f>IFERROR(MID(VLOOKUP($B160,Seqs!$A:$B,2,0),AY160,1),"")</f>
        <v>A</v>
      </c>
      <c r="AY160" s="3">
        <v>462</v>
      </c>
      <c r="AZ160" s="77" t="str">
        <f>VLOOKUP(B160,Classification!A:D,2,0)</f>
        <v>A</v>
      </c>
      <c r="BA160" s="94" t="str">
        <f>VLOOKUP(B160,Classification!A:D,4,0)</f>
        <v>Dopamine</v>
      </c>
      <c r="BB160" s="27" t="b">
        <f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>_xlfn.AGGREGATE(9,6,CH160:CS160)-_xlfn.AGGREGATE(9,6,BV160:CG160)+12</f>
        <v>231</v>
      </c>
      <c r="BD160" s="2" t="s">
        <v>1383</v>
      </c>
      <c r="BE160" s="3" t="s">
        <v>1381</v>
      </c>
      <c r="BF160" s="119">
        <v>2.14</v>
      </c>
      <c r="BG160" s="49" t="s">
        <v>1</v>
      </c>
      <c r="BH160" s="49" t="s">
        <v>1384</v>
      </c>
      <c r="BI160" s="1"/>
      <c r="BJ160" s="70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0">
        <f>E160</f>
        <v>32</v>
      </c>
      <c r="BW160" s="71">
        <f>I160</f>
        <v>63</v>
      </c>
      <c r="BX160" s="72">
        <f>M160</f>
        <v>67</v>
      </c>
      <c r="BY160" s="71">
        <f>Q160</f>
        <v>100</v>
      </c>
      <c r="BZ160" s="72">
        <f>U160</f>
        <v>104</v>
      </c>
      <c r="CA160" s="71" t="str">
        <f>Y160</f>
        <v>-</v>
      </c>
      <c r="CB160" s="72">
        <f>AC160</f>
        <v>150</v>
      </c>
      <c r="CC160" s="71">
        <f>AG160</f>
        <v>185</v>
      </c>
      <c r="CD160" s="72">
        <f>AK160</f>
        <v>189</v>
      </c>
      <c r="CE160" s="71">
        <f>AO160</f>
        <v>395</v>
      </c>
      <c r="CF160" s="72">
        <f>AS160</f>
        <v>426</v>
      </c>
      <c r="CG160" s="71">
        <f>AW160</f>
        <v>452</v>
      </c>
      <c r="CH160" s="70">
        <f>G160</f>
        <v>62</v>
      </c>
      <c r="CI160" s="71">
        <f>K160</f>
        <v>66</v>
      </c>
      <c r="CJ160" s="72">
        <f>O160</f>
        <v>97</v>
      </c>
      <c r="CK160" s="72">
        <f>S160</f>
        <v>103</v>
      </c>
      <c r="CL160" s="72">
        <f>W160</f>
        <v>139</v>
      </c>
      <c r="CM160" s="72" t="str">
        <f>AA160</f>
        <v>-</v>
      </c>
      <c r="CN160" s="72">
        <f>AE160</f>
        <v>173</v>
      </c>
      <c r="CO160" s="72">
        <f>AI160</f>
        <v>187</v>
      </c>
      <c r="CP160" s="72">
        <f>AM160</f>
        <v>222</v>
      </c>
      <c r="CQ160" s="72">
        <f>AQ160</f>
        <v>420</v>
      </c>
      <c r="CR160" s="72">
        <f>AU160</f>
        <v>451</v>
      </c>
      <c r="CS160" s="72">
        <f>AY160</f>
        <v>462</v>
      </c>
      <c r="CT160" s="23">
        <f>M160-K160</f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29" x14ac:dyDescent="0.2">
      <c r="A161" s="3" t="str">
        <f t="shared" si="559"/>
        <v>ednrb_human__wt</v>
      </c>
      <c r="B161" s="2" t="s">
        <v>196</v>
      </c>
      <c r="C161" s="2" t="s">
        <v>100</v>
      </c>
      <c r="D161" s="3" t="str">
        <f>IFERROR(MID(VLOOKUP($B161,Seqs!$A:$B,2,0),E161,1),"")</f>
        <v>Q</v>
      </c>
      <c r="E161" s="2">
        <v>91</v>
      </c>
      <c r="F161" s="3" t="str">
        <f>IFERROR(MID(VLOOKUP($B161,Seqs!$A:$B,2,0),G161,1),"")</f>
        <v>N</v>
      </c>
      <c r="G161" s="2">
        <v>129</v>
      </c>
      <c r="H161" s="3" t="str">
        <f>IFERROR(MID(VLOOKUP($B161,Seqs!$A:$B,2,0),I161,1),"")</f>
        <v>K</v>
      </c>
      <c r="I161" s="56">
        <v>130</v>
      </c>
      <c r="J161" s="3" t="str">
        <f>IFERROR(MID(VLOOKUP($B161,Seqs!$A:$B,2,0),K161,1),"")</f>
        <v>N</v>
      </c>
      <c r="K161" s="56">
        <v>134</v>
      </c>
      <c r="L161" s="3" t="str">
        <f>IFERROR(MID(VLOOKUP($B161,Seqs!$A:$B,2,0),M161,1),"")</f>
        <v>G</v>
      </c>
      <c r="M161" s="2">
        <v>135</v>
      </c>
      <c r="N161" s="3" t="str">
        <f>IFERROR(MID(VLOOKUP($B161,Seqs!$A:$B,2,0),O161,1),"")</f>
        <v>A</v>
      </c>
      <c r="O161" s="2">
        <v>164</v>
      </c>
      <c r="P161" s="3" t="str">
        <f>IFERROR(MID(VLOOKUP($B161,Seqs!$A:$B,2,0),Q161,1),"")</f>
        <v>D</v>
      </c>
      <c r="Q161" s="2">
        <v>166</v>
      </c>
      <c r="R161" s="3" t="str">
        <f>IFERROR(MID(VLOOKUP($B161,Seqs!$A:$B,2,0),S161,1),"")</f>
        <v>F</v>
      </c>
      <c r="S161" s="2">
        <v>169</v>
      </c>
      <c r="T161" s="3" t="str">
        <f>IFERROR(MID(VLOOKUP($B161,Seqs!$A:$B,2,0),U161,1),"")</f>
        <v>G</v>
      </c>
      <c r="U161" s="4">
        <v>170</v>
      </c>
      <c r="V161" s="3" t="str">
        <f>IFERROR(MID(VLOOKUP($B161,Seqs!$A:$B,2,0),W161,1),"")</f>
        <v>S</v>
      </c>
      <c r="W161" s="2">
        <v>205</v>
      </c>
      <c r="X161" s="3" t="str">
        <f>IFERROR(MID(VLOOKUP($B161,Seqs!$A:$B,2,0),Y161,1),"")</f>
        <v>W</v>
      </c>
      <c r="Y161" s="2">
        <v>206</v>
      </c>
      <c r="Z161" s="3" t="str">
        <f>IFERROR(MID(VLOOKUP($B161,Seqs!$A:$B,2,0),AA161,1),"")</f>
        <v>G</v>
      </c>
      <c r="AA161" s="2">
        <v>213</v>
      </c>
      <c r="AB161" s="3" t="str">
        <f>IFERROR(MID(VLOOKUP($B161,Seqs!$A:$B,2,0),AC161,1),"")</f>
        <v>V</v>
      </c>
      <c r="AC161" s="40">
        <v>214</v>
      </c>
      <c r="AD161" s="3" t="str">
        <f>IFERROR(MID(VLOOKUP($B161,Seqs!$A:$B,2,0),AE161,1),"")</f>
        <v>F</v>
      </c>
      <c r="AE161" s="2">
        <v>240</v>
      </c>
      <c r="AF161" s="3" t="str">
        <f>IFERROR(MID(VLOOKUP($B161,Seqs!$A:$B,2,0),AG161,1),"")</f>
        <v>C</v>
      </c>
      <c r="AG161" s="2">
        <v>255</v>
      </c>
      <c r="AH161" s="3" t="str">
        <f>IFERROR(MID(VLOOKUP($B161,Seqs!$A:$B,2,0),AI161,1),"")</f>
        <v>L</v>
      </c>
      <c r="AI161" s="2">
        <v>257</v>
      </c>
      <c r="AJ161" s="3" t="str">
        <f>IFERROR(MID(VLOOKUP($B161,Seqs!$A:$B,2,0),AK161,1),"")</f>
        <v>T</v>
      </c>
      <c r="AK161" s="2">
        <v>263</v>
      </c>
      <c r="AL161" s="3" t="str">
        <f>IFERROR(MID(VLOOKUP($B161,Seqs!$A:$B,2,0),AM161,1),"")</f>
        <v>M</v>
      </c>
      <c r="AM161" s="2">
        <v>307</v>
      </c>
      <c r="AN161" s="3" t="str">
        <f>IFERROR(MID(VLOOKUP($B161,Seqs!$A:$B,2,0),AO161,1),"")</f>
        <v>N</v>
      </c>
      <c r="AO161" s="2">
        <v>312</v>
      </c>
      <c r="AP161" s="3" t="str">
        <f>IFERROR(MID(VLOOKUP($B161,Seqs!$A:$B,2,0),AQ161,1),"")</f>
        <v>Y</v>
      </c>
      <c r="AQ161" s="2">
        <v>350</v>
      </c>
      <c r="AR161" s="3" t="str">
        <f>IFERROR(MID(VLOOKUP($B161,Seqs!$A:$B,2,0),AS161,1),"")</f>
        <v>R</v>
      </c>
      <c r="AS161" s="2">
        <v>357</v>
      </c>
      <c r="AT161" s="3" t="str">
        <f>IFERROR(MID(VLOOKUP($B161,Seqs!$A:$B,2,0),AU161,1),"")</f>
        <v>V</v>
      </c>
      <c r="AU161" s="2">
        <v>389</v>
      </c>
      <c r="AV161" s="3" t="str">
        <f>IFERROR(MID(VLOOKUP($B161,Seqs!$A:$B,2,0),AW161,1),"")</f>
        <v>S</v>
      </c>
      <c r="AW161" s="2">
        <v>390</v>
      </c>
      <c r="AX161" s="3" t="str">
        <f>IFERROR(MID(VLOOKUP($B161,Seqs!$A:$B,2,0),AY161,1),"")</f>
        <v>C</v>
      </c>
      <c r="AY161" s="2">
        <v>403</v>
      </c>
      <c r="AZ161" s="77" t="str">
        <f>VLOOKUP(B161,Classification!A:D,2,0)</f>
        <v>A</v>
      </c>
      <c r="BA161" s="94" t="str">
        <f>VLOOKUP(B161,Classification!A:D,4,0)</f>
        <v>Endothelin</v>
      </c>
      <c r="BB161" s="27" t="b">
        <f t="shared" si="560"/>
        <v>1</v>
      </c>
      <c r="BC161" s="2"/>
      <c r="BD161" s="34" t="s">
        <v>1379</v>
      </c>
      <c r="BE161" s="3" t="s">
        <v>23</v>
      </c>
      <c r="BF161" s="119" t="s">
        <v>23</v>
      </c>
      <c r="BG161" s="49" t="s">
        <v>1379</v>
      </c>
      <c r="BH161" s="49" t="s">
        <v>1384</v>
      </c>
      <c r="BI161" s="2"/>
      <c r="BJ161" s="70"/>
      <c r="BU161" s="57"/>
      <c r="BV161" s="70"/>
      <c r="BW161" s="57"/>
      <c r="BX161" s="57"/>
      <c r="BY161" s="57"/>
      <c r="BZ161" s="57"/>
      <c r="CA161" s="57"/>
      <c r="CB161" s="57"/>
      <c r="CC161" s="57"/>
      <c r="CD161" s="57"/>
      <c r="CE161" s="57"/>
      <c r="CF161" s="57"/>
      <c r="CG161" s="57"/>
      <c r="CH161" s="70"/>
      <c r="CI161" s="57"/>
      <c r="CJ161" s="57"/>
      <c r="CK161" s="57"/>
      <c r="CL161" s="57"/>
      <c r="CM161" s="57"/>
      <c r="CN161" s="57"/>
      <c r="CO161" s="57"/>
      <c r="CP161" s="57"/>
      <c r="CQ161" s="57"/>
      <c r="CR161" s="57"/>
      <c r="CS161" s="57"/>
      <c r="CT161" s="2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29" x14ac:dyDescent="0.2">
      <c r="A162" s="3" t="str">
        <f t="shared" si="559"/>
        <v>ednrb_human_5GLH</v>
      </c>
      <c r="B162" s="2" t="s">
        <v>196</v>
      </c>
      <c r="C162" s="2" t="s">
        <v>1334</v>
      </c>
      <c r="D162" s="3" t="str">
        <f>IFERROR(MID(VLOOKUP($B162,Seqs!$A:$B,2,0),E162,1),"")</f>
        <v>K</v>
      </c>
      <c r="E162" s="2">
        <v>97</v>
      </c>
      <c r="F162" s="3" t="str">
        <f>IFERROR(MID(VLOOKUP($B162,Seqs!$A:$B,2,0),G162,1),"")</f>
        <v>N</v>
      </c>
      <c r="G162" s="2">
        <v>129</v>
      </c>
      <c r="H162" s="3" t="str">
        <f>IFERROR(MID(VLOOKUP($B162,Seqs!$A:$B,2,0),I162,1),"")</f>
        <v/>
      </c>
      <c r="I162" s="56" t="s">
        <v>23</v>
      </c>
      <c r="J162" s="3" t="str">
        <f>IFERROR(MID(VLOOKUP($B162,Seqs!$A:$B,2,0),K162,1),"")</f>
        <v/>
      </c>
      <c r="K162" s="56" t="s">
        <v>23</v>
      </c>
      <c r="L162" s="3" t="str">
        <f>IFERROR(MID(VLOOKUP($B162,Seqs!$A:$B,2,0),M162,1),"")</f>
        <v>P</v>
      </c>
      <c r="M162" s="2">
        <v>136</v>
      </c>
      <c r="N162" s="3" t="str">
        <f>IFERROR(MID(VLOOKUP($B162,Seqs!$A:$B,2,0),O162,1),"")</f>
        <v>A</v>
      </c>
      <c r="O162" s="2">
        <v>164</v>
      </c>
      <c r="P162" s="3" t="str">
        <f>IFERROR(MID(VLOOKUP($B162,Seqs!$A:$B,2,0),Q162,1),"")</f>
        <v>D</v>
      </c>
      <c r="Q162" s="2">
        <v>166</v>
      </c>
      <c r="R162" s="3" t="str">
        <f>IFERROR(MID(VLOOKUP($B162,Seqs!$A:$B,2,0),S162,1),"")</f>
        <v>F</v>
      </c>
      <c r="S162" s="2">
        <v>169</v>
      </c>
      <c r="T162" s="3" t="str">
        <f>IFERROR(MID(VLOOKUP($B162,Seqs!$A:$B,2,0),U162,1),"")</f>
        <v>G</v>
      </c>
      <c r="U162" s="4">
        <v>170</v>
      </c>
      <c r="V162" s="3" t="str">
        <f>IFERROR(MID(VLOOKUP($B162,Seqs!$A:$B,2,0),W162,1),"")</f>
        <v>S</v>
      </c>
      <c r="W162" s="2">
        <v>205</v>
      </c>
      <c r="X162" s="3" t="str">
        <f>IFERROR(MID(VLOOKUP($B162,Seqs!$A:$B,2,0),Y162,1),"")</f>
        <v/>
      </c>
      <c r="Y162" s="2" t="s">
        <v>23</v>
      </c>
      <c r="Z162" s="3" t="str">
        <f>IFERROR(MID(VLOOKUP($B162,Seqs!$A:$B,2,0),AA162,1),"")</f>
        <v/>
      </c>
      <c r="AA162" s="2" t="s">
        <v>23</v>
      </c>
      <c r="AB162" s="3" t="str">
        <f>IFERROR(MID(VLOOKUP($B162,Seqs!$A:$B,2,0),AC162,1),"")</f>
        <v>T</v>
      </c>
      <c r="AC162" s="40">
        <v>218</v>
      </c>
      <c r="AD162" s="3" t="str">
        <f>IFERROR(MID(VLOOKUP($B162,Seqs!$A:$B,2,0),AE162,1),"")</f>
        <v>F</v>
      </c>
      <c r="AE162" s="2">
        <v>240</v>
      </c>
      <c r="AF162" s="3" t="str">
        <f>IFERROR(MID(VLOOKUP($B162,Seqs!$A:$B,2,0),AG162,1),"")</f>
        <v>C</v>
      </c>
      <c r="AG162" s="2">
        <v>255</v>
      </c>
      <c r="AH162" s="3" t="str">
        <f>IFERROR(MID(VLOOKUP($B162,Seqs!$A:$B,2,0),AI162,1),"")</f>
        <v>L</v>
      </c>
      <c r="AI162" s="2">
        <v>257</v>
      </c>
      <c r="AJ162" s="3" t="str">
        <f>IFERROR(MID(VLOOKUP($B162,Seqs!$A:$B,2,0),AK162,1),"")</f>
        <v>T</v>
      </c>
      <c r="AK162" s="2">
        <v>263</v>
      </c>
      <c r="AL162" s="3" t="str">
        <f>IFERROR(MID(VLOOKUP($B162,Seqs!$A:$B,2,0),AM162,1),"")</f>
        <v>K</v>
      </c>
      <c r="AM162" s="2">
        <v>303</v>
      </c>
      <c r="AN162" s="3" t="str">
        <f>IFERROR(MID(VLOOKUP($B162,Seqs!$A:$B,2,0),AO162,1),"")</f>
        <v>N</v>
      </c>
      <c r="AO162" s="2">
        <v>312</v>
      </c>
      <c r="AP162" s="3" t="str">
        <f>IFERROR(MID(VLOOKUP($B162,Seqs!$A:$B,2,0),AQ162,1),"")</f>
        <v>Y</v>
      </c>
      <c r="AQ162" s="2">
        <v>350</v>
      </c>
      <c r="AR162" s="3" t="str">
        <f>IFERROR(MID(VLOOKUP($B162,Seqs!$A:$B,2,0),AS162,1),"")</f>
        <v>R</v>
      </c>
      <c r="AS162" s="2">
        <v>357</v>
      </c>
      <c r="AT162" s="3" t="str">
        <f>IFERROR(MID(VLOOKUP($B162,Seqs!$A:$B,2,0),AU162,1),"")</f>
        <v>V</v>
      </c>
      <c r="AU162" s="2">
        <v>389</v>
      </c>
      <c r="AV162" s="3" t="str">
        <f>IFERROR(MID(VLOOKUP($B162,Seqs!$A:$B,2,0),AW162,1),"")</f>
        <v>S</v>
      </c>
      <c r="AW162" s="2">
        <v>390</v>
      </c>
      <c r="AX162" s="3" t="str">
        <f>IFERROR(MID(VLOOKUP($B162,Seqs!$A:$B,2,0),AY162,1),"")</f>
        <v>L</v>
      </c>
      <c r="AY162" s="2">
        <v>401</v>
      </c>
      <c r="AZ162" s="77" t="str">
        <f>VLOOKUP(B162,Classification!A:D,2,0)</f>
        <v>A</v>
      </c>
      <c r="BA162" s="94" t="str">
        <f>VLOOKUP(B162,Classification!A:D,4,0)</f>
        <v>Endothelin</v>
      </c>
      <c r="BB162" s="27" t="b">
        <f t="shared" si="560"/>
        <v>1</v>
      </c>
      <c r="BC162" s="23">
        <f t="shared" ref="BC162:BC209" si="643">_xlfn.AGGREGATE(9,6,CH162:CS162)-_xlfn.AGGREGATE(9,6,BV162:CG162)+12</f>
        <v>255</v>
      </c>
      <c r="BD162" s="2" t="s">
        <v>23</v>
      </c>
      <c r="BE162" s="3" t="s">
        <v>1381</v>
      </c>
      <c r="BF162" s="119">
        <v>2.8</v>
      </c>
      <c r="BG162" s="49" t="s">
        <v>1384</v>
      </c>
      <c r="BH162" s="49" t="s">
        <v>1384</v>
      </c>
      <c r="BI162" s="2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 t="shared" ref="BV162:BV209" si="644">E162</f>
        <v>97</v>
      </c>
      <c r="BW162" s="71" t="str">
        <f t="shared" ref="BW162:BW209" si="645">I162</f>
        <v>-</v>
      </c>
      <c r="BX162" s="72">
        <f t="shared" ref="BX162:BX209" si="646">M162</f>
        <v>136</v>
      </c>
      <c r="BY162" s="71">
        <f t="shared" ref="BY162:BY209" si="647">Q162</f>
        <v>166</v>
      </c>
      <c r="BZ162" s="72">
        <f t="shared" ref="BZ162:BZ209" si="648">U162</f>
        <v>170</v>
      </c>
      <c r="CA162" s="71" t="str">
        <f t="shared" ref="CA162:CA209" si="649">Y162</f>
        <v>-</v>
      </c>
      <c r="CB162" s="72">
        <f t="shared" ref="CB162:CB209" si="650">AC162</f>
        <v>218</v>
      </c>
      <c r="CC162" s="71">
        <f t="shared" ref="CC162:CC209" si="651">AG162</f>
        <v>255</v>
      </c>
      <c r="CD162" s="72">
        <f t="shared" ref="CD162:CD209" si="652">AK162</f>
        <v>263</v>
      </c>
      <c r="CE162" s="71">
        <f t="shared" ref="CE162:CE209" si="653">AO162</f>
        <v>312</v>
      </c>
      <c r="CF162" s="72">
        <f t="shared" ref="CF162:CF209" si="654">AS162</f>
        <v>357</v>
      </c>
      <c r="CG162" s="71">
        <f t="shared" ref="CG162:CG209" si="655">AW162</f>
        <v>390</v>
      </c>
      <c r="CH162" s="70">
        <f t="shared" ref="CH162:CH209" si="656">G162</f>
        <v>129</v>
      </c>
      <c r="CI162" s="71" t="str">
        <f t="shared" ref="CI162:CI209" si="657">K162</f>
        <v>-</v>
      </c>
      <c r="CJ162" s="72">
        <f t="shared" ref="CJ162:CJ209" si="658">O162</f>
        <v>164</v>
      </c>
      <c r="CK162" s="72">
        <f t="shared" ref="CK162:CK209" si="659">S162</f>
        <v>169</v>
      </c>
      <c r="CL162" s="72">
        <f t="shared" ref="CL162:CL209" si="660">W162</f>
        <v>205</v>
      </c>
      <c r="CM162" s="72" t="str">
        <f t="shared" ref="CM162:CM209" si="661">AA162</f>
        <v>-</v>
      </c>
      <c r="CN162" s="72">
        <f t="shared" ref="CN162:CN209" si="662">AE162</f>
        <v>240</v>
      </c>
      <c r="CO162" s="72">
        <f t="shared" ref="CO162:CO209" si="663">AI162</f>
        <v>257</v>
      </c>
      <c r="CP162" s="72">
        <f t="shared" ref="CP162:CP209" si="664">AM162</f>
        <v>303</v>
      </c>
      <c r="CQ162" s="72">
        <f t="shared" ref="CQ162:CQ209" si="665">AQ162</f>
        <v>350</v>
      </c>
      <c r="CR162" s="72">
        <f t="shared" ref="CR162:CR209" si="666">AU162</f>
        <v>389</v>
      </c>
      <c r="CS162" s="72">
        <f t="shared" ref="CS162:CS209" si="667">AY162</f>
        <v>401</v>
      </c>
      <c r="CT162" s="23" t="e">
        <f t="shared" ref="CT162:CT209" si="668">M162-K162</f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559"/>
        <v>ednrb_human_5GLI</v>
      </c>
      <c r="B163" s="2" t="s">
        <v>196</v>
      </c>
      <c r="C163" s="2" t="s">
        <v>1333</v>
      </c>
      <c r="D163" s="3" t="str">
        <f>IFERROR(MID(VLOOKUP($B163,Seqs!$A:$B,2,0),E163,1),"")</f>
        <v>Q</v>
      </c>
      <c r="E163" s="2">
        <v>91</v>
      </c>
      <c r="F163" s="3" t="str">
        <f>IFERROR(MID(VLOOKUP($B163,Seqs!$A:$B,2,0),G163,1),"")</f>
        <v>N</v>
      </c>
      <c r="G163" s="2">
        <v>129</v>
      </c>
      <c r="H163" s="3" t="str">
        <f>IFERROR(MID(VLOOKUP($B163,Seqs!$A:$B,2,0),I163,1),"")</f>
        <v>K</v>
      </c>
      <c r="I163" s="56">
        <v>130</v>
      </c>
      <c r="J163" s="3" t="str">
        <f>IFERROR(MID(VLOOKUP($B163,Seqs!$A:$B,2,0),K163,1),"")</f>
        <v>N</v>
      </c>
      <c r="K163" s="56">
        <v>134</v>
      </c>
      <c r="L163" s="3" t="str">
        <f>IFERROR(MID(VLOOKUP($B163,Seqs!$A:$B,2,0),M163,1),"")</f>
        <v>G</v>
      </c>
      <c r="M163" s="2">
        <v>135</v>
      </c>
      <c r="N163" s="3" t="str">
        <f>IFERROR(MID(VLOOKUP($B163,Seqs!$A:$B,2,0),O163,1),"")</f>
        <v>A</v>
      </c>
      <c r="O163" s="2">
        <v>164</v>
      </c>
      <c r="P163" s="3" t="str">
        <f>IFERROR(MID(VLOOKUP($B163,Seqs!$A:$B,2,0),Q163,1),"")</f>
        <v>D</v>
      </c>
      <c r="Q163" s="2">
        <v>166</v>
      </c>
      <c r="R163" s="3" t="str">
        <f>IFERROR(MID(VLOOKUP($B163,Seqs!$A:$B,2,0),S163,1),"")</f>
        <v>F</v>
      </c>
      <c r="S163" s="2">
        <v>169</v>
      </c>
      <c r="T163" s="3" t="str">
        <f>IFERROR(MID(VLOOKUP($B163,Seqs!$A:$B,2,0),U163,1),"")</f>
        <v>G</v>
      </c>
      <c r="U163" s="4">
        <v>170</v>
      </c>
      <c r="V163" s="3" t="str">
        <f>IFERROR(MID(VLOOKUP($B163,Seqs!$A:$B,2,0),W163,1),"")</f>
        <v>S</v>
      </c>
      <c r="W163" s="2">
        <v>205</v>
      </c>
      <c r="X163" s="3" t="str">
        <f>IFERROR(MID(VLOOKUP($B163,Seqs!$A:$B,2,0),Y163,1),"")</f>
        <v/>
      </c>
      <c r="Y163" s="2" t="s">
        <v>23</v>
      </c>
      <c r="Z163" s="3" t="str">
        <f>IFERROR(MID(VLOOKUP($B163,Seqs!$A:$B,2,0),AA163,1),"")</f>
        <v/>
      </c>
      <c r="AA163" s="2" t="s">
        <v>23</v>
      </c>
      <c r="AB163" s="3" t="str">
        <f>IFERROR(MID(VLOOKUP($B163,Seqs!$A:$B,2,0),AC163,1),"")</f>
        <v>K</v>
      </c>
      <c r="AC163" s="40">
        <v>216</v>
      </c>
      <c r="AD163" s="3" t="str">
        <f>IFERROR(MID(VLOOKUP($B163,Seqs!$A:$B,2,0),AE163,1),"")</f>
        <v>F</v>
      </c>
      <c r="AE163" s="2">
        <v>240</v>
      </c>
      <c r="AF163" s="3" t="str">
        <f>IFERROR(MID(VLOOKUP($B163,Seqs!$A:$B,2,0),AG163,1),"")</f>
        <v>C</v>
      </c>
      <c r="AG163" s="2">
        <v>255</v>
      </c>
      <c r="AH163" s="3" t="str">
        <f>IFERROR(MID(VLOOKUP($B163,Seqs!$A:$B,2,0),AI163,1),"")</f>
        <v>L</v>
      </c>
      <c r="AI163" s="2">
        <v>257</v>
      </c>
      <c r="AJ163" s="3" t="str">
        <f>IFERROR(MID(VLOOKUP($B163,Seqs!$A:$B,2,0),AK163,1),"")</f>
        <v>T</v>
      </c>
      <c r="AK163" s="2">
        <v>263</v>
      </c>
      <c r="AL163" s="3" t="str">
        <f>IFERROR(MID(VLOOKUP($B163,Seqs!$A:$B,2,0),AM163,1),"")</f>
        <v>K</v>
      </c>
      <c r="AM163" s="2">
        <v>303</v>
      </c>
      <c r="AN163" s="3" t="str">
        <f>IFERROR(MID(VLOOKUP($B163,Seqs!$A:$B,2,0),AO163,1),"")</f>
        <v>N</v>
      </c>
      <c r="AO163" s="2">
        <v>312</v>
      </c>
      <c r="AP163" s="3" t="str">
        <f>IFERROR(MID(VLOOKUP($B163,Seqs!$A:$B,2,0),AQ163,1),"")</f>
        <v>Y</v>
      </c>
      <c r="AQ163" s="2">
        <v>350</v>
      </c>
      <c r="AR163" s="3" t="str">
        <f>IFERROR(MID(VLOOKUP($B163,Seqs!$A:$B,2,0),AS163,1),"")</f>
        <v>R</v>
      </c>
      <c r="AS163" s="2">
        <v>357</v>
      </c>
      <c r="AT163" s="3" t="str">
        <f>IFERROR(MID(VLOOKUP($B163,Seqs!$A:$B,2,0),AU163,1),"")</f>
        <v>V</v>
      </c>
      <c r="AU163" s="2">
        <v>389</v>
      </c>
      <c r="AV163" s="3" t="str">
        <f>IFERROR(MID(VLOOKUP($B163,Seqs!$A:$B,2,0),AW163,1),"")</f>
        <v>S</v>
      </c>
      <c r="AW163" s="2">
        <v>390</v>
      </c>
      <c r="AX163" s="3" t="str">
        <f>IFERROR(MID(VLOOKUP($B163,Seqs!$A:$B,2,0),AY163,1),"")</f>
        <v>C</v>
      </c>
      <c r="AY163" s="2">
        <v>403</v>
      </c>
      <c r="AZ163" s="77" t="str">
        <f>VLOOKUP(B163,Classification!A:D,2,0)</f>
        <v>A</v>
      </c>
      <c r="BA163" s="94" t="str">
        <f>VLOOKUP(B163,Classification!A:D,4,0)</f>
        <v>Endothelin</v>
      </c>
      <c r="BB163" s="27" t="b">
        <f t="shared" si="560"/>
        <v>1</v>
      </c>
      <c r="BC163" s="23">
        <f t="shared" si="643"/>
        <v>270</v>
      </c>
      <c r="BD163" s="2" t="s">
        <v>23</v>
      </c>
      <c r="BE163" s="3" t="s">
        <v>1381</v>
      </c>
      <c r="BF163" s="119">
        <v>2.5</v>
      </c>
      <c r="BG163" s="49" t="s">
        <v>1384</v>
      </c>
      <c r="BH163" s="49" t="s">
        <v>1384</v>
      </c>
      <c r="BI163" s="2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 t="shared" si="644"/>
        <v>91</v>
      </c>
      <c r="BW163" s="71">
        <f t="shared" si="645"/>
        <v>130</v>
      </c>
      <c r="BX163" s="72">
        <f t="shared" si="646"/>
        <v>135</v>
      </c>
      <c r="BY163" s="71">
        <f t="shared" si="647"/>
        <v>166</v>
      </c>
      <c r="BZ163" s="72">
        <f t="shared" si="648"/>
        <v>170</v>
      </c>
      <c r="CA163" s="71" t="str">
        <f t="shared" si="649"/>
        <v>-</v>
      </c>
      <c r="CB163" s="72">
        <f t="shared" si="650"/>
        <v>216</v>
      </c>
      <c r="CC163" s="71">
        <f t="shared" si="651"/>
        <v>255</v>
      </c>
      <c r="CD163" s="72">
        <f t="shared" si="652"/>
        <v>263</v>
      </c>
      <c r="CE163" s="71">
        <f t="shared" si="653"/>
        <v>312</v>
      </c>
      <c r="CF163" s="72">
        <f t="shared" si="654"/>
        <v>357</v>
      </c>
      <c r="CG163" s="71">
        <f t="shared" si="655"/>
        <v>390</v>
      </c>
      <c r="CH163" s="70">
        <f t="shared" si="656"/>
        <v>129</v>
      </c>
      <c r="CI163" s="71">
        <f t="shared" si="657"/>
        <v>134</v>
      </c>
      <c r="CJ163" s="72">
        <f t="shared" si="658"/>
        <v>164</v>
      </c>
      <c r="CK163" s="72">
        <f t="shared" si="659"/>
        <v>169</v>
      </c>
      <c r="CL163" s="72">
        <f t="shared" si="660"/>
        <v>205</v>
      </c>
      <c r="CM163" s="72" t="str">
        <f t="shared" si="661"/>
        <v>-</v>
      </c>
      <c r="CN163" s="72">
        <f t="shared" si="662"/>
        <v>240</v>
      </c>
      <c r="CO163" s="72">
        <f t="shared" si="663"/>
        <v>257</v>
      </c>
      <c r="CP163" s="72">
        <f t="shared" si="664"/>
        <v>303</v>
      </c>
      <c r="CQ163" s="72">
        <f t="shared" si="665"/>
        <v>350</v>
      </c>
      <c r="CR163" s="72">
        <f t="shared" si="666"/>
        <v>389</v>
      </c>
      <c r="CS163" s="72">
        <f t="shared" si="667"/>
        <v>403</v>
      </c>
      <c r="CT163" s="23">
        <f t="shared" si="668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>CONCATENATE(B164,"_",C164)</f>
        <v>ednrb_human_5X93</v>
      </c>
      <c r="B164" s="2" t="s">
        <v>196</v>
      </c>
      <c r="C164" s="2" t="s">
        <v>1449</v>
      </c>
      <c r="D164" s="3" t="str">
        <f>IFERROR(MID(VLOOKUP($B164,Seqs!$A:$B,2,0),E164,1),"")</f>
        <v>Q</v>
      </c>
      <c r="E164" s="2">
        <v>91</v>
      </c>
      <c r="F164" s="3" t="str">
        <f>IFERROR(MID(VLOOKUP($B164,Seqs!$A:$B,2,0),G164,1),"")</f>
        <v>N</v>
      </c>
      <c r="G164" s="2">
        <v>129</v>
      </c>
      <c r="H164" s="3" t="str">
        <f>IFERROR(MID(VLOOKUP($B164,Seqs!$A:$B,2,0),I164,1),"")</f>
        <v>K</v>
      </c>
      <c r="I164" s="56">
        <v>130</v>
      </c>
      <c r="J164" s="3" t="str">
        <f>IFERROR(MID(VLOOKUP($B164,Seqs!$A:$B,2,0),K164,1),"")</f>
        <v>N</v>
      </c>
      <c r="K164" s="56">
        <v>134</v>
      </c>
      <c r="L164" s="3" t="str">
        <f>IFERROR(MID(VLOOKUP($B164,Seqs!$A:$B,2,0),M164,1),"")</f>
        <v>G</v>
      </c>
      <c r="M164" s="2">
        <v>135</v>
      </c>
      <c r="N164" s="3" t="str">
        <f>IFERROR(MID(VLOOKUP($B164,Seqs!$A:$B,2,0),O164,1),"")</f>
        <v>A</v>
      </c>
      <c r="O164" s="2">
        <v>164</v>
      </c>
      <c r="P164" s="3" t="str">
        <f>IFERROR(MID(VLOOKUP($B164,Seqs!$A:$B,2,0),Q164,1),"")</f>
        <v>D</v>
      </c>
      <c r="Q164" s="2">
        <v>166</v>
      </c>
      <c r="R164" s="3" t="str">
        <f>IFERROR(MID(VLOOKUP($B164,Seqs!$A:$B,2,0),S164,1),"")</f>
        <v>F</v>
      </c>
      <c r="S164" s="2">
        <v>169</v>
      </c>
      <c r="T164" s="3" t="str">
        <f>IFERROR(MID(VLOOKUP($B164,Seqs!$A:$B,2,0),U164,1),"")</f>
        <v>G</v>
      </c>
      <c r="U164" s="4">
        <v>170</v>
      </c>
      <c r="V164" s="3" t="str">
        <f>IFERROR(MID(VLOOKUP($B164,Seqs!$A:$B,2,0),W164,1),"")</f>
        <v>S</v>
      </c>
      <c r="W164" s="2">
        <v>205</v>
      </c>
      <c r="X164" s="3" t="str">
        <f>IFERROR(MID(VLOOKUP($B164,Seqs!$A:$B,2,0),Y164,1),"")</f>
        <v/>
      </c>
      <c r="Y164" s="2" t="s">
        <v>23</v>
      </c>
      <c r="Z164" s="3" t="str">
        <f>IFERROR(MID(VLOOKUP($B164,Seqs!$A:$B,2,0),AA164,1),"")</f>
        <v/>
      </c>
      <c r="AA164" s="2" t="s">
        <v>23</v>
      </c>
      <c r="AB164" s="3" t="str">
        <f>IFERROR(MID(VLOOKUP($B164,Seqs!$A:$B,2,0),AC164,1),"")</f>
        <v>K</v>
      </c>
      <c r="AC164" s="2">
        <v>216</v>
      </c>
      <c r="AD164" s="3" t="str">
        <f>IFERROR(MID(VLOOKUP($B164,Seqs!$A:$B,2,0),AE164,1),"")</f>
        <v>F</v>
      </c>
      <c r="AE164" s="2">
        <v>240</v>
      </c>
      <c r="AF164" s="3" t="str">
        <f>IFERROR(MID(VLOOKUP($B164,Seqs!$A:$B,2,0),AG164,1),"")</f>
        <v>C</v>
      </c>
      <c r="AG164" s="2">
        <v>255</v>
      </c>
      <c r="AH164" s="3" t="str">
        <f>IFERROR(MID(VLOOKUP($B164,Seqs!$A:$B,2,0),AI164,1),"")</f>
        <v>L</v>
      </c>
      <c r="AI164" s="2">
        <v>257</v>
      </c>
      <c r="AJ164" s="3" t="str">
        <f>IFERROR(MID(VLOOKUP($B164,Seqs!$A:$B,2,0),AK164,1),"")</f>
        <v>T</v>
      </c>
      <c r="AK164" s="2">
        <v>263</v>
      </c>
      <c r="AL164" s="3" t="str">
        <f>IFERROR(MID(VLOOKUP($B164,Seqs!$A:$B,2,0),AM164,1),"")</f>
        <v>K</v>
      </c>
      <c r="AM164" s="2">
        <v>303</v>
      </c>
      <c r="AN164" s="3" t="str">
        <f>IFERROR(MID(VLOOKUP($B164,Seqs!$A:$B,2,0),AO164,1),"")</f>
        <v>N</v>
      </c>
      <c r="AO164" s="2">
        <v>312</v>
      </c>
      <c r="AP164" s="3" t="str">
        <f>IFERROR(MID(VLOOKUP($B164,Seqs!$A:$B,2,0),AQ164,1),"")</f>
        <v>Y</v>
      </c>
      <c r="AQ164" s="2">
        <v>350</v>
      </c>
      <c r="AR164" s="3" t="str">
        <f>IFERROR(MID(VLOOKUP($B164,Seqs!$A:$B,2,0),AS164,1),"")</f>
        <v>R</v>
      </c>
      <c r="AS164" s="2">
        <v>357</v>
      </c>
      <c r="AT164" s="3" t="str">
        <f>IFERROR(MID(VLOOKUP($B164,Seqs!$A:$B,2,0),AU164,1),"")</f>
        <v>V</v>
      </c>
      <c r="AU164" s="2">
        <v>389</v>
      </c>
      <c r="AV164" s="3" t="str">
        <f>IFERROR(MID(VLOOKUP($B164,Seqs!$A:$B,2,0),AW164,1),"")</f>
        <v>S</v>
      </c>
      <c r="AW164" s="2">
        <v>390</v>
      </c>
      <c r="AX164" s="3" t="str">
        <f>IFERROR(MID(VLOOKUP($B164,Seqs!$A:$B,2,0),AY164,1),"")</f>
        <v>C</v>
      </c>
      <c r="AY164" s="2">
        <v>403</v>
      </c>
      <c r="AZ164" s="77" t="str">
        <f>VLOOKUP(B164,Classification!A:D,2,0)</f>
        <v>A</v>
      </c>
      <c r="BA164" s="94" t="str">
        <f>VLOOKUP(B164,Classification!A:D,4,0)</f>
        <v>Endothelin</v>
      </c>
      <c r="BB164" s="27" t="b">
        <f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>_xlfn.AGGREGATE(9,6,CH164:CS164)-_xlfn.AGGREGATE(9,6,BV164:CG164)+12</f>
        <v>270</v>
      </c>
      <c r="BD164" s="2" t="s">
        <v>1383</v>
      </c>
      <c r="BE164" s="3" t="s">
        <v>1381</v>
      </c>
      <c r="BF164" s="119">
        <v>2.2000000000000002</v>
      </c>
      <c r="BG164" s="49" t="s">
        <v>1</v>
      </c>
      <c r="BH164" s="49" t="s">
        <v>1</v>
      </c>
      <c r="BI164" s="2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>E164</f>
        <v>91</v>
      </c>
      <c r="BW164" s="71">
        <f>I164</f>
        <v>130</v>
      </c>
      <c r="BX164" s="72">
        <f>M164</f>
        <v>135</v>
      </c>
      <c r="BY164" s="71">
        <f>Q164</f>
        <v>166</v>
      </c>
      <c r="BZ164" s="72">
        <f>U164</f>
        <v>170</v>
      </c>
      <c r="CA164" s="71" t="str">
        <f>Y164</f>
        <v>-</v>
      </c>
      <c r="CB164" s="72">
        <f>AC164</f>
        <v>216</v>
      </c>
      <c r="CC164" s="71">
        <f>AG164</f>
        <v>255</v>
      </c>
      <c r="CD164" s="72">
        <f>AK164</f>
        <v>263</v>
      </c>
      <c r="CE164" s="71">
        <f>AO164</f>
        <v>312</v>
      </c>
      <c r="CF164" s="72">
        <f>AS164</f>
        <v>357</v>
      </c>
      <c r="CG164" s="71">
        <f>AW164</f>
        <v>390</v>
      </c>
      <c r="CH164" s="70">
        <f>G164</f>
        <v>129</v>
      </c>
      <c r="CI164" s="71">
        <f>K164</f>
        <v>134</v>
      </c>
      <c r="CJ164" s="72">
        <f>O164</f>
        <v>164</v>
      </c>
      <c r="CK164" s="72">
        <f>S164</f>
        <v>169</v>
      </c>
      <c r="CL164" s="72">
        <f>W164</f>
        <v>205</v>
      </c>
      <c r="CM164" s="72" t="str">
        <f>AA164</f>
        <v>-</v>
      </c>
      <c r="CN164" s="72">
        <f>AE164</f>
        <v>240</v>
      </c>
      <c r="CO164" s="72">
        <f>AI164</f>
        <v>257</v>
      </c>
      <c r="CP164" s="72">
        <f>AM164</f>
        <v>303</v>
      </c>
      <c r="CQ164" s="72">
        <f>AQ164</f>
        <v>350</v>
      </c>
      <c r="CR164" s="72">
        <f>AU164</f>
        <v>389</v>
      </c>
      <c r="CS164" s="72">
        <f>AY164</f>
        <v>403</v>
      </c>
      <c r="CT164" s="23">
        <f>M164-K164</f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>CONCATENATE(B165,"_",C165)</f>
        <v>ednrb_human_5XPR</v>
      </c>
      <c r="B165" s="2" t="s">
        <v>196</v>
      </c>
      <c r="C165" s="2" t="s">
        <v>1450</v>
      </c>
      <c r="D165" s="3" t="str">
        <f>IFERROR(MID(VLOOKUP($B165,Seqs!$A:$B,2,0),E165,1),"")</f>
        <v>G</v>
      </c>
      <c r="E165" s="2">
        <v>92</v>
      </c>
      <c r="F165" s="3" t="str">
        <f>IFERROR(MID(VLOOKUP($B165,Seqs!$A:$B,2,0),G165,1),"")</f>
        <v>N</v>
      </c>
      <c r="G165" s="2">
        <v>129</v>
      </c>
      <c r="H165" s="3" t="str">
        <f>IFERROR(MID(VLOOKUP($B165,Seqs!$A:$B,2,0),I165,1),"")</f>
        <v>K</v>
      </c>
      <c r="I165" s="56">
        <v>130</v>
      </c>
      <c r="J165" s="3" t="str">
        <f>IFERROR(MID(VLOOKUP($B165,Seqs!$A:$B,2,0),K165,1),"")</f>
        <v>N</v>
      </c>
      <c r="K165" s="56">
        <v>134</v>
      </c>
      <c r="L165" s="3" t="str">
        <f>IFERROR(MID(VLOOKUP($B165,Seqs!$A:$B,2,0),M165,1),"")</f>
        <v>G</v>
      </c>
      <c r="M165" s="2">
        <v>135</v>
      </c>
      <c r="N165" s="3" t="str">
        <f>IFERROR(MID(VLOOKUP($B165,Seqs!$A:$B,2,0),O165,1),"")</f>
        <v>A</v>
      </c>
      <c r="O165" s="2">
        <v>164</v>
      </c>
      <c r="P165" s="3" t="str">
        <f>IFERROR(MID(VLOOKUP($B165,Seqs!$A:$B,2,0),Q165,1),"")</f>
        <v>D</v>
      </c>
      <c r="Q165" s="2">
        <v>166</v>
      </c>
      <c r="R165" s="3" t="str">
        <f>IFERROR(MID(VLOOKUP($B165,Seqs!$A:$B,2,0),S165,1),"")</f>
        <v>F</v>
      </c>
      <c r="S165" s="2">
        <v>169</v>
      </c>
      <c r="T165" s="3" t="str">
        <f>IFERROR(MID(VLOOKUP($B165,Seqs!$A:$B,2,0),U165,1),"")</f>
        <v>A</v>
      </c>
      <c r="U165" s="4">
        <v>171</v>
      </c>
      <c r="V165" s="3" t="str">
        <f>IFERROR(MID(VLOOKUP($B165,Seqs!$A:$B,2,0),W165,1),"")</f>
        <v>A</v>
      </c>
      <c r="W165" s="2">
        <v>202</v>
      </c>
      <c r="X165" s="3" t="str">
        <f>IFERROR(MID(VLOOKUP($B165,Seqs!$A:$B,2,0),Y165,1),"")</f>
        <v/>
      </c>
      <c r="Y165" s="2" t="s">
        <v>23</v>
      </c>
      <c r="Z165" s="3" t="str">
        <f>IFERROR(MID(VLOOKUP($B165,Seqs!$A:$B,2,0),AA165,1),"")</f>
        <v/>
      </c>
      <c r="AA165" s="2" t="s">
        <v>23</v>
      </c>
      <c r="AB165" s="3" t="str">
        <f>IFERROR(MID(VLOOKUP($B165,Seqs!$A:$B,2,0),AC165,1),"")</f>
        <v>K</v>
      </c>
      <c r="AC165" s="2">
        <v>216</v>
      </c>
      <c r="AD165" s="3" t="str">
        <f>IFERROR(MID(VLOOKUP($B165,Seqs!$A:$B,2,0),AE165,1),"")</f>
        <v>F</v>
      </c>
      <c r="AE165" s="2">
        <v>240</v>
      </c>
      <c r="AF165" s="3" t="str">
        <f>IFERROR(MID(VLOOKUP($B165,Seqs!$A:$B,2,0),AG165,1),"")</f>
        <v>C</v>
      </c>
      <c r="AG165" s="2">
        <v>255</v>
      </c>
      <c r="AH165" s="3" t="str">
        <f>IFERROR(MID(VLOOKUP($B165,Seqs!$A:$B,2,0),AI165,1),"")</f>
        <v>L</v>
      </c>
      <c r="AI165" s="2">
        <v>257</v>
      </c>
      <c r="AJ165" s="3" t="str">
        <f>IFERROR(MID(VLOOKUP($B165,Seqs!$A:$B,2,0),AK165,1),"")</f>
        <v>T</v>
      </c>
      <c r="AK165" s="2">
        <v>263</v>
      </c>
      <c r="AL165" s="3" t="str">
        <f>IFERROR(MID(VLOOKUP($B165,Seqs!$A:$B,2,0),AM165,1),"")</f>
        <v>K</v>
      </c>
      <c r="AM165" s="2">
        <v>303</v>
      </c>
      <c r="AN165" s="3" t="str">
        <f>IFERROR(MID(VLOOKUP($B165,Seqs!$A:$B,2,0),AO165,1),"")</f>
        <v>N</v>
      </c>
      <c r="AO165" s="2">
        <v>312</v>
      </c>
      <c r="AP165" s="3" t="str">
        <f>IFERROR(MID(VLOOKUP($B165,Seqs!$A:$B,2,0),AQ165,1),"")</f>
        <v>L</v>
      </c>
      <c r="AQ165" s="2">
        <v>349</v>
      </c>
      <c r="AR165" s="3" t="str">
        <f>IFERROR(MID(VLOOKUP($B165,Seqs!$A:$B,2,0),AS165,1),"")</f>
        <v>N</v>
      </c>
      <c r="AS165" s="2">
        <v>356</v>
      </c>
      <c r="AT165" s="3" t="str">
        <f>IFERROR(MID(VLOOKUP($B165,Seqs!$A:$B,2,0),AU165,1),"")</f>
        <v>V</v>
      </c>
      <c r="AU165" s="2">
        <v>389</v>
      </c>
      <c r="AV165" s="3" t="str">
        <f>IFERROR(MID(VLOOKUP($B165,Seqs!$A:$B,2,0),AW165,1),"")</f>
        <v>S</v>
      </c>
      <c r="AW165" s="2">
        <v>390</v>
      </c>
      <c r="AX165" s="3" t="str">
        <f>IFERROR(MID(VLOOKUP($B165,Seqs!$A:$B,2,0),AY165,1),"")</f>
        <v>C</v>
      </c>
      <c r="AY165" s="2">
        <v>402</v>
      </c>
      <c r="AZ165" s="77" t="str">
        <f>VLOOKUP(B165,Classification!A:D,2,0)</f>
        <v>A</v>
      </c>
      <c r="BA165" s="94" t="str">
        <f>VLOOKUP(B165,Classification!A:D,4,0)</f>
        <v>Endothelin</v>
      </c>
      <c r="BB165" s="27" t="b">
        <f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>_xlfn.AGGREGATE(9,6,CH165:CS165)-_xlfn.AGGREGATE(9,6,BV165:CG165)+12</f>
        <v>264</v>
      </c>
      <c r="BD165" s="2" t="s">
        <v>23</v>
      </c>
      <c r="BE165" s="3" t="s">
        <v>1381</v>
      </c>
      <c r="BF165" s="119">
        <v>3.6</v>
      </c>
      <c r="BG165" s="49" t="s">
        <v>1</v>
      </c>
      <c r="BH165" s="49" t="s">
        <v>1</v>
      </c>
      <c r="BI165" s="2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>E165</f>
        <v>92</v>
      </c>
      <c r="BW165" s="71">
        <f>I165</f>
        <v>130</v>
      </c>
      <c r="BX165" s="72">
        <f>M165</f>
        <v>135</v>
      </c>
      <c r="BY165" s="71">
        <f>Q165</f>
        <v>166</v>
      </c>
      <c r="BZ165" s="72">
        <f>U165</f>
        <v>171</v>
      </c>
      <c r="CA165" s="71" t="str">
        <f>Y165</f>
        <v>-</v>
      </c>
      <c r="CB165" s="72">
        <f>AC165</f>
        <v>216</v>
      </c>
      <c r="CC165" s="71">
        <f>AG165</f>
        <v>255</v>
      </c>
      <c r="CD165" s="72">
        <f>AK165</f>
        <v>263</v>
      </c>
      <c r="CE165" s="71">
        <f>AO165</f>
        <v>312</v>
      </c>
      <c r="CF165" s="72">
        <f>AS165</f>
        <v>356</v>
      </c>
      <c r="CG165" s="71">
        <f>AW165</f>
        <v>390</v>
      </c>
      <c r="CH165" s="70">
        <f>G165</f>
        <v>129</v>
      </c>
      <c r="CI165" s="71">
        <f>K165</f>
        <v>134</v>
      </c>
      <c r="CJ165" s="72">
        <f>O165</f>
        <v>164</v>
      </c>
      <c r="CK165" s="72">
        <f>S165</f>
        <v>169</v>
      </c>
      <c r="CL165" s="72">
        <f>W165</f>
        <v>202</v>
      </c>
      <c r="CM165" s="72" t="str">
        <f>AA165</f>
        <v>-</v>
      </c>
      <c r="CN165" s="72">
        <f>AE165</f>
        <v>240</v>
      </c>
      <c r="CO165" s="72">
        <f>AI165</f>
        <v>257</v>
      </c>
      <c r="CP165" s="72">
        <f>AM165</f>
        <v>303</v>
      </c>
      <c r="CQ165" s="72">
        <f>AQ165</f>
        <v>349</v>
      </c>
      <c r="CR165" s="72">
        <f>AU165</f>
        <v>389</v>
      </c>
      <c r="CS165" s="72">
        <f>AY165</f>
        <v>402</v>
      </c>
      <c r="CT165" s="23">
        <f>M165-K165</f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s="12" customFormat="1" x14ac:dyDescent="0.2">
      <c r="A166" s="9" t="str">
        <f>CONCATENATE(B166,"_",C166)</f>
        <v>ednrb_human_6IGL</v>
      </c>
      <c r="B166" s="40" t="s">
        <v>196</v>
      </c>
      <c r="C166" s="40" t="s">
        <v>1550</v>
      </c>
      <c r="D166" s="9" t="str">
        <f>IFERROR(MID(VLOOKUP($B166,Seqs!$A:$B,2,0),E166,1),"")</f>
        <v>K</v>
      </c>
      <c r="E166" s="40">
        <v>97</v>
      </c>
      <c r="F166" s="9" t="str">
        <f>IFERROR(MID(VLOOKUP($B166,Seqs!$A:$B,2,0),G166,1),"")</f>
        <v>N</v>
      </c>
      <c r="G166" s="40">
        <v>129</v>
      </c>
      <c r="H166" s="9" t="str">
        <f>IFERROR(MID(VLOOKUP($B166,Seqs!$A:$B,2,0),I166,1),"")</f>
        <v/>
      </c>
      <c r="I166" s="133" t="s">
        <v>23</v>
      </c>
      <c r="J166" s="9" t="str">
        <f>IFERROR(MID(VLOOKUP($B166,Seqs!$A:$B,2,0),K166,1),"")</f>
        <v/>
      </c>
      <c r="K166" s="133" t="s">
        <v>23</v>
      </c>
      <c r="L166" s="9" t="str">
        <f>IFERROR(MID(VLOOKUP($B166,Seqs!$A:$B,2,0),M166,1),"")</f>
        <v>N</v>
      </c>
      <c r="M166" s="40">
        <v>134</v>
      </c>
      <c r="N166" s="9" t="str">
        <f>IFERROR(MID(VLOOKUP($B166,Seqs!$A:$B,2,0),O166,1),"")</f>
        <v>E</v>
      </c>
      <c r="O166" s="40">
        <v>165</v>
      </c>
      <c r="P166" s="9" t="str">
        <f>IFERROR(MID(VLOOKUP($B166,Seqs!$A:$B,2,0),Q166,1),"")</f>
        <v>D</v>
      </c>
      <c r="Q166" s="40">
        <v>166</v>
      </c>
      <c r="R166" s="9" t="str">
        <f>IFERROR(MID(VLOOKUP($B166,Seqs!$A:$B,2,0),S166,1),"")</f>
        <v>F</v>
      </c>
      <c r="S166" s="40">
        <v>169</v>
      </c>
      <c r="T166" s="9" t="str">
        <f>IFERROR(MID(VLOOKUP($B166,Seqs!$A:$B,2,0),U166,1),"")</f>
        <v>G</v>
      </c>
      <c r="U166" s="11">
        <v>170</v>
      </c>
      <c r="V166" s="9" t="str">
        <f>IFERROR(MID(VLOOKUP($B166,Seqs!$A:$B,2,0),W166,1),"")</f>
        <v>V</v>
      </c>
      <c r="W166" s="40">
        <v>203</v>
      </c>
      <c r="X166" s="9" t="str">
        <f>IFERROR(MID(VLOOKUP($B166,Seqs!$A:$B,2,0),Y166,1),"")</f>
        <v/>
      </c>
      <c r="Y166" s="40" t="s">
        <v>23</v>
      </c>
      <c r="Z166" s="9" t="str">
        <f>IFERROR(MID(VLOOKUP($B166,Seqs!$A:$B,2,0),AA166,1),"")</f>
        <v/>
      </c>
      <c r="AA166" s="40" t="s">
        <v>23</v>
      </c>
      <c r="AB166" s="9" t="str">
        <f>IFERROR(MID(VLOOKUP($B166,Seqs!$A:$B,2,0),AC166,1),"")</f>
        <v>W</v>
      </c>
      <c r="AC166" s="40">
        <v>217</v>
      </c>
      <c r="AD166" s="9" t="str">
        <f>IFERROR(MID(VLOOKUP($B166,Seqs!$A:$B,2,0),AE166,1),"")</f>
        <v>F</v>
      </c>
      <c r="AE166" s="40">
        <v>240</v>
      </c>
      <c r="AF166" s="9" t="str">
        <f>IFERROR(MID(VLOOKUP($B166,Seqs!$A:$B,2,0),AG166,1),"")</f>
        <v>C</v>
      </c>
      <c r="AG166" s="40">
        <v>255</v>
      </c>
      <c r="AH166" s="9" t="str">
        <f>IFERROR(MID(VLOOKUP($B166,Seqs!$A:$B,2,0),AI166,1),"")</f>
        <v>L</v>
      </c>
      <c r="AI166" s="40">
        <v>257</v>
      </c>
      <c r="AJ166" s="9" t="str">
        <f>IFERROR(MID(VLOOKUP($B166,Seqs!$A:$B,2,0),AK166,1),"")</f>
        <v>T</v>
      </c>
      <c r="AK166" s="40">
        <v>263</v>
      </c>
      <c r="AL166" s="9" t="str">
        <f>IFERROR(MID(VLOOKUP($B166,Seqs!$A:$B,2,0),AM166,1),"")</f>
        <v>K</v>
      </c>
      <c r="AM166" s="40">
        <v>303</v>
      </c>
      <c r="AN166" s="9" t="str">
        <f>IFERROR(MID(VLOOKUP($B166,Seqs!$A:$B,2,0),AO166,1),"")</f>
        <v>N</v>
      </c>
      <c r="AO166" s="40">
        <v>312</v>
      </c>
      <c r="AP166" s="9" t="str">
        <f>IFERROR(MID(VLOOKUP($B166,Seqs!$A:$B,2,0),AQ166,1),"")</f>
        <v>Y</v>
      </c>
      <c r="AQ166" s="40">
        <v>350</v>
      </c>
      <c r="AR166" s="9" t="str">
        <f>IFERROR(MID(VLOOKUP($B166,Seqs!$A:$B,2,0),AS166,1),"")</f>
        <v>R</v>
      </c>
      <c r="AS166" s="40">
        <v>357</v>
      </c>
      <c r="AT166" s="9" t="str">
        <f>IFERROR(MID(VLOOKUP($B166,Seqs!$A:$B,2,0),AU166,1),"")</f>
        <v>V</v>
      </c>
      <c r="AU166" s="40">
        <v>389</v>
      </c>
      <c r="AV166" s="9" t="str">
        <f>IFERROR(MID(VLOOKUP($B166,Seqs!$A:$B,2,0),AW166,1),"")</f>
        <v>S</v>
      </c>
      <c r="AW166" s="40">
        <v>390</v>
      </c>
      <c r="AX166" s="9" t="str">
        <f>IFERROR(MID(VLOOKUP($B166,Seqs!$A:$B,2,0),AY166,1),"")</f>
        <v>L</v>
      </c>
      <c r="AY166" s="40">
        <v>401</v>
      </c>
      <c r="AZ166" s="110" t="str">
        <f>VLOOKUP(B166,Classification!A:D,2,0)</f>
        <v>A</v>
      </c>
      <c r="BA166" s="98" t="str">
        <f>VLOOKUP(B166,Classification!A:D,4,0)</f>
        <v>Endothelin</v>
      </c>
      <c r="BB166" s="36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109">
        <f>_xlfn.AGGREGATE(9,6,CH166:CS166)-_xlfn.AGGREGATE(9,6,BV166:CG166)+12</f>
        <v>257</v>
      </c>
      <c r="BD166" s="40" t="s">
        <v>23</v>
      </c>
      <c r="BE166" s="9" t="s">
        <v>1381</v>
      </c>
      <c r="BF166" s="120">
        <v>2.7</v>
      </c>
      <c r="BG166" s="51" t="s">
        <v>1</v>
      </c>
      <c r="BH166" s="51" t="s">
        <v>1</v>
      </c>
      <c r="BI166" s="40"/>
      <c r="BJ166" s="111" t="s">
        <v>1293</v>
      </c>
      <c r="BK166" s="112" t="s">
        <v>1293</v>
      </c>
      <c r="BL166" s="112" t="s">
        <v>1293</v>
      </c>
      <c r="BM166" s="112" t="s">
        <v>1293</v>
      </c>
      <c r="BN166" s="112" t="s">
        <v>1293</v>
      </c>
      <c r="BO166" s="112" t="s">
        <v>1293</v>
      </c>
      <c r="BP166" s="112" t="s">
        <v>1293</v>
      </c>
      <c r="BQ166" s="112" t="s">
        <v>1293</v>
      </c>
      <c r="BR166" s="112" t="s">
        <v>1293</v>
      </c>
      <c r="BS166" s="112" t="s">
        <v>1293</v>
      </c>
      <c r="BT166" s="112" t="s">
        <v>1293</v>
      </c>
      <c r="BU166" s="112" t="s">
        <v>1293</v>
      </c>
      <c r="BV166" s="111">
        <f>E166</f>
        <v>97</v>
      </c>
      <c r="BW166" s="113" t="str">
        <f>I166</f>
        <v>-</v>
      </c>
      <c r="BX166" s="114">
        <f>M166</f>
        <v>134</v>
      </c>
      <c r="BY166" s="113">
        <f>Q166</f>
        <v>166</v>
      </c>
      <c r="BZ166" s="114">
        <f>U166</f>
        <v>170</v>
      </c>
      <c r="CA166" s="113" t="str">
        <f>Y166</f>
        <v>-</v>
      </c>
      <c r="CB166" s="114">
        <f>AC166</f>
        <v>217</v>
      </c>
      <c r="CC166" s="113">
        <f>AG166</f>
        <v>255</v>
      </c>
      <c r="CD166" s="114">
        <f>AK166</f>
        <v>263</v>
      </c>
      <c r="CE166" s="113">
        <f>AO166</f>
        <v>312</v>
      </c>
      <c r="CF166" s="114">
        <f>AS166</f>
        <v>357</v>
      </c>
      <c r="CG166" s="113">
        <f>AW166</f>
        <v>390</v>
      </c>
      <c r="CH166" s="111">
        <f>G166</f>
        <v>129</v>
      </c>
      <c r="CI166" s="113" t="str">
        <f>K166</f>
        <v>-</v>
      </c>
      <c r="CJ166" s="114">
        <f>O166</f>
        <v>165</v>
      </c>
      <c r="CK166" s="114">
        <f>S166</f>
        <v>169</v>
      </c>
      <c r="CL166" s="114">
        <f>W166</f>
        <v>203</v>
      </c>
      <c r="CM166" s="114" t="str">
        <f>AA166</f>
        <v>-</v>
      </c>
      <c r="CN166" s="114">
        <f>AE166</f>
        <v>240</v>
      </c>
      <c r="CO166" s="114">
        <f>AI166</f>
        <v>257</v>
      </c>
      <c r="CP166" s="114">
        <f>AM166</f>
        <v>303</v>
      </c>
      <c r="CQ166" s="114">
        <f>AQ166</f>
        <v>350</v>
      </c>
      <c r="CR166" s="114">
        <f>AU166</f>
        <v>389</v>
      </c>
      <c r="CS166" s="114">
        <f>AY166</f>
        <v>401</v>
      </c>
      <c r="CT166" s="109" t="e">
        <f>M166-K166</f>
        <v>#VALUE!</v>
      </c>
    </row>
    <row r="167" spans="1:1029" s="12" customFormat="1" x14ac:dyDescent="0.2">
      <c r="A167" s="9" t="str">
        <f>CONCATENATE(B167,"_",C167)</f>
        <v>ednrb_human_6IGK</v>
      </c>
      <c r="B167" s="40" t="s">
        <v>196</v>
      </c>
      <c r="C167" s="40" t="s">
        <v>1551</v>
      </c>
      <c r="D167" s="9" t="str">
        <f>IFERROR(MID(VLOOKUP($B167,Seqs!$A:$B,2,0),E167,1),"")</f>
        <v>K</v>
      </c>
      <c r="E167" s="40">
        <v>97</v>
      </c>
      <c r="F167" s="9" t="str">
        <f>IFERROR(MID(VLOOKUP($B167,Seqs!$A:$B,2,0),G167,1),"")</f>
        <v>N</v>
      </c>
      <c r="G167" s="40">
        <v>129</v>
      </c>
      <c r="H167" s="9" t="str">
        <f>IFERROR(MID(VLOOKUP($B167,Seqs!$A:$B,2,0),I167,1),"")</f>
        <v/>
      </c>
      <c r="I167" s="133" t="s">
        <v>23</v>
      </c>
      <c r="J167" s="9" t="str">
        <f>IFERROR(MID(VLOOKUP($B167,Seqs!$A:$B,2,0),K167,1),"")</f>
        <v/>
      </c>
      <c r="K167" s="133" t="s">
        <v>23</v>
      </c>
      <c r="L167" s="9" t="str">
        <f>IFERROR(MID(VLOOKUP($B167,Seqs!$A:$B,2,0),M167,1),"")</f>
        <v>N</v>
      </c>
      <c r="M167" s="40">
        <v>134</v>
      </c>
      <c r="N167" s="9" t="str">
        <f>IFERROR(MID(VLOOKUP($B167,Seqs!$A:$B,2,0),O167,1),"")</f>
        <v>E</v>
      </c>
      <c r="O167" s="40">
        <v>165</v>
      </c>
      <c r="P167" s="9" t="str">
        <f>IFERROR(MID(VLOOKUP($B167,Seqs!$A:$B,2,0),Q167,1),"")</f>
        <v>D</v>
      </c>
      <c r="Q167" s="40">
        <v>166</v>
      </c>
      <c r="R167" s="9" t="str">
        <f>IFERROR(MID(VLOOKUP($B167,Seqs!$A:$B,2,0),S167,1),"")</f>
        <v>F</v>
      </c>
      <c r="S167" s="40">
        <v>169</v>
      </c>
      <c r="T167" s="9" t="str">
        <f>IFERROR(MID(VLOOKUP($B167,Seqs!$A:$B,2,0),U167,1),"")</f>
        <v>G</v>
      </c>
      <c r="U167" s="11">
        <v>170</v>
      </c>
      <c r="V167" s="9" t="str">
        <f>IFERROR(MID(VLOOKUP($B167,Seqs!$A:$B,2,0),W167,1),"")</f>
        <v>S</v>
      </c>
      <c r="W167" s="40">
        <v>205</v>
      </c>
      <c r="X167" s="9" t="str">
        <f>IFERROR(MID(VLOOKUP($B167,Seqs!$A:$B,2,0),Y167,1),"")</f>
        <v/>
      </c>
      <c r="Y167" s="40" t="s">
        <v>23</v>
      </c>
      <c r="Z167" s="9" t="str">
        <f>IFERROR(MID(VLOOKUP($B167,Seqs!$A:$B,2,0),AA167,1),"")</f>
        <v/>
      </c>
      <c r="AA167" s="40" t="s">
        <v>23</v>
      </c>
      <c r="AB167" s="9" t="str">
        <f>IFERROR(MID(VLOOKUP($B167,Seqs!$A:$B,2,0),AC167,1),"")</f>
        <v>P</v>
      </c>
      <c r="AC167" s="40">
        <v>215</v>
      </c>
      <c r="AD167" s="9" t="str">
        <f>IFERROR(MID(VLOOKUP($B167,Seqs!$A:$B,2,0),AE167,1),"")</f>
        <v>F</v>
      </c>
      <c r="AE167" s="40">
        <v>240</v>
      </c>
      <c r="AF167" s="9" t="str">
        <f>IFERROR(MID(VLOOKUP($B167,Seqs!$A:$B,2,0),AG167,1),"")</f>
        <v>C</v>
      </c>
      <c r="AG167" s="40">
        <v>255</v>
      </c>
      <c r="AH167" s="9" t="str">
        <f>IFERROR(MID(VLOOKUP($B167,Seqs!$A:$B,2,0),AI167,1),"")</f>
        <v>L</v>
      </c>
      <c r="AI167" s="40">
        <v>257</v>
      </c>
      <c r="AJ167" s="9" t="str">
        <f>IFERROR(MID(VLOOKUP($B167,Seqs!$A:$B,2,0),AK167,1),"")</f>
        <v>T</v>
      </c>
      <c r="AK167" s="40">
        <v>263</v>
      </c>
      <c r="AL167" s="9" t="str">
        <f>IFERROR(MID(VLOOKUP($B167,Seqs!$A:$B,2,0),AM167,1),"")</f>
        <v>K</v>
      </c>
      <c r="AM167" s="40">
        <v>303</v>
      </c>
      <c r="AN167" s="9" t="str">
        <f>IFERROR(MID(VLOOKUP($B167,Seqs!$A:$B,2,0),AO167,1),"")</f>
        <v>N</v>
      </c>
      <c r="AO167" s="40">
        <v>312</v>
      </c>
      <c r="AP167" s="9" t="str">
        <f>IFERROR(MID(VLOOKUP($B167,Seqs!$A:$B,2,0),AQ167,1),"")</f>
        <v>Y</v>
      </c>
      <c r="AQ167" s="40">
        <v>350</v>
      </c>
      <c r="AR167" s="9" t="str">
        <f>IFERROR(MID(VLOOKUP($B167,Seqs!$A:$B,2,0),AS167,1),"")</f>
        <v>N</v>
      </c>
      <c r="AS167" s="40">
        <v>356</v>
      </c>
      <c r="AT167" s="9" t="str">
        <f>IFERROR(MID(VLOOKUP($B167,Seqs!$A:$B,2,0),AU167,1),"")</f>
        <v>V</v>
      </c>
      <c r="AU167" s="40">
        <v>389</v>
      </c>
      <c r="AV167" s="9" t="str">
        <f>IFERROR(MID(VLOOKUP($B167,Seqs!$A:$B,2,0),AW167,1),"")</f>
        <v>S</v>
      </c>
      <c r="AW167" s="40">
        <v>390</v>
      </c>
      <c r="AX167" s="9" t="str">
        <f>IFERROR(MID(VLOOKUP($B167,Seqs!$A:$B,2,0),AY167,1),"")</f>
        <v>C</v>
      </c>
      <c r="AY167" s="40">
        <v>402</v>
      </c>
      <c r="AZ167" s="110" t="str">
        <f>VLOOKUP(B167,Classification!A:D,2,0)</f>
        <v>A</v>
      </c>
      <c r="BA167" s="98" t="str">
        <f>VLOOKUP(B167,Classification!A:D,4,0)</f>
        <v>Endothelin</v>
      </c>
      <c r="BB167" s="36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109">
        <f>_xlfn.AGGREGATE(9,6,CH167:CS167)-_xlfn.AGGREGATE(9,6,BV167:CG167)+12</f>
        <v>263</v>
      </c>
      <c r="BD167" s="40" t="s">
        <v>23</v>
      </c>
      <c r="BE167" s="9" t="s">
        <v>1381</v>
      </c>
      <c r="BF167" s="120">
        <v>2</v>
      </c>
      <c r="BG167" s="51" t="s">
        <v>1</v>
      </c>
      <c r="BH167" s="51" t="s">
        <v>1</v>
      </c>
      <c r="BI167" s="40"/>
      <c r="BJ167" s="111" t="s">
        <v>1293</v>
      </c>
      <c r="BK167" s="112" t="s">
        <v>1293</v>
      </c>
      <c r="BL167" s="112" t="s">
        <v>1293</v>
      </c>
      <c r="BM167" s="112" t="s">
        <v>1293</v>
      </c>
      <c r="BN167" s="112" t="s">
        <v>1293</v>
      </c>
      <c r="BO167" s="112" t="s">
        <v>1293</v>
      </c>
      <c r="BP167" s="112" t="s">
        <v>1293</v>
      </c>
      <c r="BQ167" s="112" t="s">
        <v>1293</v>
      </c>
      <c r="BR167" s="112" t="s">
        <v>1293</v>
      </c>
      <c r="BS167" s="112" t="s">
        <v>1293</v>
      </c>
      <c r="BT167" s="112" t="s">
        <v>1293</v>
      </c>
      <c r="BU167" s="112" t="s">
        <v>1293</v>
      </c>
      <c r="BV167" s="111">
        <f>E167</f>
        <v>97</v>
      </c>
      <c r="BW167" s="113" t="str">
        <f>I167</f>
        <v>-</v>
      </c>
      <c r="BX167" s="114">
        <f>M167</f>
        <v>134</v>
      </c>
      <c r="BY167" s="113">
        <f>Q167</f>
        <v>166</v>
      </c>
      <c r="BZ167" s="114">
        <f>U167</f>
        <v>170</v>
      </c>
      <c r="CA167" s="113" t="str">
        <f>Y167</f>
        <v>-</v>
      </c>
      <c r="CB167" s="114">
        <f>AC167</f>
        <v>215</v>
      </c>
      <c r="CC167" s="113">
        <f>AG167</f>
        <v>255</v>
      </c>
      <c r="CD167" s="114">
        <f>AK167</f>
        <v>263</v>
      </c>
      <c r="CE167" s="113">
        <f>AO167</f>
        <v>312</v>
      </c>
      <c r="CF167" s="114">
        <f>AS167</f>
        <v>356</v>
      </c>
      <c r="CG167" s="113">
        <f>AW167</f>
        <v>390</v>
      </c>
      <c r="CH167" s="111">
        <f>G167</f>
        <v>129</v>
      </c>
      <c r="CI167" s="113" t="str">
        <f>K167</f>
        <v>-</v>
      </c>
      <c r="CJ167" s="114">
        <f>O167</f>
        <v>165</v>
      </c>
      <c r="CK167" s="114">
        <f>S167</f>
        <v>169</v>
      </c>
      <c r="CL167" s="114">
        <f>W167</f>
        <v>205</v>
      </c>
      <c r="CM167" s="114" t="str">
        <f>AA167</f>
        <v>-</v>
      </c>
      <c r="CN167" s="114">
        <f>AE167</f>
        <v>240</v>
      </c>
      <c r="CO167" s="114">
        <f>AI167</f>
        <v>257</v>
      </c>
      <c r="CP167" s="114">
        <f>AM167</f>
        <v>303</v>
      </c>
      <c r="CQ167" s="114">
        <f>AQ167</f>
        <v>350</v>
      </c>
      <c r="CR167" s="114">
        <f>AU167</f>
        <v>389</v>
      </c>
      <c r="CS167" s="114">
        <f>AY167</f>
        <v>402</v>
      </c>
      <c r="CT167" s="109" t="e">
        <f>M167-K167</f>
        <v>#VALUE!</v>
      </c>
    </row>
    <row r="168" spans="1:1029" x14ac:dyDescent="0.2">
      <c r="A168" s="3" t="str">
        <f t="shared" si="559"/>
        <v>ffar1_human__wt</v>
      </c>
      <c r="B168" s="3" t="s">
        <v>1173</v>
      </c>
      <c r="C168" s="3" t="s">
        <v>100</v>
      </c>
      <c r="D168" s="3" t="str">
        <f>IFERROR(MID(VLOOKUP($B168,Seqs!$A:$B,2,0),E168,1),"")</f>
        <v>P</v>
      </c>
      <c r="E168" s="3">
        <v>4</v>
      </c>
      <c r="F168" s="3" t="str">
        <f>IFERROR(MID(VLOOKUP($B168,Seqs!$A:$B,2,0),G168,1),"")</f>
        <v>R</v>
      </c>
      <c r="G168" s="3">
        <v>37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T</v>
      </c>
      <c r="M168" s="3">
        <v>39</v>
      </c>
      <c r="N168" s="3" t="str">
        <f>IFERROR(MID(VLOOKUP($B168,Seqs!$A:$B,2,0),O168,1),"")</f>
        <v>S</v>
      </c>
      <c r="O168" s="3">
        <v>69</v>
      </c>
      <c r="P168" s="3" t="str">
        <f>IFERROR(MID(VLOOKUP($B168,Seqs!$A:$B,2,0),Q168,1),"")</f>
        <v>A</v>
      </c>
      <c r="Q168" s="3">
        <v>71</v>
      </c>
      <c r="R168" s="3" t="str">
        <f>IFERROR(MID(VLOOKUP($B168,Seqs!$A:$B,2,0),S168,1),"")</f>
        <v>L</v>
      </c>
      <c r="S168" s="3">
        <v>74</v>
      </c>
      <c r="T168" s="3" t="str">
        <f>IFERROR(MID(VLOOKUP($B168,Seqs!$A:$B,2,0),U168,1),"")</f>
        <v>P</v>
      </c>
      <c r="U168" s="3">
        <v>75</v>
      </c>
      <c r="V168" s="3" t="str">
        <f>IFERROR(MID(VLOOKUP($B168,Seqs!$A:$B,2,0),W168,1),"")</f>
        <v>F</v>
      </c>
      <c r="W168" s="3">
        <v>110</v>
      </c>
      <c r="X168" s="3" t="str">
        <f>IFERROR(MID(VLOOKUP($B168,Seqs!$A:$B,2,0),Y168,1),"")</f>
        <v>P</v>
      </c>
      <c r="Y168" s="3">
        <v>111</v>
      </c>
      <c r="Z168" s="3" t="str">
        <f>IFERROR(MID(VLOOKUP($B168,Seqs!$A:$B,2,0),AA168,1),"")</f>
        <v>R</v>
      </c>
      <c r="AA168" s="3">
        <v>118</v>
      </c>
      <c r="AB168" s="3" t="str">
        <f>IFERROR(MID(VLOOKUP($B168,Seqs!$A:$B,2,0),AC168,1),"")</f>
        <v>R</v>
      </c>
      <c r="AC168" s="9">
        <v>119</v>
      </c>
      <c r="AD168" s="3" t="str">
        <f>IFERROR(MID(VLOOKUP($B168,Seqs!$A:$B,2,0),AE168,1),"")</f>
        <v>A</v>
      </c>
      <c r="AE168" s="3">
        <v>146</v>
      </c>
      <c r="AF168" s="3" t="str">
        <f>IFERROR(MID(VLOOKUP($B168,Seqs!$A:$B,2,0),AG168,1),"")</f>
        <v>C</v>
      </c>
      <c r="AG168" s="3">
        <v>170</v>
      </c>
      <c r="AH168" s="3" t="str">
        <f>IFERROR(MID(VLOOKUP($B168,Seqs!$A:$B,2,0),AI168,1),"")</f>
        <v>E</v>
      </c>
      <c r="AI168" s="3">
        <v>172</v>
      </c>
      <c r="AJ168" s="3" t="str">
        <f>IFERROR(MID(VLOOKUP($B168,Seqs!$A:$B,2,0),AK168,1),"")</f>
        <v>D</v>
      </c>
      <c r="AK168" s="3">
        <v>175</v>
      </c>
      <c r="AL168" s="3" t="str">
        <f>IFERROR(MID(VLOOKUP($B168,Seqs!$A:$B,2,0),AM168,1),"")</f>
        <v>R</v>
      </c>
      <c r="AM168" s="3">
        <v>211</v>
      </c>
      <c r="AN168" s="3" t="str">
        <f>IFERROR(MID(VLOOKUP($B168,Seqs!$A:$B,2,0),AO168,1),"")</f>
        <v>R</v>
      </c>
      <c r="AO168" s="3">
        <v>217</v>
      </c>
      <c r="AP168" s="3" t="str">
        <f>IFERROR(MID(VLOOKUP($B168,Seqs!$A:$B,2,0),AQ168,1),"")</f>
        <v>Y</v>
      </c>
      <c r="AQ168" s="3">
        <v>250</v>
      </c>
      <c r="AR168" s="3" t="str">
        <f>IFERROR(MID(VLOOKUP($B168,Seqs!$A:$B,2,0),AS168,1),"")</f>
        <v>G</v>
      </c>
      <c r="AS168" s="3">
        <v>255</v>
      </c>
      <c r="AT168" s="3" t="str">
        <f>IFERROR(MID(VLOOKUP($B168,Seqs!$A:$B,2,0),AU168,1),"")</f>
        <v>L</v>
      </c>
      <c r="AU168" s="3">
        <v>279</v>
      </c>
      <c r="AV168" s="3" t="str">
        <f>IFERROR(MID(VLOOKUP($B168,Seqs!$A:$B,2,0),AW168,1),"")</f>
        <v>G</v>
      </c>
      <c r="AW168" s="3">
        <v>280</v>
      </c>
      <c r="AX168" s="3" t="str">
        <f>IFERROR(MID(VLOOKUP($B168,Seqs!$A:$B,2,0),AY168,1),"")</f>
        <v>Q</v>
      </c>
      <c r="AY168" s="3">
        <v>294</v>
      </c>
      <c r="AZ168" s="77" t="str">
        <f>VLOOKUP(B168,Classification!A:D,2,0)</f>
        <v>A</v>
      </c>
      <c r="BA168" s="94" t="str">
        <f>VLOOKUP(B168,Classification!A:D,4,0)</f>
        <v>Freefattyacid</v>
      </c>
      <c r="BB168" s="27" t="b">
        <f t="shared" si="560"/>
        <v>1</v>
      </c>
      <c r="BC168" s="23">
        <f t="shared" si="643"/>
        <v>256</v>
      </c>
      <c r="BD168" s="34" t="s">
        <v>1379</v>
      </c>
      <c r="BE168" s="3" t="s">
        <v>23</v>
      </c>
      <c r="BF168" s="119" t="s">
        <v>23</v>
      </c>
      <c r="BG168" s="49" t="s">
        <v>1379</v>
      </c>
      <c r="BH168" s="49" t="s">
        <v>1384</v>
      </c>
      <c r="BI168" s="1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 t="shared" si="644"/>
        <v>4</v>
      </c>
      <c r="BW168" s="71" t="str">
        <f t="shared" si="645"/>
        <v>-</v>
      </c>
      <c r="BX168" s="72">
        <f t="shared" si="646"/>
        <v>39</v>
      </c>
      <c r="BY168" s="71">
        <f t="shared" si="647"/>
        <v>71</v>
      </c>
      <c r="BZ168" s="72">
        <f t="shared" si="648"/>
        <v>75</v>
      </c>
      <c r="CA168" s="71">
        <f t="shared" si="649"/>
        <v>111</v>
      </c>
      <c r="CB168" s="72">
        <f t="shared" si="650"/>
        <v>119</v>
      </c>
      <c r="CC168" s="71">
        <f t="shared" si="651"/>
        <v>170</v>
      </c>
      <c r="CD168" s="72">
        <f t="shared" si="652"/>
        <v>175</v>
      </c>
      <c r="CE168" s="71">
        <f t="shared" si="653"/>
        <v>217</v>
      </c>
      <c r="CF168" s="72">
        <f t="shared" si="654"/>
        <v>255</v>
      </c>
      <c r="CG168" s="71">
        <f t="shared" si="655"/>
        <v>280</v>
      </c>
      <c r="CH168" s="70">
        <f t="shared" si="656"/>
        <v>37</v>
      </c>
      <c r="CI168" s="71" t="str">
        <f t="shared" si="657"/>
        <v>-</v>
      </c>
      <c r="CJ168" s="72">
        <f t="shared" si="658"/>
        <v>69</v>
      </c>
      <c r="CK168" s="72">
        <f t="shared" si="659"/>
        <v>74</v>
      </c>
      <c r="CL168" s="72">
        <f t="shared" si="660"/>
        <v>110</v>
      </c>
      <c r="CM168" s="72">
        <f t="shared" si="661"/>
        <v>118</v>
      </c>
      <c r="CN168" s="72">
        <f t="shared" si="662"/>
        <v>146</v>
      </c>
      <c r="CO168" s="72">
        <f t="shared" si="663"/>
        <v>172</v>
      </c>
      <c r="CP168" s="72">
        <f t="shared" si="664"/>
        <v>211</v>
      </c>
      <c r="CQ168" s="72">
        <f t="shared" si="665"/>
        <v>250</v>
      </c>
      <c r="CR168" s="72">
        <f t="shared" si="666"/>
        <v>279</v>
      </c>
      <c r="CS168" s="72">
        <f t="shared" si="667"/>
        <v>294</v>
      </c>
      <c r="CT168" s="23" t="e">
        <f t="shared" si="668"/>
        <v>#VALUE!</v>
      </c>
    </row>
    <row r="169" spans="1:1029" x14ac:dyDescent="0.2">
      <c r="A169" s="3" t="str">
        <f t="shared" si="559"/>
        <v>ffar1_human_4PHU</v>
      </c>
      <c r="B169" s="3" t="s">
        <v>1173</v>
      </c>
      <c r="C169" s="3" t="s">
        <v>52</v>
      </c>
      <c r="D169" s="3" t="str">
        <f>IFERROR(MID(VLOOKUP($B169,Seqs!$A:$B,2,0),E169,1),"")</f>
        <v>P</v>
      </c>
      <c r="E169" s="3">
        <v>4</v>
      </c>
      <c r="F169" s="3" t="str">
        <f>IFERROR(MID(VLOOKUP($B169,Seqs!$A:$B,2,0),G169,1),"")</f>
        <v>R</v>
      </c>
      <c r="G169" s="3">
        <v>37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T</v>
      </c>
      <c r="M169" s="3">
        <v>39</v>
      </c>
      <c r="N169" s="3" t="str">
        <f>IFERROR(MID(VLOOKUP($B169,Seqs!$A:$B,2,0),O169,1),"")</f>
        <v>S</v>
      </c>
      <c r="O169" s="3">
        <v>69</v>
      </c>
      <c r="P169" s="3" t="str">
        <f>IFERROR(MID(VLOOKUP($B169,Seqs!$A:$B,2,0),Q169,1),"")</f>
        <v>A</v>
      </c>
      <c r="Q169" s="3">
        <v>71</v>
      </c>
      <c r="R169" s="3" t="str">
        <f>IFERROR(MID(VLOOKUP($B169,Seqs!$A:$B,2,0),S169,1),"")</f>
        <v>L</v>
      </c>
      <c r="S169" s="3">
        <v>74</v>
      </c>
      <c r="T169" s="3" t="str">
        <f>IFERROR(MID(VLOOKUP($B169,Seqs!$A:$B,2,0),U169,1),"")</f>
        <v>P</v>
      </c>
      <c r="U169" s="3">
        <v>75</v>
      </c>
      <c r="V169" s="3" t="str">
        <f>IFERROR(MID(VLOOKUP($B169,Seqs!$A:$B,2,0),W169,1),"")</f>
        <v>F</v>
      </c>
      <c r="W169" s="3">
        <v>110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C</v>
      </c>
      <c r="AC169" s="9">
        <v>121</v>
      </c>
      <c r="AD169" s="3" t="str">
        <f>IFERROR(MID(VLOOKUP($B169,Seqs!$A:$B,2,0),AE169,1),"")</f>
        <v>A</v>
      </c>
      <c r="AE169" s="3">
        <v>146</v>
      </c>
      <c r="AF169" s="3" t="str">
        <f>IFERROR(MID(VLOOKUP($B169,Seqs!$A:$B,2,0),AG169,1),"")</f>
        <v>C</v>
      </c>
      <c r="AG169" s="3">
        <v>170</v>
      </c>
      <c r="AH169" s="3" t="str">
        <f>IFERROR(MID(VLOOKUP($B169,Seqs!$A:$B,2,0),AI169,1),"")</f>
        <v>E</v>
      </c>
      <c r="AI169" s="3">
        <v>172</v>
      </c>
      <c r="AJ169" s="3" t="str">
        <f>IFERROR(MID(VLOOKUP($B169,Seqs!$A:$B,2,0),AK169,1),"")</f>
        <v>D</v>
      </c>
      <c r="AK169" s="3">
        <v>175</v>
      </c>
      <c r="AL169" s="3" t="str">
        <f>IFERROR(MID(VLOOKUP($B169,Seqs!$A:$B,2,0),AM169,1),"")</f>
        <v>R</v>
      </c>
      <c r="AM169" s="3">
        <v>211</v>
      </c>
      <c r="AN169" s="3" t="str">
        <f>IFERROR(MID(VLOOKUP($B169,Seqs!$A:$B,2,0),AO169,1),"")</f>
        <v>L</v>
      </c>
      <c r="AO169" s="3">
        <v>214</v>
      </c>
      <c r="AP169" s="3" t="str">
        <f>IFERROR(MID(VLOOKUP($B169,Seqs!$A:$B,2,0),AQ169,1),"")</f>
        <v>Y</v>
      </c>
      <c r="AQ169" s="3">
        <v>250</v>
      </c>
      <c r="AR169" s="3" t="str">
        <f>IFERROR(MID(VLOOKUP($B169,Seqs!$A:$B,2,0),AS169,1),"")</f>
        <v>G</v>
      </c>
      <c r="AS169" s="3">
        <v>255</v>
      </c>
      <c r="AT169" s="3" t="str">
        <f>IFERROR(MID(VLOOKUP($B169,Seqs!$A:$B,2,0),AU169,1),"")</f>
        <v>T</v>
      </c>
      <c r="AU169" s="3">
        <v>276</v>
      </c>
      <c r="AV169" s="3" t="str">
        <f>IFERROR(MID(VLOOKUP($B169,Seqs!$A:$B,2,0),AW169,1),"")</f>
        <v/>
      </c>
      <c r="AW169" s="3" t="s">
        <v>23</v>
      </c>
      <c r="AX169" s="3" t="str">
        <f>IFERROR(MID(VLOOKUP($B169,Seqs!$A:$B,2,0),AY169,1),"")</f>
        <v/>
      </c>
      <c r="AY169" s="3" t="s">
        <v>23</v>
      </c>
      <c r="AZ169" s="77" t="str">
        <f>VLOOKUP(B169,Classification!A:D,2,0)</f>
        <v>A</v>
      </c>
      <c r="BA169" s="94" t="str">
        <f>VLOOKUP(B169,Classification!A:D,4,0)</f>
        <v>Freefattyacid</v>
      </c>
      <c r="BB169" s="27" t="b">
        <f t="shared" si="560"/>
        <v>1</v>
      </c>
      <c r="BC169" s="23">
        <f t="shared" si="643"/>
        <v>233</v>
      </c>
      <c r="BD169" s="16" t="s">
        <v>23</v>
      </c>
      <c r="BE169" s="3" t="s">
        <v>1439</v>
      </c>
      <c r="BF169" s="119">
        <v>2.33</v>
      </c>
      <c r="BG169" s="49" t="s">
        <v>1384</v>
      </c>
      <c r="BH169" s="49" t="s">
        <v>1384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 t="shared" si="644"/>
        <v>4</v>
      </c>
      <c r="BW169" s="71" t="str">
        <f t="shared" si="645"/>
        <v>-</v>
      </c>
      <c r="BX169" s="72">
        <f t="shared" si="646"/>
        <v>39</v>
      </c>
      <c r="BY169" s="71">
        <f t="shared" si="647"/>
        <v>71</v>
      </c>
      <c r="BZ169" s="72">
        <f t="shared" si="648"/>
        <v>75</v>
      </c>
      <c r="CA169" s="71" t="str">
        <f t="shared" si="649"/>
        <v>-</v>
      </c>
      <c r="CB169" s="72">
        <f t="shared" si="650"/>
        <v>121</v>
      </c>
      <c r="CC169" s="71">
        <f t="shared" si="651"/>
        <v>170</v>
      </c>
      <c r="CD169" s="72">
        <f t="shared" si="652"/>
        <v>175</v>
      </c>
      <c r="CE169" s="71">
        <f t="shared" si="653"/>
        <v>214</v>
      </c>
      <c r="CF169" s="72">
        <f t="shared" si="654"/>
        <v>255</v>
      </c>
      <c r="CG169" s="71" t="str">
        <f t="shared" si="655"/>
        <v>-</v>
      </c>
      <c r="CH169" s="70">
        <f t="shared" si="656"/>
        <v>37</v>
      </c>
      <c r="CI169" s="71" t="str">
        <f t="shared" si="657"/>
        <v>-</v>
      </c>
      <c r="CJ169" s="72">
        <f t="shared" si="658"/>
        <v>69</v>
      </c>
      <c r="CK169" s="72">
        <f t="shared" si="659"/>
        <v>74</v>
      </c>
      <c r="CL169" s="72">
        <f t="shared" si="660"/>
        <v>110</v>
      </c>
      <c r="CM169" s="72" t="str">
        <f t="shared" si="661"/>
        <v>-</v>
      </c>
      <c r="CN169" s="72">
        <f t="shared" si="662"/>
        <v>146</v>
      </c>
      <c r="CO169" s="72">
        <f t="shared" si="663"/>
        <v>172</v>
      </c>
      <c r="CP169" s="72">
        <f t="shared" si="664"/>
        <v>211</v>
      </c>
      <c r="CQ169" s="72">
        <f t="shared" si="665"/>
        <v>250</v>
      </c>
      <c r="CR169" s="72">
        <f t="shared" si="666"/>
        <v>276</v>
      </c>
      <c r="CS169" s="72" t="str">
        <f t="shared" si="667"/>
        <v>-</v>
      </c>
      <c r="CT169" s="23" t="e">
        <f t="shared" si="668"/>
        <v>#VALUE!</v>
      </c>
    </row>
    <row r="170" spans="1:1029" s="12" customFormat="1" x14ac:dyDescent="0.2">
      <c r="A170" s="9" t="str">
        <f>CONCATENATE(B170,"_",C170)</f>
        <v>ffar1_human_5KW2</v>
      </c>
      <c r="B170" s="9" t="s">
        <v>1173</v>
      </c>
      <c r="C170" s="9" t="s">
        <v>1506</v>
      </c>
      <c r="D170" s="9" t="str">
        <f>IFERROR(MID(VLOOKUP($B170,Seqs!$A:$B,2,0),E170,1),"")</f>
        <v>P</v>
      </c>
      <c r="E170" s="9">
        <v>4</v>
      </c>
      <c r="F170" s="9" t="str">
        <f>IFERROR(MID(VLOOKUP($B170,Seqs!$A:$B,2,0),G170,1),"")</f>
        <v>A</v>
      </c>
      <c r="G170" s="9">
        <v>32</v>
      </c>
      <c r="H170" s="9" t="str">
        <f>IFERROR(MID(VLOOKUP($B170,Seqs!$A:$B,2,0),I170,1),"")</f>
        <v/>
      </c>
      <c r="I170" s="109" t="s">
        <v>23</v>
      </c>
      <c r="J170" s="9" t="str">
        <f>IFERROR(MID(VLOOKUP($B170,Seqs!$A:$B,2,0),K170,1),"")</f>
        <v/>
      </c>
      <c r="K170" s="109" t="s">
        <v>23</v>
      </c>
      <c r="L170" s="9" t="str">
        <f>IFERROR(MID(VLOOKUP($B170,Seqs!$A:$B,2,0),M170,1),"")</f>
        <v>T</v>
      </c>
      <c r="M170" s="9">
        <v>39</v>
      </c>
      <c r="N170" s="9" t="str">
        <f>IFERROR(MID(VLOOKUP($B170,Seqs!$A:$B,2,0),O170,1),"")</f>
        <v>S</v>
      </c>
      <c r="O170" s="9">
        <v>69</v>
      </c>
      <c r="P170" s="9" t="str">
        <f>IFERROR(MID(VLOOKUP($B170,Seqs!$A:$B,2,0),Q170,1),"")</f>
        <v>A</v>
      </c>
      <c r="Q170" s="9">
        <v>71</v>
      </c>
      <c r="R170" s="9" t="str">
        <f>IFERROR(MID(VLOOKUP($B170,Seqs!$A:$B,2,0),S170,1),"")</f>
        <v>L</v>
      </c>
      <c r="S170" s="9">
        <v>74</v>
      </c>
      <c r="T170" s="9" t="str">
        <f>IFERROR(MID(VLOOKUP($B170,Seqs!$A:$B,2,0),U170,1),"")</f>
        <v>P</v>
      </c>
      <c r="U170" s="9">
        <v>75</v>
      </c>
      <c r="V170" s="9" t="str">
        <f>IFERROR(MID(VLOOKUP($B170,Seqs!$A:$B,2,0),W170,1),"")</f>
        <v>F</v>
      </c>
      <c r="W170" s="9">
        <v>110</v>
      </c>
      <c r="X170" s="9" t="str">
        <f>IFERROR(MID(VLOOKUP($B170,Seqs!$A:$B,2,0),Y170,1),"")</f>
        <v>P</v>
      </c>
      <c r="Y170" s="9">
        <v>111</v>
      </c>
      <c r="Z170" s="9" t="str">
        <f>IFERROR(MID(VLOOKUP($B170,Seqs!$A:$B,2,0),AA170,1),"")</f>
        <v>R</v>
      </c>
      <c r="AA170" s="9">
        <v>118</v>
      </c>
      <c r="AB170" s="9" t="str">
        <f>IFERROR(MID(VLOOKUP($B170,Seqs!$A:$B,2,0),AC170,1),"")</f>
        <v>R</v>
      </c>
      <c r="AC170" s="9">
        <v>119</v>
      </c>
      <c r="AD170" s="9" t="str">
        <f>IFERROR(MID(VLOOKUP($B170,Seqs!$A:$B,2,0),AE170,1),"")</f>
        <v>E</v>
      </c>
      <c r="AE170" s="9">
        <v>145</v>
      </c>
      <c r="AF170" s="9" t="str">
        <f>IFERROR(MID(VLOOKUP($B170,Seqs!$A:$B,2,0),AG170,1),"")</f>
        <v>C</v>
      </c>
      <c r="AG170" s="9">
        <v>170</v>
      </c>
      <c r="AH170" s="9" t="str">
        <f>IFERROR(MID(VLOOKUP($B170,Seqs!$A:$B,2,0),AI170,1),"")</f>
        <v>E</v>
      </c>
      <c r="AI170" s="9">
        <v>172</v>
      </c>
      <c r="AJ170" s="9" t="str">
        <f>IFERROR(MID(VLOOKUP($B170,Seqs!$A:$B,2,0),AK170,1),"")</f>
        <v>G</v>
      </c>
      <c r="AK170" s="9">
        <v>180</v>
      </c>
      <c r="AL170" s="9" t="str">
        <f>IFERROR(MID(VLOOKUP($B170,Seqs!$A:$B,2,0),AM170,1),"")</f>
        <v>R</v>
      </c>
      <c r="AM170" s="9">
        <v>211</v>
      </c>
      <c r="AN170" s="9" t="str">
        <f>IFERROR(MID(VLOOKUP($B170,Seqs!$A:$B,2,0),AO170,1),"")</f>
        <v>T</v>
      </c>
      <c r="AO170" s="9">
        <v>215</v>
      </c>
      <c r="AP170" s="9" t="str">
        <f>IFERROR(MID(VLOOKUP($B170,Seqs!$A:$B,2,0),AQ170,1),"")</f>
        <v>L</v>
      </c>
      <c r="AQ170" s="9">
        <v>249</v>
      </c>
      <c r="AR170" s="9" t="str">
        <f>IFERROR(MID(VLOOKUP($B170,Seqs!$A:$B,2,0),AS170,1),"")</f>
        <v>G</v>
      </c>
      <c r="AS170" s="9">
        <v>254</v>
      </c>
      <c r="AT170" s="9" t="str">
        <f>IFERROR(MID(VLOOKUP($B170,Seqs!$A:$B,2,0),AU170,1),"")</f>
        <v>V</v>
      </c>
      <c r="AU170" s="9">
        <v>275</v>
      </c>
      <c r="AV170" s="9" t="str">
        <f>IFERROR(MID(VLOOKUP($B170,Seqs!$A:$B,2,0),AW170,1),"")</f>
        <v/>
      </c>
      <c r="AW170" s="9" t="s">
        <v>23</v>
      </c>
      <c r="AX170" s="9" t="str">
        <f>IFERROR(MID(VLOOKUP($B170,Seqs!$A:$B,2,0),AY170,1),"")</f>
        <v/>
      </c>
      <c r="AY170" s="9" t="s">
        <v>23</v>
      </c>
      <c r="AZ170" s="110" t="str">
        <f>VLOOKUP(B170,Classification!A:D,2,0)</f>
        <v>A</v>
      </c>
      <c r="BA170" s="98" t="str">
        <f>VLOOKUP(B170,Classification!A:D,4,0)</f>
        <v>Freefattyacid</v>
      </c>
      <c r="BB170" s="36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109">
        <f>_xlfn.AGGREGATE(9,6,CH170:CS170)-_xlfn.AGGREGATE(9,6,BV170:CG170)+12</f>
        <v>229</v>
      </c>
      <c r="BD170" s="130" t="s">
        <v>23</v>
      </c>
      <c r="BE170" s="9" t="s">
        <v>1439</v>
      </c>
      <c r="BF170" s="120">
        <v>2.76</v>
      </c>
      <c r="BG170" s="51" t="s">
        <v>1</v>
      </c>
      <c r="BH170" s="51" t="s">
        <v>1</v>
      </c>
      <c r="BJ170" s="111" t="s">
        <v>1293</v>
      </c>
      <c r="BK170" s="112" t="s">
        <v>1293</v>
      </c>
      <c r="BL170" s="112" t="s">
        <v>1293</v>
      </c>
      <c r="BM170" s="112" t="s">
        <v>1293</v>
      </c>
      <c r="BN170" s="112" t="s">
        <v>1293</v>
      </c>
      <c r="BO170" s="112" t="s">
        <v>1293</v>
      </c>
      <c r="BP170" s="112" t="s">
        <v>1293</v>
      </c>
      <c r="BQ170" s="112" t="s">
        <v>1293</v>
      </c>
      <c r="BR170" s="112" t="s">
        <v>1293</v>
      </c>
      <c r="BS170" s="112" t="s">
        <v>1293</v>
      </c>
      <c r="BT170" s="112" t="s">
        <v>1293</v>
      </c>
      <c r="BU170" s="112" t="s">
        <v>1293</v>
      </c>
      <c r="BV170" s="111">
        <f>E170</f>
        <v>4</v>
      </c>
      <c r="BW170" s="113" t="str">
        <f>I170</f>
        <v>-</v>
      </c>
      <c r="BX170" s="114">
        <f>M170</f>
        <v>39</v>
      </c>
      <c r="BY170" s="113">
        <f>Q170</f>
        <v>71</v>
      </c>
      <c r="BZ170" s="114">
        <f>U170</f>
        <v>75</v>
      </c>
      <c r="CA170" s="113">
        <f>Y170</f>
        <v>111</v>
      </c>
      <c r="CB170" s="114">
        <f>AC170</f>
        <v>119</v>
      </c>
      <c r="CC170" s="113">
        <f>AG170</f>
        <v>170</v>
      </c>
      <c r="CD170" s="114">
        <f>AK170</f>
        <v>180</v>
      </c>
      <c r="CE170" s="113">
        <f>AO170</f>
        <v>215</v>
      </c>
      <c r="CF170" s="114">
        <f>AS170</f>
        <v>254</v>
      </c>
      <c r="CG170" s="113" t="str">
        <f>AW170</f>
        <v>-</v>
      </c>
      <c r="CH170" s="111">
        <f>G170</f>
        <v>32</v>
      </c>
      <c r="CI170" s="113" t="str">
        <f>K170</f>
        <v>-</v>
      </c>
      <c r="CJ170" s="114">
        <f>O170</f>
        <v>69</v>
      </c>
      <c r="CK170" s="114">
        <f>S170</f>
        <v>74</v>
      </c>
      <c r="CL170" s="114">
        <f>W170</f>
        <v>110</v>
      </c>
      <c r="CM170" s="114">
        <f>AA170</f>
        <v>118</v>
      </c>
      <c r="CN170" s="114">
        <f>AE170</f>
        <v>145</v>
      </c>
      <c r="CO170" s="114">
        <f>AI170</f>
        <v>172</v>
      </c>
      <c r="CP170" s="114">
        <f>AM170</f>
        <v>211</v>
      </c>
      <c r="CQ170" s="114">
        <f>AQ170</f>
        <v>249</v>
      </c>
      <c r="CR170" s="114">
        <f>AU170</f>
        <v>275</v>
      </c>
      <c r="CS170" s="114" t="str">
        <f>AY170</f>
        <v>-</v>
      </c>
      <c r="CT170" s="109" t="e">
        <f>M170-K170</f>
        <v>#VALUE!</v>
      </c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  <c r="UK170" s="9"/>
      <c r="UL170" s="9"/>
      <c r="UM170" s="9"/>
      <c r="UN170" s="9"/>
      <c r="UO170" s="9"/>
      <c r="UP170" s="9"/>
      <c r="UQ170" s="9"/>
      <c r="UR170" s="9"/>
      <c r="US170" s="9"/>
      <c r="UT170" s="9"/>
      <c r="UU170" s="9"/>
      <c r="UV170" s="9"/>
      <c r="UW170" s="9"/>
      <c r="UX170" s="9"/>
      <c r="UY170" s="9"/>
      <c r="UZ170" s="9"/>
      <c r="VA170" s="9"/>
      <c r="VB170" s="9"/>
      <c r="VC170" s="9"/>
      <c r="VD170" s="9"/>
      <c r="VE170" s="9"/>
      <c r="VF170" s="9"/>
      <c r="VG170" s="9"/>
      <c r="VH170" s="9"/>
      <c r="VI170" s="9"/>
      <c r="VJ170" s="9"/>
      <c r="VK170" s="9"/>
      <c r="VL170" s="9"/>
      <c r="VM170" s="9"/>
      <c r="VN170" s="9"/>
      <c r="VO170" s="9"/>
      <c r="VP170" s="9"/>
      <c r="VQ170" s="9"/>
      <c r="VR170" s="9"/>
      <c r="VS170" s="9"/>
      <c r="VT170" s="9"/>
      <c r="VU170" s="9"/>
      <c r="VV170" s="9"/>
      <c r="VW170" s="9"/>
      <c r="VX170" s="9"/>
      <c r="VY170" s="9"/>
      <c r="VZ170" s="9"/>
      <c r="WA170" s="9"/>
      <c r="WB170" s="9"/>
      <c r="WC170" s="9"/>
      <c r="WD170" s="9"/>
      <c r="WE170" s="9"/>
      <c r="WF170" s="9"/>
      <c r="WG170" s="9"/>
      <c r="WH170" s="9"/>
      <c r="WI170" s="9"/>
      <c r="WJ170" s="9"/>
      <c r="WK170" s="9"/>
      <c r="WL170" s="9"/>
      <c r="WM170" s="9"/>
      <c r="WN170" s="9"/>
      <c r="WO170" s="9"/>
      <c r="WP170" s="9"/>
      <c r="WQ170" s="9"/>
      <c r="WR170" s="9"/>
      <c r="WS170" s="9"/>
      <c r="WT170" s="9"/>
      <c r="WU170" s="9"/>
      <c r="WV170" s="9"/>
      <c r="WW170" s="9"/>
      <c r="WX170" s="9"/>
      <c r="WY170" s="9"/>
      <c r="WZ170" s="9"/>
      <c r="XA170" s="9"/>
      <c r="XB170" s="9"/>
      <c r="XC170" s="9"/>
      <c r="XD170" s="9"/>
      <c r="XE170" s="9"/>
      <c r="XF170" s="9"/>
      <c r="XG170" s="9"/>
      <c r="XH170" s="9"/>
      <c r="XI170" s="9"/>
      <c r="XJ170" s="9"/>
      <c r="XK170" s="9"/>
      <c r="XL170" s="9"/>
      <c r="XM170" s="9"/>
      <c r="XN170" s="9"/>
      <c r="XO170" s="9"/>
      <c r="XP170" s="9"/>
      <c r="XQ170" s="9"/>
      <c r="XR170" s="9"/>
      <c r="XS170" s="9"/>
      <c r="XT170" s="9"/>
      <c r="XU170" s="9"/>
      <c r="XV170" s="9"/>
      <c r="XW170" s="9"/>
      <c r="XX170" s="9"/>
      <c r="XY170" s="9"/>
      <c r="XZ170" s="9"/>
      <c r="YA170" s="9"/>
      <c r="YB170" s="9"/>
      <c r="YC170" s="9"/>
      <c r="YD170" s="9"/>
      <c r="YE170" s="9"/>
      <c r="YF170" s="9"/>
      <c r="YG170" s="9"/>
      <c r="YH170" s="9"/>
      <c r="YI170" s="9"/>
      <c r="YJ170" s="9"/>
      <c r="YK170" s="9"/>
      <c r="YL170" s="9"/>
      <c r="YM170" s="9"/>
      <c r="YN170" s="9"/>
      <c r="YO170" s="9"/>
      <c r="YP170" s="9"/>
      <c r="YQ170" s="9"/>
      <c r="YR170" s="9"/>
      <c r="YS170" s="9"/>
      <c r="YT170" s="9"/>
      <c r="YU170" s="9"/>
      <c r="YV170" s="9"/>
      <c r="YW170" s="9"/>
      <c r="YX170" s="9"/>
      <c r="YY170" s="9"/>
      <c r="YZ170" s="9"/>
      <c r="ZA170" s="9"/>
      <c r="ZB170" s="9"/>
      <c r="ZC170" s="9"/>
      <c r="ZD170" s="9"/>
      <c r="ZE170" s="9"/>
      <c r="ZF170" s="9"/>
      <c r="ZG170" s="9"/>
      <c r="ZH170" s="9"/>
      <c r="ZI170" s="9"/>
      <c r="ZJ170" s="9"/>
      <c r="ZK170" s="9"/>
      <c r="ZL170" s="9"/>
      <c r="ZM170" s="9"/>
      <c r="ZN170" s="9"/>
      <c r="ZO170" s="9"/>
      <c r="ZP170" s="9"/>
      <c r="ZQ170" s="9"/>
      <c r="ZR170" s="9"/>
      <c r="ZS170" s="9"/>
      <c r="ZT170" s="9"/>
      <c r="ZU170" s="9"/>
      <c r="ZV170" s="9"/>
      <c r="ZW170" s="9"/>
      <c r="ZX170" s="9"/>
      <c r="ZY170" s="9"/>
      <c r="ZZ170" s="9"/>
      <c r="AAA170" s="9"/>
      <c r="AAB170" s="9"/>
      <c r="AAC170" s="9"/>
      <c r="AAD170" s="9"/>
      <c r="AAE170" s="9"/>
      <c r="AAF170" s="9"/>
      <c r="AAG170" s="9"/>
      <c r="AAH170" s="9"/>
      <c r="AAI170" s="9"/>
      <c r="AAJ170" s="9"/>
      <c r="AAK170" s="9"/>
      <c r="AAL170" s="9"/>
      <c r="AAM170" s="9"/>
      <c r="AAN170" s="9"/>
      <c r="AAO170" s="9"/>
      <c r="AAP170" s="9"/>
      <c r="AAQ170" s="9"/>
      <c r="AAR170" s="9"/>
      <c r="AAS170" s="9"/>
      <c r="AAT170" s="9"/>
      <c r="AAU170" s="9"/>
      <c r="AAV170" s="9"/>
      <c r="AAW170" s="9"/>
      <c r="AAX170" s="9"/>
      <c r="AAY170" s="9"/>
      <c r="AAZ170" s="9"/>
      <c r="ABA170" s="9"/>
      <c r="ABB170" s="9"/>
      <c r="ABC170" s="9"/>
      <c r="ABD170" s="9"/>
      <c r="ABE170" s="9"/>
      <c r="ABF170" s="9"/>
      <c r="ABG170" s="9"/>
      <c r="ABH170" s="9"/>
      <c r="ABI170" s="9"/>
      <c r="ABJ170" s="9"/>
      <c r="ABK170" s="9"/>
      <c r="ABL170" s="9"/>
      <c r="ABM170" s="9"/>
      <c r="ABN170" s="9"/>
      <c r="ABO170" s="9"/>
      <c r="ABP170" s="9"/>
      <c r="ABQ170" s="9"/>
      <c r="ABR170" s="9"/>
      <c r="ABS170" s="9"/>
      <c r="ABT170" s="9"/>
      <c r="ABU170" s="9"/>
      <c r="ABV170" s="9"/>
      <c r="ABW170" s="9"/>
      <c r="ABX170" s="9"/>
      <c r="ABY170" s="9"/>
      <c r="ABZ170" s="9"/>
      <c r="ACA170" s="9"/>
      <c r="ACB170" s="9"/>
      <c r="ACC170" s="9"/>
      <c r="ACD170" s="9"/>
      <c r="ACE170" s="9"/>
      <c r="ACF170" s="9"/>
      <c r="ACG170" s="9"/>
      <c r="ACH170" s="9"/>
      <c r="ACI170" s="9"/>
      <c r="ACJ170" s="9"/>
      <c r="ACK170" s="9"/>
      <c r="ACL170" s="9"/>
      <c r="ACM170" s="9"/>
      <c r="ACN170" s="9"/>
      <c r="ACO170" s="9"/>
      <c r="ACP170" s="9"/>
      <c r="ACQ170" s="9"/>
      <c r="ACR170" s="9"/>
      <c r="ACS170" s="9"/>
      <c r="ACT170" s="9"/>
      <c r="ACU170" s="9"/>
      <c r="ACV170" s="9"/>
      <c r="ACW170" s="9"/>
      <c r="ACX170" s="9"/>
      <c r="ACY170" s="9"/>
      <c r="ACZ170" s="9"/>
      <c r="ADA170" s="9"/>
      <c r="ADB170" s="9"/>
      <c r="ADC170" s="9"/>
      <c r="ADD170" s="9"/>
      <c r="ADE170" s="9"/>
      <c r="ADF170" s="9"/>
      <c r="ADG170" s="9"/>
      <c r="ADH170" s="9"/>
      <c r="ADI170" s="9"/>
      <c r="ADJ170" s="9"/>
      <c r="ADK170" s="9"/>
      <c r="ADL170" s="9"/>
      <c r="ADM170" s="9"/>
      <c r="ADN170" s="9"/>
      <c r="ADO170" s="9"/>
      <c r="ADP170" s="9"/>
      <c r="ADQ170" s="9"/>
      <c r="ADR170" s="9"/>
      <c r="ADS170" s="9"/>
      <c r="ADT170" s="9"/>
      <c r="ADU170" s="9"/>
      <c r="ADV170" s="9"/>
      <c r="ADW170" s="9"/>
      <c r="ADX170" s="9"/>
      <c r="ADY170" s="9"/>
      <c r="ADZ170" s="9"/>
      <c r="AEA170" s="9"/>
      <c r="AEB170" s="9"/>
      <c r="AEC170" s="9"/>
      <c r="AED170" s="9"/>
      <c r="AEE170" s="9"/>
      <c r="AEF170" s="9"/>
      <c r="AEG170" s="9"/>
      <c r="AEH170" s="9"/>
      <c r="AEI170" s="9"/>
      <c r="AEJ170" s="9"/>
      <c r="AEK170" s="9"/>
      <c r="AEL170" s="9"/>
      <c r="AEM170" s="9"/>
      <c r="AEN170" s="9"/>
      <c r="AEO170" s="9"/>
      <c r="AEP170" s="9"/>
      <c r="AEQ170" s="9"/>
      <c r="AER170" s="9"/>
      <c r="AES170" s="9"/>
      <c r="AET170" s="9"/>
      <c r="AEU170" s="9"/>
      <c r="AEV170" s="9"/>
      <c r="AEW170" s="9"/>
      <c r="AEX170" s="9"/>
      <c r="AEY170" s="9"/>
      <c r="AEZ170" s="9"/>
      <c r="AFA170" s="9"/>
      <c r="AFB170" s="9"/>
      <c r="AFC170" s="9"/>
      <c r="AFD170" s="9"/>
      <c r="AFE170" s="9"/>
      <c r="AFF170" s="9"/>
      <c r="AFG170" s="9"/>
      <c r="AFH170" s="9"/>
      <c r="AFI170" s="9"/>
      <c r="AFJ170" s="9"/>
      <c r="AFK170" s="9"/>
      <c r="AFL170" s="9"/>
      <c r="AFM170" s="9"/>
      <c r="AFN170" s="9"/>
      <c r="AFO170" s="9"/>
      <c r="AFP170" s="9"/>
      <c r="AFQ170" s="9"/>
      <c r="AFR170" s="9"/>
      <c r="AFS170" s="9"/>
      <c r="AFT170" s="9"/>
      <c r="AFU170" s="9"/>
      <c r="AFV170" s="9"/>
      <c r="AFW170" s="9"/>
      <c r="AFX170" s="9"/>
      <c r="AFY170" s="9"/>
      <c r="AFZ170" s="9"/>
      <c r="AGA170" s="9"/>
      <c r="AGB170" s="9"/>
      <c r="AGC170" s="9"/>
      <c r="AGD170" s="9"/>
      <c r="AGE170" s="9"/>
      <c r="AGF170" s="9"/>
      <c r="AGG170" s="9"/>
      <c r="AGH170" s="9"/>
      <c r="AGI170" s="9"/>
      <c r="AGJ170" s="9"/>
      <c r="AGK170" s="9"/>
      <c r="AGL170" s="9"/>
      <c r="AGM170" s="9"/>
      <c r="AGN170" s="9"/>
      <c r="AGO170" s="9"/>
      <c r="AGP170" s="9"/>
      <c r="AGQ170" s="9"/>
      <c r="AGR170" s="9"/>
      <c r="AGS170" s="9"/>
      <c r="AGT170" s="9"/>
      <c r="AGU170" s="9"/>
      <c r="AGV170" s="9"/>
      <c r="AGW170" s="9"/>
      <c r="AGX170" s="9"/>
      <c r="AGY170" s="9"/>
      <c r="AGZ170" s="9"/>
      <c r="AHA170" s="9"/>
      <c r="AHB170" s="9"/>
      <c r="AHC170" s="9"/>
      <c r="AHD170" s="9"/>
      <c r="AHE170" s="9"/>
      <c r="AHF170" s="9"/>
      <c r="AHG170" s="9"/>
      <c r="AHH170" s="9"/>
      <c r="AHI170" s="9"/>
      <c r="AHJ170" s="9"/>
      <c r="AHK170" s="9"/>
      <c r="AHL170" s="9"/>
      <c r="AHM170" s="9"/>
      <c r="AHN170" s="9"/>
      <c r="AHO170" s="9"/>
      <c r="AHP170" s="9"/>
      <c r="AHQ170" s="9"/>
      <c r="AHR170" s="9"/>
      <c r="AHS170" s="9"/>
      <c r="AHT170" s="9"/>
      <c r="AHU170" s="9"/>
      <c r="AHV170" s="9"/>
      <c r="AHW170" s="9"/>
      <c r="AHX170" s="9"/>
      <c r="AHY170" s="9"/>
      <c r="AHZ170" s="9"/>
      <c r="AIA170" s="9"/>
      <c r="AIB170" s="9"/>
      <c r="AIC170" s="9"/>
      <c r="AID170" s="9"/>
      <c r="AIE170" s="9"/>
      <c r="AIF170" s="9"/>
      <c r="AIG170" s="9"/>
      <c r="AIH170" s="9"/>
      <c r="AII170" s="9"/>
      <c r="AIJ170" s="9"/>
      <c r="AIK170" s="9"/>
      <c r="AIL170" s="9"/>
      <c r="AIM170" s="9"/>
      <c r="AIN170" s="9"/>
      <c r="AIO170" s="9"/>
      <c r="AIP170" s="9"/>
      <c r="AIQ170" s="9"/>
      <c r="AIR170" s="9"/>
      <c r="AIS170" s="9"/>
      <c r="AIT170" s="9"/>
      <c r="AIU170" s="9"/>
      <c r="AIV170" s="9"/>
      <c r="AIW170" s="9"/>
      <c r="AIX170" s="9"/>
      <c r="AIY170" s="9"/>
      <c r="AIZ170" s="9"/>
      <c r="AJA170" s="9"/>
      <c r="AJB170" s="9"/>
      <c r="AJC170" s="9"/>
      <c r="AJD170" s="9"/>
      <c r="AJE170" s="9"/>
      <c r="AJF170" s="9"/>
      <c r="AJG170" s="9"/>
      <c r="AJH170" s="9"/>
      <c r="AJI170" s="9"/>
      <c r="AJJ170" s="9"/>
      <c r="AJK170" s="9"/>
      <c r="AJL170" s="9"/>
      <c r="AJM170" s="9"/>
      <c r="AJN170" s="9"/>
      <c r="AJO170" s="9"/>
      <c r="AJP170" s="9"/>
      <c r="AJQ170" s="9"/>
      <c r="AJR170" s="9"/>
      <c r="AJS170" s="9"/>
      <c r="AJT170" s="9"/>
      <c r="AJU170" s="9"/>
      <c r="AJV170" s="9"/>
      <c r="AJW170" s="9"/>
      <c r="AJX170" s="9"/>
      <c r="AJY170" s="9"/>
      <c r="AJZ170" s="9"/>
      <c r="AKA170" s="9"/>
      <c r="AKB170" s="9"/>
      <c r="AKC170" s="9"/>
      <c r="AKD170" s="9"/>
      <c r="AKE170" s="9"/>
      <c r="AKF170" s="9"/>
      <c r="AKG170" s="9"/>
      <c r="AKH170" s="9"/>
      <c r="AKI170" s="9"/>
      <c r="AKJ170" s="9"/>
      <c r="AKK170" s="9"/>
      <c r="AKL170" s="9"/>
      <c r="AKM170" s="9"/>
      <c r="AKN170" s="9"/>
      <c r="AKO170" s="9"/>
      <c r="AKP170" s="9"/>
      <c r="AKQ170" s="9"/>
      <c r="AKR170" s="9"/>
      <c r="AKS170" s="9"/>
      <c r="AKT170" s="9"/>
      <c r="AKU170" s="9"/>
      <c r="AKV170" s="9"/>
      <c r="AKW170" s="9"/>
      <c r="AKX170" s="9"/>
      <c r="AKY170" s="9"/>
      <c r="AKZ170" s="9"/>
      <c r="ALA170" s="9"/>
      <c r="ALB170" s="9"/>
      <c r="ALC170" s="9"/>
      <c r="ALD170" s="9"/>
      <c r="ALE170" s="9"/>
      <c r="ALF170" s="9"/>
      <c r="ALG170" s="9"/>
      <c r="ALH170" s="9"/>
      <c r="ALI170" s="9"/>
      <c r="ALJ170" s="9"/>
      <c r="ALK170" s="9"/>
      <c r="ALL170" s="9"/>
      <c r="ALM170" s="9"/>
      <c r="ALN170" s="9"/>
      <c r="ALO170" s="9"/>
      <c r="ALP170" s="9"/>
      <c r="ALQ170" s="9"/>
      <c r="ALR170" s="9"/>
      <c r="ALS170" s="9"/>
      <c r="ALT170" s="9"/>
      <c r="ALU170" s="9"/>
      <c r="ALV170" s="9"/>
      <c r="ALW170" s="9"/>
      <c r="ALX170" s="9"/>
      <c r="ALY170" s="9"/>
      <c r="ALZ170" s="9"/>
      <c r="AMA170" s="9"/>
      <c r="AMB170" s="9"/>
      <c r="AMC170" s="9"/>
      <c r="AMD170" s="9"/>
      <c r="AME170" s="9"/>
      <c r="AMF170" s="9"/>
      <c r="AMG170" s="9"/>
      <c r="AMH170" s="9"/>
      <c r="AMI170" s="9"/>
      <c r="AMJ170" s="9"/>
      <c r="AMK170" s="9"/>
      <c r="AML170" s="9"/>
      <c r="AMM170" s="9"/>
      <c r="AMN170" s="9"/>
      <c r="AMO170" s="9"/>
    </row>
    <row r="171" spans="1:1029" x14ac:dyDescent="0.2">
      <c r="A171" s="3" t="str">
        <f>CONCATENATE(B171,"_",C171)</f>
        <v>ffar1_human_5TZR</v>
      </c>
      <c r="B171" s="3" t="s">
        <v>1173</v>
      </c>
      <c r="C171" s="3" t="s">
        <v>1426</v>
      </c>
      <c r="D171" s="3" t="str">
        <f>IFERROR(MID(VLOOKUP($B171,Seqs!$A:$B,2,0),E171,1),"")</f>
        <v>P</v>
      </c>
      <c r="E171" s="3">
        <v>4</v>
      </c>
      <c r="F171" s="3" t="str">
        <f>IFERROR(MID(VLOOKUP($B171,Seqs!$A:$B,2,0),G171,1),"")</f>
        <v>R</v>
      </c>
      <c r="G171" s="3">
        <v>37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T</v>
      </c>
      <c r="M171" s="3">
        <v>39</v>
      </c>
      <c r="N171" s="3" t="str">
        <f>IFERROR(MID(VLOOKUP($B171,Seqs!$A:$B,2,0),O171,1),"")</f>
        <v>S</v>
      </c>
      <c r="O171" s="3">
        <v>69</v>
      </c>
      <c r="P171" s="3" t="str">
        <f>IFERROR(MID(VLOOKUP($B171,Seqs!$A:$B,2,0),Q171,1),"")</f>
        <v>A</v>
      </c>
      <c r="Q171" s="3">
        <v>71</v>
      </c>
      <c r="R171" s="3" t="str">
        <f>IFERROR(MID(VLOOKUP($B171,Seqs!$A:$B,2,0),S171,1),"")</f>
        <v>L</v>
      </c>
      <c r="S171" s="3">
        <v>74</v>
      </c>
      <c r="T171" s="3" t="str">
        <f>IFERROR(MID(VLOOKUP($B171,Seqs!$A:$B,2,0),U171,1),"")</f>
        <v>P</v>
      </c>
      <c r="U171" s="3">
        <v>75</v>
      </c>
      <c r="V171" s="3" t="str">
        <f>IFERROR(MID(VLOOKUP($B171,Seqs!$A:$B,2,0),W171,1),"")</f>
        <v>F</v>
      </c>
      <c r="W171" s="3">
        <v>110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C</v>
      </c>
      <c r="AC171" s="3">
        <v>121</v>
      </c>
      <c r="AD171" s="3" t="str">
        <f>IFERROR(MID(VLOOKUP($B171,Seqs!$A:$B,2,0),AE171,1),"")</f>
        <v>A</v>
      </c>
      <c r="AE171" s="3">
        <v>146</v>
      </c>
      <c r="AF171" s="3" t="str">
        <f>IFERROR(MID(VLOOKUP($B171,Seqs!$A:$B,2,0),AG171,1),"")</f>
        <v>C</v>
      </c>
      <c r="AG171" s="3">
        <v>170</v>
      </c>
      <c r="AH171" s="3" t="str">
        <f>IFERROR(MID(VLOOKUP($B171,Seqs!$A:$B,2,0),AI171,1),"")</f>
        <v>E</v>
      </c>
      <c r="AI171" s="3">
        <v>172</v>
      </c>
      <c r="AJ171" s="3" t="str">
        <f>IFERROR(MID(VLOOKUP($B171,Seqs!$A:$B,2,0),AK171,1),"")</f>
        <v>D</v>
      </c>
      <c r="AK171" s="3">
        <v>175</v>
      </c>
      <c r="AL171" s="3" t="str">
        <f>IFERROR(MID(VLOOKUP($B171,Seqs!$A:$B,2,0),AM171,1),"")</f>
        <v>R</v>
      </c>
      <c r="AM171" s="3">
        <v>211</v>
      </c>
      <c r="AN171" s="3" t="str">
        <f>IFERROR(MID(VLOOKUP($B171,Seqs!$A:$B,2,0),AO171,1),"")</f>
        <v>L</v>
      </c>
      <c r="AO171" s="3">
        <v>214</v>
      </c>
      <c r="AP171" s="3" t="str">
        <f>IFERROR(MID(VLOOKUP($B171,Seqs!$A:$B,2,0),AQ171,1),"")</f>
        <v>Y</v>
      </c>
      <c r="AQ171" s="3">
        <v>250</v>
      </c>
      <c r="AR171" s="3" t="str">
        <f>IFERROR(MID(VLOOKUP($B171,Seqs!$A:$B,2,0),AS171,1),"")</f>
        <v>G</v>
      </c>
      <c r="AS171" s="3">
        <v>255</v>
      </c>
      <c r="AT171" s="3" t="str">
        <f>IFERROR(MID(VLOOKUP($B171,Seqs!$A:$B,2,0),AU171,1),"")</f>
        <v>T</v>
      </c>
      <c r="AU171" s="3">
        <v>276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Freefattyacid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233</v>
      </c>
      <c r="BD171" s="16" t="s">
        <v>23</v>
      </c>
      <c r="BE171" s="3" t="s">
        <v>1439</v>
      </c>
      <c r="BF171" s="119">
        <v>2.2000000000000002</v>
      </c>
      <c r="BG171" s="49" t="s">
        <v>1</v>
      </c>
      <c r="BH171" s="49" t="s">
        <v>1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>E171</f>
        <v>4</v>
      </c>
      <c r="BW171" s="71" t="str">
        <f>I171</f>
        <v>-</v>
      </c>
      <c r="BX171" s="72">
        <f>M171</f>
        <v>39</v>
      </c>
      <c r="BY171" s="71">
        <f>Q171</f>
        <v>71</v>
      </c>
      <c r="BZ171" s="72">
        <f>U171</f>
        <v>75</v>
      </c>
      <c r="CA171" s="71" t="str">
        <f>Y171</f>
        <v>-</v>
      </c>
      <c r="CB171" s="72">
        <f>AC171</f>
        <v>121</v>
      </c>
      <c r="CC171" s="71">
        <f>AG171</f>
        <v>170</v>
      </c>
      <c r="CD171" s="72">
        <f>AK171</f>
        <v>175</v>
      </c>
      <c r="CE171" s="71">
        <f>AO171</f>
        <v>214</v>
      </c>
      <c r="CF171" s="72">
        <f>AS171</f>
        <v>255</v>
      </c>
      <c r="CG171" s="71" t="str">
        <f>AW171</f>
        <v>-</v>
      </c>
      <c r="CH171" s="70">
        <f>G171</f>
        <v>37</v>
      </c>
      <c r="CI171" s="71" t="str">
        <f>K171</f>
        <v>-</v>
      </c>
      <c r="CJ171" s="72">
        <f>O171</f>
        <v>69</v>
      </c>
      <c r="CK171" s="72">
        <f>S171</f>
        <v>74</v>
      </c>
      <c r="CL171" s="72">
        <f>W171</f>
        <v>110</v>
      </c>
      <c r="CM171" s="72" t="str">
        <f>AA171</f>
        <v>-</v>
      </c>
      <c r="CN171" s="72">
        <f>AE171</f>
        <v>146</v>
      </c>
      <c r="CO171" s="72">
        <f>AI171</f>
        <v>172</v>
      </c>
      <c r="CP171" s="72">
        <f>AM171</f>
        <v>211</v>
      </c>
      <c r="CQ171" s="72">
        <f>AQ171</f>
        <v>250</v>
      </c>
      <c r="CR171" s="72">
        <f>AU171</f>
        <v>276</v>
      </c>
      <c r="CS171" s="72" t="str">
        <f>AY171</f>
        <v>-</v>
      </c>
      <c r="CT171" s="23" t="e">
        <f>M171-K171</f>
        <v>#VALUE!</v>
      </c>
    </row>
    <row r="172" spans="1:1029" x14ac:dyDescent="0.2">
      <c r="A172" s="3" t="str">
        <f>CONCATENATE(B172,"_",C172)</f>
        <v>ffar1_human_5TZY</v>
      </c>
      <c r="B172" s="3" t="s">
        <v>1173</v>
      </c>
      <c r="C172" s="3" t="s">
        <v>1427</v>
      </c>
      <c r="D172" s="3" t="str">
        <f>IFERROR(MID(VLOOKUP($B172,Seqs!$A:$B,2,0),E172,1),"")</f>
        <v>P</v>
      </c>
      <c r="E172" s="3">
        <v>4</v>
      </c>
      <c r="F172" s="3" t="str">
        <f>IFERROR(MID(VLOOKUP($B172,Seqs!$A:$B,2,0),G172,1),"")</f>
        <v>R</v>
      </c>
      <c r="G172" s="3">
        <v>37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T</v>
      </c>
      <c r="M172" s="3">
        <v>39</v>
      </c>
      <c r="N172" s="3" t="str">
        <f>IFERROR(MID(VLOOKUP($B172,Seqs!$A:$B,2,0),O172,1),"")</f>
        <v>A</v>
      </c>
      <c r="O172" s="3">
        <v>68</v>
      </c>
      <c r="P172" s="3" t="str">
        <f>IFERROR(MID(VLOOKUP($B172,Seqs!$A:$B,2,0),Q172,1),"")</f>
        <v>A</v>
      </c>
      <c r="Q172" s="3">
        <v>71</v>
      </c>
      <c r="R172" s="3" t="str">
        <f>IFERROR(MID(VLOOKUP($B172,Seqs!$A:$B,2,0),S172,1),"")</f>
        <v>L</v>
      </c>
      <c r="S172" s="3">
        <v>74</v>
      </c>
      <c r="T172" s="3" t="str">
        <f>IFERROR(MID(VLOOKUP($B172,Seqs!$A:$B,2,0),U172,1),"")</f>
        <v>P</v>
      </c>
      <c r="U172" s="3">
        <v>75</v>
      </c>
      <c r="V172" s="3" t="str">
        <f>IFERROR(MID(VLOOKUP($B172,Seqs!$A:$B,2,0),W172,1),"")</f>
        <v>F</v>
      </c>
      <c r="W172" s="3">
        <v>110</v>
      </c>
      <c r="X172" s="3" t="str">
        <f>IFERROR(MID(VLOOKUP($B172,Seqs!$A:$B,2,0),Y172,1),"")</f>
        <v>P</v>
      </c>
      <c r="Y172" s="3">
        <v>111</v>
      </c>
      <c r="Z172" s="3" t="str">
        <f>IFERROR(MID(VLOOKUP($B172,Seqs!$A:$B,2,0),AA172,1),"")</f>
        <v>R</v>
      </c>
      <c r="AA172" s="3">
        <v>118</v>
      </c>
      <c r="AB172" s="3" t="str">
        <f>IFERROR(MID(VLOOKUP($B172,Seqs!$A:$B,2,0),AC172,1),"")</f>
        <v>R</v>
      </c>
      <c r="AC172" s="3">
        <v>119</v>
      </c>
      <c r="AD172" s="3" t="str">
        <f>IFERROR(MID(VLOOKUP($B172,Seqs!$A:$B,2,0),AE172,1),"")</f>
        <v>A</v>
      </c>
      <c r="AE172" s="3">
        <v>146</v>
      </c>
      <c r="AF172" s="3" t="str">
        <f>IFERROR(MID(VLOOKUP($B172,Seqs!$A:$B,2,0),AG172,1),"")</f>
        <v>C</v>
      </c>
      <c r="AG172" s="3">
        <v>170</v>
      </c>
      <c r="AH172" s="3" t="str">
        <f>IFERROR(MID(VLOOKUP($B172,Seqs!$A:$B,2,0),AI172,1),"")</f>
        <v>E</v>
      </c>
      <c r="AI172" s="3">
        <v>172</v>
      </c>
      <c r="AJ172" s="3" t="str">
        <f>IFERROR(MID(VLOOKUP($B172,Seqs!$A:$B,2,0),AK172,1),"")</f>
        <v>D</v>
      </c>
      <c r="AK172" s="3">
        <v>175</v>
      </c>
      <c r="AL172" s="3" t="str">
        <f>IFERROR(MID(VLOOKUP($B172,Seqs!$A:$B,2,0),AM172,1),"")</f>
        <v>R</v>
      </c>
      <c r="AM172" s="3">
        <v>211</v>
      </c>
      <c r="AN172" s="3" t="str">
        <f>IFERROR(MID(VLOOKUP($B172,Seqs!$A:$B,2,0),AO172,1),"")</f>
        <v>T</v>
      </c>
      <c r="AO172" s="3">
        <v>215</v>
      </c>
      <c r="AP172" s="3" t="str">
        <f>IFERROR(MID(VLOOKUP($B172,Seqs!$A:$B,2,0),AQ172,1),"")</f>
        <v>Y</v>
      </c>
      <c r="AQ172" s="3">
        <v>250</v>
      </c>
      <c r="AR172" s="3" t="str">
        <f>IFERROR(MID(VLOOKUP($B172,Seqs!$A:$B,2,0),AS172,1),"")</f>
        <v>G</v>
      </c>
      <c r="AS172" s="3">
        <v>254</v>
      </c>
      <c r="AT172" s="3" t="str">
        <f>IFERROR(MID(VLOOKUP($B172,Seqs!$A:$B,2,0),AU172,1),"")</f>
        <v>G</v>
      </c>
      <c r="AU172" s="3">
        <v>277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Freefattyacid</v>
      </c>
      <c r="BB172" s="27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>_xlfn.AGGREGATE(9,6,CH172:CS172)-_xlfn.AGGREGATE(9,6,BV172:CG172)+12</f>
        <v>242</v>
      </c>
      <c r="BD172" s="16" t="s">
        <v>1440</v>
      </c>
      <c r="BE172" s="3" t="s">
        <v>1439</v>
      </c>
      <c r="BF172" s="119">
        <v>3.22</v>
      </c>
      <c r="BG172" s="49" t="s">
        <v>1</v>
      </c>
      <c r="BH172" s="49" t="s">
        <v>1</v>
      </c>
      <c r="BI172" s="1"/>
      <c r="BJ172" s="70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0">
        <f>E172</f>
        <v>4</v>
      </c>
      <c r="BW172" s="71" t="str">
        <f>I172</f>
        <v>-</v>
      </c>
      <c r="BX172" s="72">
        <f>M172</f>
        <v>39</v>
      </c>
      <c r="BY172" s="71">
        <f>Q172</f>
        <v>71</v>
      </c>
      <c r="BZ172" s="72">
        <f>U172</f>
        <v>75</v>
      </c>
      <c r="CA172" s="71">
        <f>Y172</f>
        <v>111</v>
      </c>
      <c r="CB172" s="72">
        <f>AC172</f>
        <v>119</v>
      </c>
      <c r="CC172" s="71">
        <f>AG172</f>
        <v>170</v>
      </c>
      <c r="CD172" s="72">
        <f>AK172</f>
        <v>175</v>
      </c>
      <c r="CE172" s="71">
        <f>AO172</f>
        <v>215</v>
      </c>
      <c r="CF172" s="72">
        <f>AS172</f>
        <v>254</v>
      </c>
      <c r="CG172" s="71" t="str">
        <f>AW172</f>
        <v>-</v>
      </c>
      <c r="CH172" s="70">
        <f>G172</f>
        <v>37</v>
      </c>
      <c r="CI172" s="71" t="str">
        <f>K172</f>
        <v>-</v>
      </c>
      <c r="CJ172" s="72">
        <f>O172</f>
        <v>68</v>
      </c>
      <c r="CK172" s="72">
        <f>S172</f>
        <v>74</v>
      </c>
      <c r="CL172" s="72">
        <f>W172</f>
        <v>110</v>
      </c>
      <c r="CM172" s="72">
        <f>AA172</f>
        <v>118</v>
      </c>
      <c r="CN172" s="72">
        <f>AE172</f>
        <v>146</v>
      </c>
      <c r="CO172" s="72">
        <f>AI172</f>
        <v>172</v>
      </c>
      <c r="CP172" s="72">
        <f>AM172</f>
        <v>211</v>
      </c>
      <c r="CQ172" s="72">
        <f>AQ172</f>
        <v>250</v>
      </c>
      <c r="CR172" s="72">
        <f>AU172</f>
        <v>277</v>
      </c>
      <c r="CS172" s="72" t="str">
        <f>AY172</f>
        <v>-</v>
      </c>
      <c r="CT172" s="23" t="e">
        <f>M172-K172</f>
        <v>#VALUE!</v>
      </c>
    </row>
    <row r="173" spans="1:1029" x14ac:dyDescent="0.2">
      <c r="A173" s="3" t="str">
        <f t="shared" si="559"/>
        <v>hrh1_human__wt</v>
      </c>
      <c r="B173" s="3" t="s">
        <v>278</v>
      </c>
      <c r="C173" s="3" t="s">
        <v>100</v>
      </c>
      <c r="D173" s="3" t="str">
        <f>IFERROR(MID(VLOOKUP($B173,Seqs!$A:$B,2,0),E173,1),"")</f>
        <v>P</v>
      </c>
      <c r="E173" s="3">
        <v>29</v>
      </c>
      <c r="F173" s="3" t="str">
        <f>IFERROR(MID(VLOOKUP($B173,Seqs!$A:$B,2,0),G173,1),"")</f>
        <v>E</v>
      </c>
      <c r="G173" s="3">
        <v>55</v>
      </c>
      <c r="H173" s="3" t="str">
        <f>IFERROR(MID(VLOOKUP($B173,Seqs!$A:$B,2,0),I173,1),"")</f>
        <v>R</v>
      </c>
      <c r="I173" s="23">
        <v>56</v>
      </c>
      <c r="J173" s="3" t="str">
        <f>IFERROR(MID(VLOOKUP($B173,Seqs!$A:$B,2,0),K173,1),"")</f>
        <v>H</v>
      </c>
      <c r="K173" s="23">
        <v>59</v>
      </c>
      <c r="L173" s="3" t="str">
        <f>IFERROR(MID(VLOOKUP($B173,Seqs!$A:$B,2,0),M173,1),"")</f>
        <v>T</v>
      </c>
      <c r="M173" s="3">
        <v>60</v>
      </c>
      <c r="N173" s="3" t="str">
        <f>IFERROR(MID(VLOOKUP($B173,Seqs!$A:$B,2,0),O173,1),"")</f>
        <v>M</v>
      </c>
      <c r="O173" s="3">
        <v>90</v>
      </c>
      <c r="P173" s="3" t="str">
        <f>IFERROR(MID(VLOOKUP($B173,Seqs!$A:$B,2,0),Q173,1),"")</f>
        <v>K</v>
      </c>
      <c r="Q173" s="3">
        <v>92</v>
      </c>
      <c r="R173" s="3" t="str">
        <f>IFERROR(MID(VLOOKUP($B173,Seqs!$A:$B,2,0),S173,1),"")</f>
        <v>L</v>
      </c>
      <c r="S173" s="3">
        <v>95</v>
      </c>
      <c r="T173" s="3" t="str">
        <f>IFERROR(MID(VLOOKUP($B173,Seqs!$A:$B,2,0),U173,1),"")</f>
        <v>G</v>
      </c>
      <c r="U173" s="3">
        <v>96</v>
      </c>
      <c r="V173" s="3" t="str">
        <f>IFERROR(MID(VLOOKUP($B173,Seqs!$A:$B,2,0),W173,1),"")</f>
        <v>Q</v>
      </c>
      <c r="W173" s="3">
        <v>131</v>
      </c>
      <c r="X173" s="3" t="str">
        <f>IFERROR(MID(VLOOKUP($B173,Seqs!$A:$B,2,0),Y173,1),"")</f>
        <v>P</v>
      </c>
      <c r="Y173" s="3">
        <v>132</v>
      </c>
      <c r="Z173" s="3" t="str">
        <f>IFERROR(MID(VLOOKUP($B173,Seqs!$A:$B,2,0),AA173,1),"")</f>
        <v>R</v>
      </c>
      <c r="AA173" s="3">
        <v>139</v>
      </c>
      <c r="AB173" s="3" t="str">
        <f>IFERROR(MID(VLOOKUP($B173,Seqs!$A:$B,2,0),AC173,1),"")</f>
        <v>T</v>
      </c>
      <c r="AC173" s="9">
        <v>140</v>
      </c>
      <c r="AD173" s="3" t="str">
        <f>IFERROR(MID(VLOOKUP($B173,Seqs!$A:$B,2,0),AE173,1),"")</f>
        <v>G</v>
      </c>
      <c r="AE173" s="3">
        <v>164</v>
      </c>
      <c r="AF173" s="3" t="str">
        <f>IFERROR(MID(VLOOKUP($B173,Seqs!$A:$B,2,0),AG173,1),"")</f>
        <v>C</v>
      </c>
      <c r="AG173" s="3">
        <v>180</v>
      </c>
      <c r="AH173" s="3" t="str">
        <f>IFERROR(MID(VLOOKUP($B173,Seqs!$A:$B,2,0),AI173,1),"")</f>
        <v>T</v>
      </c>
      <c r="AI173" s="3">
        <v>182</v>
      </c>
      <c r="AJ173" s="3" t="str">
        <f>IFERROR(MID(VLOOKUP($B173,Seqs!$A:$B,2,0),AK173,1),"")</f>
        <v>V</v>
      </c>
      <c r="AK173" s="3">
        <v>187</v>
      </c>
      <c r="AL173" s="3" t="str">
        <f>IFERROR(MID(VLOOKUP($B173,Seqs!$A:$B,2,0),AM173,1),"")</f>
        <v>N</v>
      </c>
      <c r="AM173" s="3">
        <v>228</v>
      </c>
      <c r="AN173" s="3" t="str">
        <f>IFERROR(MID(VLOOKUP($B173,Seqs!$A:$B,2,0),AO173,1),"")</f>
        <v>G</v>
      </c>
      <c r="AO173" s="3">
        <v>404</v>
      </c>
      <c r="AP173" s="3" t="str">
        <f>IFERROR(MID(VLOOKUP($B173,Seqs!$A:$B,2,0),AQ173,1),"")</f>
        <v>C</v>
      </c>
      <c r="AQ173" s="3">
        <v>441</v>
      </c>
      <c r="AR173" s="3" t="str">
        <f>IFERROR(MID(VLOOKUP($B173,Seqs!$A:$B,2,0),AS173,1),"")</f>
        <v>N</v>
      </c>
      <c r="AS173" s="3">
        <v>446</v>
      </c>
      <c r="AT173" s="3" t="str">
        <f>IFERROR(MID(VLOOKUP($B173,Seqs!$A:$B,2,0),AU173,1),"")</f>
        <v>C</v>
      </c>
      <c r="AU173" s="3">
        <v>471</v>
      </c>
      <c r="AV173" s="3" t="str">
        <f>IFERROR(MID(VLOOKUP($B173,Seqs!$A:$B,2,0),AW173,1),"")</f>
        <v>N</v>
      </c>
      <c r="AW173" s="3">
        <v>472</v>
      </c>
      <c r="AX173" s="3" t="str">
        <f>IFERROR(MID(VLOOKUP($B173,Seqs!$A:$B,2,0),AY173,1),"")</f>
        <v>H</v>
      </c>
      <c r="AY173" s="3">
        <v>484</v>
      </c>
      <c r="AZ173" s="77" t="str">
        <f>VLOOKUP(B173,Classification!A:D,2,0)</f>
        <v>A</v>
      </c>
      <c r="BA173" s="94" t="str">
        <f>VLOOKUP(B173,Classification!A:D,4,0)</f>
        <v>Histamine</v>
      </c>
      <c r="BB173" s="27" t="b">
        <f t="shared" si="560"/>
        <v>1</v>
      </c>
      <c r="BC173" s="23">
        <f t="shared" si="643"/>
        <v>257</v>
      </c>
      <c r="BD173" s="34" t="s">
        <v>1379</v>
      </c>
      <c r="BE173" s="3" t="s">
        <v>23</v>
      </c>
      <c r="BF173" s="119" t="s">
        <v>23</v>
      </c>
      <c r="BG173" s="49" t="s">
        <v>1379</v>
      </c>
      <c r="BH173" s="49" t="s">
        <v>1384</v>
      </c>
      <c r="BI173" s="1"/>
      <c r="BJ173" s="70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0">
        <f t="shared" si="644"/>
        <v>29</v>
      </c>
      <c r="BW173" s="71">
        <f t="shared" si="645"/>
        <v>56</v>
      </c>
      <c r="BX173" s="72">
        <f t="shared" si="646"/>
        <v>60</v>
      </c>
      <c r="BY173" s="71">
        <f t="shared" si="647"/>
        <v>92</v>
      </c>
      <c r="BZ173" s="72">
        <f t="shared" si="648"/>
        <v>96</v>
      </c>
      <c r="CA173" s="71">
        <f t="shared" si="649"/>
        <v>132</v>
      </c>
      <c r="CB173" s="72">
        <f t="shared" si="650"/>
        <v>140</v>
      </c>
      <c r="CC173" s="71">
        <f t="shared" si="651"/>
        <v>180</v>
      </c>
      <c r="CD173" s="72">
        <f t="shared" si="652"/>
        <v>187</v>
      </c>
      <c r="CE173" s="71">
        <f t="shared" si="653"/>
        <v>404</v>
      </c>
      <c r="CF173" s="72">
        <f t="shared" si="654"/>
        <v>446</v>
      </c>
      <c r="CG173" s="71">
        <f t="shared" si="655"/>
        <v>472</v>
      </c>
      <c r="CH173" s="70">
        <f t="shared" si="656"/>
        <v>55</v>
      </c>
      <c r="CI173" s="71">
        <f t="shared" si="657"/>
        <v>59</v>
      </c>
      <c r="CJ173" s="72">
        <f t="shared" si="658"/>
        <v>90</v>
      </c>
      <c r="CK173" s="72">
        <f t="shared" si="659"/>
        <v>95</v>
      </c>
      <c r="CL173" s="72">
        <f t="shared" si="660"/>
        <v>131</v>
      </c>
      <c r="CM173" s="72">
        <f t="shared" si="661"/>
        <v>139</v>
      </c>
      <c r="CN173" s="72">
        <f t="shared" si="662"/>
        <v>164</v>
      </c>
      <c r="CO173" s="72">
        <f t="shared" si="663"/>
        <v>182</v>
      </c>
      <c r="CP173" s="72">
        <f t="shared" si="664"/>
        <v>228</v>
      </c>
      <c r="CQ173" s="72">
        <f t="shared" si="665"/>
        <v>441</v>
      </c>
      <c r="CR173" s="72">
        <f t="shared" si="666"/>
        <v>471</v>
      </c>
      <c r="CS173" s="72">
        <f t="shared" si="667"/>
        <v>484</v>
      </c>
      <c r="CT173" s="23">
        <f t="shared" si="668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si="559"/>
        <v>hrh1_human_3RZE</v>
      </c>
      <c r="B174" s="3" t="s">
        <v>278</v>
      </c>
      <c r="C174" s="3" t="s">
        <v>73</v>
      </c>
      <c r="D174" s="3" t="str">
        <f>IFERROR(MID(VLOOKUP($B174,Seqs!$A:$B,2,0),E174,1),"")</f>
        <v>V</v>
      </c>
      <c r="E174" s="3">
        <v>33</v>
      </c>
      <c r="F174" s="3" t="str">
        <f>IFERROR(MID(VLOOKUP($B174,Seqs!$A:$B,2,0),G174,1),"")</f>
        <v>E</v>
      </c>
      <c r="G174" s="3">
        <v>55</v>
      </c>
      <c r="H174" s="3" t="str">
        <f>IFERROR(MID(VLOOKUP($B174,Seqs!$A:$B,2,0),I174,1),"")</f>
        <v>R</v>
      </c>
      <c r="I174" s="23">
        <v>56</v>
      </c>
      <c r="J174" s="3" t="str">
        <f>IFERROR(MID(VLOOKUP($B174,Seqs!$A:$B,2,0),K174,1),"")</f>
        <v>H</v>
      </c>
      <c r="K174" s="23">
        <v>59</v>
      </c>
      <c r="L174" s="3" t="str">
        <f>IFERROR(MID(VLOOKUP($B174,Seqs!$A:$B,2,0),M174,1),"")</f>
        <v>T</v>
      </c>
      <c r="M174" s="3">
        <v>60</v>
      </c>
      <c r="N174" s="3" t="str">
        <f>IFERROR(MID(VLOOKUP($B174,Seqs!$A:$B,2,0),O174,1),"")</f>
        <v>M</v>
      </c>
      <c r="O174" s="3">
        <v>90</v>
      </c>
      <c r="P174" s="3" t="str">
        <f>IFERROR(MID(VLOOKUP($B174,Seqs!$A:$B,2,0),Q174,1),"")</f>
        <v>K</v>
      </c>
      <c r="Q174" s="3">
        <v>92</v>
      </c>
      <c r="R174" s="3" t="str">
        <f>IFERROR(MID(VLOOKUP($B174,Seqs!$A:$B,2,0),S174,1),"")</f>
        <v>L</v>
      </c>
      <c r="S174" s="3">
        <v>95</v>
      </c>
      <c r="T174" s="3" t="str">
        <f>IFERROR(MID(VLOOKUP($B174,Seqs!$A:$B,2,0),U174,1),"")</f>
        <v>G</v>
      </c>
      <c r="U174" s="3">
        <v>96</v>
      </c>
      <c r="V174" s="3" t="str">
        <f>IFERROR(MID(VLOOKUP($B174,Seqs!$A:$B,2,0),W174,1),"")</f>
        <v>Q</v>
      </c>
      <c r="W174" s="3">
        <v>131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T</v>
      </c>
      <c r="AC174" s="9">
        <v>140</v>
      </c>
      <c r="AD174" s="3" t="str">
        <f>IFERROR(MID(VLOOKUP($B174,Seqs!$A:$B,2,0),AE174,1),"")</f>
        <v>G</v>
      </c>
      <c r="AE174" s="3">
        <v>164</v>
      </c>
      <c r="AF174" s="3" t="str">
        <f>IFERROR(MID(VLOOKUP($B174,Seqs!$A:$B,2,0),AG174,1),"")</f>
        <v>C</v>
      </c>
      <c r="AG174" s="3">
        <v>180</v>
      </c>
      <c r="AH174" s="3" t="str">
        <f>IFERROR(MID(VLOOKUP($B174,Seqs!$A:$B,2,0),AI174,1),"")</f>
        <v>T</v>
      </c>
      <c r="AI174" s="3">
        <v>182</v>
      </c>
      <c r="AJ174" s="3" t="str">
        <f>IFERROR(MID(VLOOKUP($B174,Seqs!$A:$B,2,0),AK174,1),"")</f>
        <v>V</v>
      </c>
      <c r="AK174" s="3">
        <v>187</v>
      </c>
      <c r="AL174" s="3" t="str">
        <f>IFERROR(MID(VLOOKUP($B174,Seqs!$A:$B,2,0),AM174,1),"")</f>
        <v>V</v>
      </c>
      <c r="AM174" s="3">
        <v>217</v>
      </c>
      <c r="AN174" s="3" t="str">
        <f>IFERROR(MID(VLOOKUP($B174,Seqs!$A:$B,2,0),AO174,1),"")</f>
        <v>N</v>
      </c>
      <c r="AO174" s="3">
        <v>408</v>
      </c>
      <c r="AP174" s="3" t="str">
        <f>IFERROR(MID(VLOOKUP($B174,Seqs!$A:$B,2,0),AQ174,1),"")</f>
        <v>C</v>
      </c>
      <c r="AQ174" s="3">
        <v>441</v>
      </c>
      <c r="AR174" s="3" t="str">
        <f>IFERROR(MID(VLOOKUP($B174,Seqs!$A:$B,2,0),AS174,1),"")</f>
        <v>N</v>
      </c>
      <c r="AS174" s="3">
        <v>446</v>
      </c>
      <c r="AT174" s="3" t="str">
        <f>IFERROR(MID(VLOOKUP($B174,Seqs!$A:$B,2,0),AU174,1),"")</f>
        <v>C</v>
      </c>
      <c r="AU174" s="3">
        <v>471</v>
      </c>
      <c r="AV174" s="3" t="str">
        <f>IFERROR(MID(VLOOKUP($B174,Seqs!$A:$B,2,0),AW174,1),"")</f>
        <v>N</v>
      </c>
      <c r="AW174" s="3">
        <v>472</v>
      </c>
      <c r="AX174" s="3" t="str">
        <f>IFERROR(MID(VLOOKUP($B174,Seqs!$A:$B,2,0),AY174,1),"")</f>
        <v>H</v>
      </c>
      <c r="AY174" s="3">
        <v>484</v>
      </c>
      <c r="AZ174" s="77" t="str">
        <f>VLOOKUP(B174,Classification!A:D,2,0)</f>
        <v>A</v>
      </c>
      <c r="BA174" s="94" t="str">
        <f>VLOOKUP(B174,Classification!A:D,4,0)</f>
        <v>Histamine</v>
      </c>
      <c r="BB174" s="27" t="b">
        <f t="shared" si="560"/>
        <v>1</v>
      </c>
      <c r="BC174" s="23">
        <f t="shared" si="643"/>
        <v>231</v>
      </c>
      <c r="BD174" s="16" t="s">
        <v>1383</v>
      </c>
      <c r="BE174" s="3" t="s">
        <v>1381</v>
      </c>
      <c r="BF174" s="119">
        <v>3.1</v>
      </c>
      <c r="BG174" s="49" t="s">
        <v>1384</v>
      </c>
      <c r="BH174" s="49" t="s">
        <v>1384</v>
      </c>
      <c r="BI174" s="1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 t="shared" si="644"/>
        <v>33</v>
      </c>
      <c r="BW174" s="71">
        <f t="shared" si="645"/>
        <v>56</v>
      </c>
      <c r="BX174" s="72">
        <f t="shared" si="646"/>
        <v>60</v>
      </c>
      <c r="BY174" s="71">
        <f t="shared" si="647"/>
        <v>92</v>
      </c>
      <c r="BZ174" s="72">
        <f t="shared" si="648"/>
        <v>96</v>
      </c>
      <c r="CA174" s="71" t="str">
        <f t="shared" si="649"/>
        <v>-</v>
      </c>
      <c r="CB174" s="72">
        <f t="shared" si="650"/>
        <v>140</v>
      </c>
      <c r="CC174" s="71">
        <f t="shared" si="651"/>
        <v>180</v>
      </c>
      <c r="CD174" s="72">
        <f t="shared" si="652"/>
        <v>187</v>
      </c>
      <c r="CE174" s="71">
        <f t="shared" si="653"/>
        <v>408</v>
      </c>
      <c r="CF174" s="72">
        <f t="shared" si="654"/>
        <v>446</v>
      </c>
      <c r="CG174" s="71">
        <f t="shared" si="655"/>
        <v>472</v>
      </c>
      <c r="CH174" s="70">
        <f t="shared" si="656"/>
        <v>55</v>
      </c>
      <c r="CI174" s="71">
        <f t="shared" si="657"/>
        <v>59</v>
      </c>
      <c r="CJ174" s="72">
        <f t="shared" si="658"/>
        <v>90</v>
      </c>
      <c r="CK174" s="72">
        <f t="shared" si="659"/>
        <v>95</v>
      </c>
      <c r="CL174" s="72">
        <f t="shared" si="660"/>
        <v>131</v>
      </c>
      <c r="CM174" s="72" t="str">
        <f t="shared" si="661"/>
        <v>-</v>
      </c>
      <c r="CN174" s="72">
        <f t="shared" si="662"/>
        <v>164</v>
      </c>
      <c r="CO174" s="72">
        <f t="shared" si="663"/>
        <v>182</v>
      </c>
      <c r="CP174" s="72">
        <f t="shared" si="664"/>
        <v>217</v>
      </c>
      <c r="CQ174" s="72">
        <f t="shared" si="665"/>
        <v>441</v>
      </c>
      <c r="CR174" s="72">
        <f t="shared" si="666"/>
        <v>471</v>
      </c>
      <c r="CS174" s="72">
        <f t="shared" si="667"/>
        <v>484</v>
      </c>
      <c r="CT174" s="23">
        <f t="shared" si="668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ref="A175:A215" si="669">CONCATENATE(B175,"_",C175)</f>
        <v>lpar1_human__wt</v>
      </c>
      <c r="B175" s="3" t="s">
        <v>103</v>
      </c>
      <c r="C175" s="3" t="s">
        <v>100</v>
      </c>
      <c r="D175" s="3" t="str">
        <f>IFERROR(MID(VLOOKUP($B175,Seqs!$A:$B,2,0),E175,1),"")</f>
        <v>T</v>
      </c>
      <c r="E175" s="3">
        <v>47</v>
      </c>
      <c r="F175" s="3" t="str">
        <f>IFERROR(MID(VLOOKUP($B175,Seqs!$A:$B,2,0),G175,1),"")</f>
        <v>N</v>
      </c>
      <c r="G175" s="3">
        <v>77</v>
      </c>
      <c r="H175" s="3" t="str">
        <f>IFERROR(MID(VLOOKUP($B175,Seqs!$A:$B,2,0),I175,1),"")</f>
        <v>R</v>
      </c>
      <c r="I175" s="23">
        <v>78</v>
      </c>
      <c r="J175" s="3" t="str">
        <f>IFERROR(MID(VLOOKUP($B175,Seqs!$A:$B,2,0),K175,1),"")</f>
        <v>H</v>
      </c>
      <c r="K175" s="23">
        <v>81</v>
      </c>
      <c r="L175" s="3" t="str">
        <f>IFERROR(MID(VLOOKUP($B175,Seqs!$A:$B,2,0),M175,1),"")</f>
        <v>F</v>
      </c>
      <c r="M175" s="3">
        <v>82</v>
      </c>
      <c r="N175" s="3" t="str">
        <f>IFERROR(MID(VLOOKUP($B175,Seqs!$A:$B,2,0),O175,1),"")</f>
        <v>N</v>
      </c>
      <c r="O175" s="3">
        <v>108</v>
      </c>
      <c r="P175" s="3" t="str">
        <f>IFERROR(MID(VLOOKUP($B175,Seqs!$A:$B,2,0),Q175,1),"")</f>
        <v>G</v>
      </c>
      <c r="Q175" s="3">
        <v>110</v>
      </c>
      <c r="R175" s="3" t="str">
        <f>IFERROR(MID(VLOOKUP($B175,Seqs!$A:$B,2,0),S175,1),"")</f>
        <v>L</v>
      </c>
      <c r="S175" s="3">
        <v>116</v>
      </c>
      <c r="T175" s="3" t="str">
        <f>IFERROR(MID(VLOOKUP($B175,Seqs!$A:$B,2,0),U175,1),"")</f>
        <v>T</v>
      </c>
      <c r="U175" s="3">
        <v>117</v>
      </c>
      <c r="V175" s="3" t="str">
        <f>IFERROR(MID(VLOOKUP($B175,Seqs!$A:$B,2,0),W175,1),"")</f>
        <v>R</v>
      </c>
      <c r="W175" s="3">
        <v>152</v>
      </c>
      <c r="X175" s="3" t="str">
        <f>IFERROR(MID(VLOOKUP($B175,Seqs!$A:$B,2,0),Y175,1),"")</f>
        <v>M</v>
      </c>
      <c r="Y175" s="105">
        <v>153</v>
      </c>
      <c r="Z175" s="3" t="str">
        <f>IFERROR(MID(VLOOKUP($B175,Seqs!$A:$B,2,0),AA175,1),"")</f>
        <v>M</v>
      </c>
      <c r="AA175" s="105">
        <v>159</v>
      </c>
      <c r="AB175" s="3" t="str">
        <f>IFERROR(MID(VLOOKUP($B175,Seqs!$A:$B,2,0),AC175,1),"")</f>
        <v>S</v>
      </c>
      <c r="AC175" s="105">
        <v>160</v>
      </c>
      <c r="AD175" s="3" t="str">
        <f>IFERROR(MID(VLOOKUP($B175,Seqs!$A:$B,2,0),AE175,1),"")</f>
        <v>G</v>
      </c>
      <c r="AE175" s="3">
        <v>185</v>
      </c>
      <c r="AF175" s="3" t="str">
        <f>IFERROR(MID(VLOOKUP($B175,Seqs!$A:$B,2,0),AG175,1),"")</f>
        <v/>
      </c>
      <c r="AG175" s="3" t="s">
        <v>23</v>
      </c>
      <c r="AH175" s="3" t="str">
        <f>IFERROR(MID(VLOOKUP($B175,Seqs!$A:$B,2,0),AI175,1),"")</f>
        <v/>
      </c>
      <c r="AI175" s="3" t="s">
        <v>23</v>
      </c>
      <c r="AJ175" s="3" t="str">
        <f>IFERROR(MID(VLOOKUP($B175,Seqs!$A:$B,2,0),AK175,1),"")</f>
        <v>S</v>
      </c>
      <c r="AK175" s="3">
        <v>203</v>
      </c>
      <c r="AL175" s="3" t="str">
        <f>IFERROR(MID(VLOOKUP($B175,Seqs!$A:$B,2,0),AM175,1),"")</f>
        <v>S</v>
      </c>
      <c r="AM175" s="3">
        <v>240</v>
      </c>
      <c r="AN175" s="3" t="str">
        <f>IFERROR(MID(VLOOKUP($B175,Seqs!$A:$B,2,0),AO175,1),"")</f>
        <v>G</v>
      </c>
      <c r="AO175" s="3">
        <v>245</v>
      </c>
      <c r="AP175" s="3" t="str">
        <f>IFERROR(MID(VLOOKUP($B175,Seqs!$A:$B,2,0),AQ175,1),"")</f>
        <v>C</v>
      </c>
      <c r="AQ175" s="3">
        <v>284</v>
      </c>
      <c r="AR175" s="3" t="str">
        <f>IFERROR(MID(VLOOKUP($B175,Seqs!$A:$B,2,0),AS175,1),"")</f>
        <v>D</v>
      </c>
      <c r="AS175" s="3">
        <v>288</v>
      </c>
      <c r="AT175" s="3" t="str">
        <f>IFERROR(MID(VLOOKUP($B175,Seqs!$A:$B,2,0),AU175,1),"")</f>
        <v>R</v>
      </c>
      <c r="AU175" s="3">
        <v>314</v>
      </c>
      <c r="AV175" s="3" t="str">
        <f>IFERROR(MID(VLOOKUP($B175,Seqs!$A:$B,2,0),AW175,1),"")</f>
        <v>D</v>
      </c>
      <c r="AW175" s="3">
        <v>315</v>
      </c>
      <c r="AX175" s="3" t="str">
        <f>IFERROR(MID(VLOOKUP($B175,Seqs!$A:$B,2,0),AY175,1),"")</f>
        <v>C</v>
      </c>
      <c r="AY175" s="3">
        <v>327</v>
      </c>
      <c r="AZ175" s="77" t="str">
        <f>VLOOKUP(B175,Classification!A:D,2,0)</f>
        <v>A</v>
      </c>
      <c r="BA175" s="94" t="str">
        <f>VLOOKUP(B175,Classification!A:D,4,0)</f>
        <v>Lysophospholipid(LPA)</v>
      </c>
      <c r="BB175" s="27" t="b">
        <f t="shared" ref="BB175:BB215" si="670"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 t="shared" si="643"/>
        <v>257</v>
      </c>
      <c r="BD175" s="56" t="s">
        <v>1379</v>
      </c>
      <c r="BE175" s="3" t="s">
        <v>23</v>
      </c>
      <c r="BF175" s="119" t="s">
        <v>23</v>
      </c>
      <c r="BG175" s="49" t="s">
        <v>1379</v>
      </c>
      <c r="BH175" s="49" t="s">
        <v>1384</v>
      </c>
      <c r="BI175" s="1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644"/>
        <v>47</v>
      </c>
      <c r="BW175" s="71">
        <f t="shared" si="645"/>
        <v>78</v>
      </c>
      <c r="BX175" s="72">
        <f t="shared" si="646"/>
        <v>82</v>
      </c>
      <c r="BY175" s="71">
        <f t="shared" si="647"/>
        <v>110</v>
      </c>
      <c r="BZ175" s="72">
        <f t="shared" si="648"/>
        <v>117</v>
      </c>
      <c r="CA175" s="71">
        <f t="shared" si="649"/>
        <v>153</v>
      </c>
      <c r="CB175" s="72">
        <f t="shared" si="650"/>
        <v>160</v>
      </c>
      <c r="CC175" s="71" t="str">
        <f t="shared" si="651"/>
        <v>-</v>
      </c>
      <c r="CD175" s="72">
        <f t="shared" si="652"/>
        <v>203</v>
      </c>
      <c r="CE175" s="71">
        <f t="shared" si="653"/>
        <v>245</v>
      </c>
      <c r="CF175" s="72">
        <f t="shared" si="654"/>
        <v>288</v>
      </c>
      <c r="CG175" s="71">
        <f t="shared" si="655"/>
        <v>315</v>
      </c>
      <c r="CH175" s="70">
        <f t="shared" si="656"/>
        <v>77</v>
      </c>
      <c r="CI175" s="71">
        <f t="shared" si="657"/>
        <v>81</v>
      </c>
      <c r="CJ175" s="72">
        <f t="shared" si="658"/>
        <v>108</v>
      </c>
      <c r="CK175" s="72">
        <f t="shared" si="659"/>
        <v>116</v>
      </c>
      <c r="CL175" s="72">
        <f t="shared" si="660"/>
        <v>152</v>
      </c>
      <c r="CM175" s="72">
        <f t="shared" si="661"/>
        <v>159</v>
      </c>
      <c r="CN175" s="72">
        <f t="shared" si="662"/>
        <v>185</v>
      </c>
      <c r="CO175" s="72" t="str">
        <f t="shared" si="663"/>
        <v>-</v>
      </c>
      <c r="CP175" s="72">
        <f t="shared" si="664"/>
        <v>240</v>
      </c>
      <c r="CQ175" s="72">
        <f t="shared" si="665"/>
        <v>284</v>
      </c>
      <c r="CR175" s="72">
        <f t="shared" si="666"/>
        <v>314</v>
      </c>
      <c r="CS175" s="72">
        <f t="shared" si="667"/>
        <v>327</v>
      </c>
      <c r="CT175" s="23">
        <f t="shared" si="668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669"/>
        <v>lpar1_human_4Z34</v>
      </c>
      <c r="B176" s="3" t="s">
        <v>103</v>
      </c>
      <c r="C176" s="3" t="s">
        <v>1057</v>
      </c>
      <c r="D176" s="3" t="str">
        <f>IFERROR(MID(VLOOKUP($B176,Seqs!$A:$B,2,0),E176,1),"")</f>
        <v>T</v>
      </c>
      <c r="E176" s="3">
        <v>47</v>
      </c>
      <c r="F176" s="3" t="str">
        <f>IFERROR(MID(VLOOKUP($B176,Seqs!$A:$B,2,0),G176,1),"")</f>
        <v>N</v>
      </c>
      <c r="G176" s="3">
        <v>77</v>
      </c>
      <c r="H176" s="3" t="str">
        <f>IFERROR(MID(VLOOKUP($B176,Seqs!$A:$B,2,0),I176,1),"")</f>
        <v>R</v>
      </c>
      <c r="I176" s="23">
        <v>78</v>
      </c>
      <c r="J176" s="3" t="str">
        <f>IFERROR(MID(VLOOKUP($B176,Seqs!$A:$B,2,0),K176,1),"")</f>
        <v>H</v>
      </c>
      <c r="K176" s="23">
        <v>81</v>
      </c>
      <c r="L176" s="3" t="str">
        <f>IFERROR(MID(VLOOKUP($B176,Seqs!$A:$B,2,0),M176,1),"")</f>
        <v>F</v>
      </c>
      <c r="M176" s="3">
        <v>82</v>
      </c>
      <c r="N176" s="3" t="str">
        <f>IFERROR(MID(VLOOKUP($B176,Seqs!$A:$B,2,0),O176,1),"")</f>
        <v>N</v>
      </c>
      <c r="O176" s="3">
        <v>108</v>
      </c>
      <c r="P176" s="3" t="str">
        <f>IFERROR(MID(VLOOKUP($B176,Seqs!$A:$B,2,0),Q176,1),"")</f>
        <v>G</v>
      </c>
      <c r="Q176" s="3">
        <v>110</v>
      </c>
      <c r="R176" s="3" t="str">
        <f>IFERROR(MID(VLOOKUP($B176,Seqs!$A:$B,2,0),S176,1),"")</f>
        <v>L</v>
      </c>
      <c r="S176" s="3">
        <v>116</v>
      </c>
      <c r="T176" s="3" t="str">
        <f>IFERROR(MID(VLOOKUP($B176,Seqs!$A:$B,2,0),U176,1),"")</f>
        <v>T</v>
      </c>
      <c r="U176" s="3">
        <v>117</v>
      </c>
      <c r="V176" s="3" t="str">
        <f>IFERROR(MID(VLOOKUP($B176,Seqs!$A:$B,2,0),W176,1),"")</f>
        <v>R</v>
      </c>
      <c r="W176" s="3">
        <v>152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T</v>
      </c>
      <c r="AC176" s="9">
        <v>157</v>
      </c>
      <c r="AD176" s="3" t="str">
        <f>IFERROR(MID(VLOOKUP($B176,Seqs!$A:$B,2,0),AE176,1),"")</f>
        <v>G</v>
      </c>
      <c r="AE176" s="3">
        <v>185</v>
      </c>
      <c r="AF176" s="3" t="str">
        <f>IFERROR(MID(VLOOKUP($B176,Seqs!$A:$B,2,0),AG176,1),"")</f>
        <v/>
      </c>
      <c r="AG176" s="3" t="s">
        <v>23</v>
      </c>
      <c r="AH176" s="3" t="str">
        <f>IFERROR(MID(VLOOKUP($B176,Seqs!$A:$B,2,0),AI176,1),"")</f>
        <v/>
      </c>
      <c r="AI176" s="3" t="s">
        <v>23</v>
      </c>
      <c r="AJ176" s="3" t="str">
        <f>IFERROR(MID(VLOOKUP($B176,Seqs!$A:$B,2,0),AK176,1),"")</f>
        <v>S</v>
      </c>
      <c r="AK176" s="3">
        <v>203</v>
      </c>
      <c r="AL176" s="3" t="str">
        <f>IFERROR(MID(VLOOKUP($B176,Seqs!$A:$B,2,0),AM176,1),"")</f>
        <v>R</v>
      </c>
      <c r="AM176" s="3">
        <v>235</v>
      </c>
      <c r="AN176" s="3" t="str">
        <f>IFERROR(MID(VLOOKUP($B176,Seqs!$A:$B,2,0),AO176,1),"")</f>
        <v>G</v>
      </c>
      <c r="AO176" s="3">
        <v>245</v>
      </c>
      <c r="AP176" s="3" t="str">
        <f>IFERROR(MID(VLOOKUP($B176,Seqs!$A:$B,2,0),AQ176,1),"")</f>
        <v>C</v>
      </c>
      <c r="AQ176" s="3">
        <v>284</v>
      </c>
      <c r="AR176" s="3" t="str">
        <f>IFERROR(MID(VLOOKUP($B176,Seqs!$A:$B,2,0),AS176,1),"")</f>
        <v>E</v>
      </c>
      <c r="AS176" s="3">
        <v>293</v>
      </c>
      <c r="AT176" s="3" t="str">
        <f>IFERROR(MID(VLOOKUP($B176,Seqs!$A:$B,2,0),AU176,1),"")</f>
        <v>R</v>
      </c>
      <c r="AU176" s="3">
        <v>314</v>
      </c>
      <c r="AV176" s="3" t="str">
        <f>IFERROR(MID(VLOOKUP($B176,Seqs!$A:$B,2,0),AW176,1),"")</f>
        <v>D</v>
      </c>
      <c r="AW176" s="3">
        <v>315</v>
      </c>
      <c r="AX176" s="3" t="str">
        <f>IFERROR(MID(VLOOKUP($B176,Seqs!$A:$B,2,0),AY176,1),"")</f>
        <v>C</v>
      </c>
      <c r="AY176" s="3">
        <v>327</v>
      </c>
      <c r="AZ176" s="77" t="str">
        <f>VLOOKUP(B176,Classification!A:D,2,0)</f>
        <v>A</v>
      </c>
      <c r="BA176" s="94" t="str">
        <f>VLOOKUP(B176,Classification!A:D,4,0)</f>
        <v>Lysophospholipid(LPA)</v>
      </c>
      <c r="BB176" s="27" t="b">
        <f t="shared" si="670"/>
        <v>1</v>
      </c>
      <c r="BC176" s="23">
        <f t="shared" si="643"/>
        <v>244</v>
      </c>
      <c r="BD176" s="16" t="s">
        <v>23</v>
      </c>
      <c r="BE176" s="3" t="s">
        <v>1381</v>
      </c>
      <c r="BF176" s="119">
        <v>3</v>
      </c>
      <c r="BG176" s="49" t="s">
        <v>1384</v>
      </c>
      <c r="BH176" s="49" t="s">
        <v>1384</v>
      </c>
      <c r="BI176" s="1"/>
      <c r="BJ176" s="70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0">
        <f t="shared" si="644"/>
        <v>47</v>
      </c>
      <c r="BW176" s="71">
        <f t="shared" si="645"/>
        <v>78</v>
      </c>
      <c r="BX176" s="72">
        <f t="shared" si="646"/>
        <v>82</v>
      </c>
      <c r="BY176" s="71">
        <f t="shared" si="647"/>
        <v>110</v>
      </c>
      <c r="BZ176" s="72">
        <f t="shared" si="648"/>
        <v>117</v>
      </c>
      <c r="CA176" s="71" t="str">
        <f t="shared" si="649"/>
        <v>-</v>
      </c>
      <c r="CB176" s="72">
        <f t="shared" si="650"/>
        <v>157</v>
      </c>
      <c r="CC176" s="71" t="str">
        <f t="shared" si="651"/>
        <v>-</v>
      </c>
      <c r="CD176" s="72">
        <f t="shared" si="652"/>
        <v>203</v>
      </c>
      <c r="CE176" s="71">
        <f t="shared" si="653"/>
        <v>245</v>
      </c>
      <c r="CF176" s="72">
        <f t="shared" si="654"/>
        <v>293</v>
      </c>
      <c r="CG176" s="71">
        <f t="shared" si="655"/>
        <v>315</v>
      </c>
      <c r="CH176" s="70">
        <f t="shared" si="656"/>
        <v>77</v>
      </c>
      <c r="CI176" s="71">
        <f t="shared" si="657"/>
        <v>81</v>
      </c>
      <c r="CJ176" s="72">
        <f t="shared" si="658"/>
        <v>108</v>
      </c>
      <c r="CK176" s="72">
        <f t="shared" si="659"/>
        <v>116</v>
      </c>
      <c r="CL176" s="72">
        <f t="shared" si="660"/>
        <v>152</v>
      </c>
      <c r="CM176" s="72" t="str">
        <f t="shared" si="661"/>
        <v>-</v>
      </c>
      <c r="CN176" s="72">
        <f t="shared" si="662"/>
        <v>185</v>
      </c>
      <c r="CO176" s="72" t="str">
        <f t="shared" si="663"/>
        <v>-</v>
      </c>
      <c r="CP176" s="72">
        <f t="shared" si="664"/>
        <v>235</v>
      </c>
      <c r="CQ176" s="72">
        <f t="shared" si="665"/>
        <v>284</v>
      </c>
      <c r="CR176" s="72">
        <f t="shared" si="666"/>
        <v>314</v>
      </c>
      <c r="CS176" s="72">
        <f t="shared" si="667"/>
        <v>327</v>
      </c>
      <c r="CT176" s="23">
        <f t="shared" si="668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669"/>
        <v>lpar1_human_4Z35</v>
      </c>
      <c r="B177" s="3" t="s">
        <v>103</v>
      </c>
      <c r="C177" s="3" t="s">
        <v>89</v>
      </c>
      <c r="D177" s="3" t="str">
        <f>IFERROR(MID(VLOOKUP($B177,Seqs!$A:$B,2,0),E177,1),"")</f>
        <v>T</v>
      </c>
      <c r="E177" s="3">
        <v>47</v>
      </c>
      <c r="F177" s="3" t="str">
        <f>IFERROR(MID(VLOOKUP($B177,Seqs!$A:$B,2,0),G177,1),"")</f>
        <v>N</v>
      </c>
      <c r="G177" s="3">
        <v>77</v>
      </c>
      <c r="H177" s="3" t="str">
        <f>IFERROR(MID(VLOOKUP($B177,Seqs!$A:$B,2,0),I177,1),"")</f>
        <v>R</v>
      </c>
      <c r="I177" s="23">
        <v>78</v>
      </c>
      <c r="J177" s="3" t="str">
        <f>IFERROR(MID(VLOOKUP($B177,Seqs!$A:$B,2,0),K177,1),"")</f>
        <v>H</v>
      </c>
      <c r="K177" s="23">
        <v>81</v>
      </c>
      <c r="L177" s="3" t="str">
        <f>IFERROR(MID(VLOOKUP($B177,Seqs!$A:$B,2,0),M177,1),"")</f>
        <v>F</v>
      </c>
      <c r="M177" s="3">
        <v>82</v>
      </c>
      <c r="N177" s="3" t="str">
        <f>IFERROR(MID(VLOOKUP($B177,Seqs!$A:$B,2,0),O177,1),"")</f>
        <v>N</v>
      </c>
      <c r="O177" s="3">
        <v>108</v>
      </c>
      <c r="P177" s="3" t="str">
        <f>IFERROR(MID(VLOOKUP($B177,Seqs!$A:$B,2,0),Q177,1),"")</f>
        <v>G</v>
      </c>
      <c r="Q177" s="3">
        <v>110</v>
      </c>
      <c r="R177" s="3" t="str">
        <f>IFERROR(MID(VLOOKUP($B177,Seqs!$A:$B,2,0),S177,1),"")</f>
        <v>L</v>
      </c>
      <c r="S177" s="3">
        <v>116</v>
      </c>
      <c r="T177" s="3" t="str">
        <f>IFERROR(MID(VLOOKUP($B177,Seqs!$A:$B,2,0),U177,1),"")</f>
        <v>T</v>
      </c>
      <c r="U177" s="3">
        <v>117</v>
      </c>
      <c r="V177" s="3" t="str">
        <f>IFERROR(MID(VLOOKUP($B177,Seqs!$A:$B,2,0),W177,1),"")</f>
        <v>R</v>
      </c>
      <c r="W177" s="3">
        <v>152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T</v>
      </c>
      <c r="AC177" s="9">
        <v>157</v>
      </c>
      <c r="AD177" s="3" t="str">
        <f>IFERROR(MID(VLOOKUP($B177,Seqs!$A:$B,2,0),AE177,1),"")</f>
        <v>G</v>
      </c>
      <c r="AE177" s="3">
        <v>185</v>
      </c>
      <c r="AF177" s="3" t="str">
        <f>IFERROR(MID(VLOOKUP($B177,Seqs!$A:$B,2,0),AG177,1),"")</f>
        <v/>
      </c>
      <c r="AG177" s="3" t="s">
        <v>23</v>
      </c>
      <c r="AH177" s="3" t="str">
        <f>IFERROR(MID(VLOOKUP($B177,Seqs!$A:$B,2,0),AI177,1),"")</f>
        <v/>
      </c>
      <c r="AI177" s="3" t="s">
        <v>23</v>
      </c>
      <c r="AJ177" s="3" t="str">
        <f>IFERROR(MID(VLOOKUP($B177,Seqs!$A:$B,2,0),AK177,1),"")</f>
        <v>S</v>
      </c>
      <c r="AK177" s="3">
        <v>203</v>
      </c>
      <c r="AL177" s="3" t="str">
        <f>IFERROR(MID(VLOOKUP($B177,Seqs!$A:$B,2,0),AM177,1),"")</f>
        <v>R</v>
      </c>
      <c r="AM177" s="3">
        <v>235</v>
      </c>
      <c r="AN177" s="3" t="str">
        <f>IFERROR(MID(VLOOKUP($B177,Seqs!$A:$B,2,0),AO177,1),"")</f>
        <v>G</v>
      </c>
      <c r="AO177" s="3">
        <v>245</v>
      </c>
      <c r="AP177" s="3" t="str">
        <f>IFERROR(MID(VLOOKUP($B177,Seqs!$A:$B,2,0),AQ177,1),"")</f>
        <v>C</v>
      </c>
      <c r="AQ177" s="3">
        <v>284</v>
      </c>
      <c r="AR177" s="3" t="str">
        <f>IFERROR(MID(VLOOKUP($B177,Seqs!$A:$B,2,0),AS177,1),"")</f>
        <v>E</v>
      </c>
      <c r="AS177" s="3">
        <v>293</v>
      </c>
      <c r="AT177" s="3" t="str">
        <f>IFERROR(MID(VLOOKUP($B177,Seqs!$A:$B,2,0),AU177,1),"")</f>
        <v>R</v>
      </c>
      <c r="AU177" s="3">
        <v>314</v>
      </c>
      <c r="AV177" s="3" t="str">
        <f>IFERROR(MID(VLOOKUP($B177,Seqs!$A:$B,2,0),AW177,1),"")</f>
        <v>D</v>
      </c>
      <c r="AW177" s="3">
        <v>315</v>
      </c>
      <c r="AX177" s="3" t="str">
        <f>IFERROR(MID(VLOOKUP($B177,Seqs!$A:$B,2,0),AY177,1),"")</f>
        <v>C</v>
      </c>
      <c r="AY177" s="3">
        <v>327</v>
      </c>
      <c r="AZ177" s="77" t="str">
        <f>VLOOKUP(B177,Classification!A:D,2,0)</f>
        <v>A</v>
      </c>
      <c r="BA177" s="94" t="str">
        <f>VLOOKUP(B177,Classification!A:D,4,0)</f>
        <v>Lysophospholipid(LPA)</v>
      </c>
      <c r="BB177" s="27" t="b">
        <f t="shared" si="670"/>
        <v>1</v>
      </c>
      <c r="BC177" s="23">
        <f t="shared" si="643"/>
        <v>244</v>
      </c>
      <c r="BD177" s="5" t="s">
        <v>1383</v>
      </c>
      <c r="BE177" s="3" t="s">
        <v>1381</v>
      </c>
      <c r="BF177" s="119">
        <v>2.9</v>
      </c>
      <c r="BG177" s="49" t="s">
        <v>1384</v>
      </c>
      <c r="BH177" s="49" t="s">
        <v>1384</v>
      </c>
      <c r="BI177" s="1"/>
      <c r="BJ177" s="70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0">
        <f t="shared" si="644"/>
        <v>47</v>
      </c>
      <c r="BW177" s="71">
        <f t="shared" si="645"/>
        <v>78</v>
      </c>
      <c r="BX177" s="72">
        <f t="shared" si="646"/>
        <v>82</v>
      </c>
      <c r="BY177" s="71">
        <f t="shared" si="647"/>
        <v>110</v>
      </c>
      <c r="BZ177" s="72">
        <f t="shared" si="648"/>
        <v>117</v>
      </c>
      <c r="CA177" s="71" t="str">
        <f t="shared" si="649"/>
        <v>-</v>
      </c>
      <c r="CB177" s="72">
        <f t="shared" si="650"/>
        <v>157</v>
      </c>
      <c r="CC177" s="71" t="str">
        <f t="shared" si="651"/>
        <v>-</v>
      </c>
      <c r="CD177" s="72">
        <f t="shared" si="652"/>
        <v>203</v>
      </c>
      <c r="CE177" s="71">
        <f t="shared" si="653"/>
        <v>245</v>
      </c>
      <c r="CF177" s="72">
        <f t="shared" si="654"/>
        <v>293</v>
      </c>
      <c r="CG177" s="71">
        <f t="shared" si="655"/>
        <v>315</v>
      </c>
      <c r="CH177" s="70">
        <f t="shared" si="656"/>
        <v>77</v>
      </c>
      <c r="CI177" s="71">
        <f t="shared" si="657"/>
        <v>81</v>
      </c>
      <c r="CJ177" s="72">
        <f t="shared" si="658"/>
        <v>108</v>
      </c>
      <c r="CK177" s="72">
        <f t="shared" si="659"/>
        <v>116</v>
      </c>
      <c r="CL177" s="72">
        <f t="shared" si="660"/>
        <v>152</v>
      </c>
      <c r="CM177" s="72" t="str">
        <f t="shared" si="661"/>
        <v>-</v>
      </c>
      <c r="CN177" s="72">
        <f t="shared" si="662"/>
        <v>185</v>
      </c>
      <c r="CO177" s="72" t="str">
        <f t="shared" si="663"/>
        <v>-</v>
      </c>
      <c r="CP177" s="72">
        <f t="shared" si="664"/>
        <v>235</v>
      </c>
      <c r="CQ177" s="72">
        <f t="shared" si="665"/>
        <v>284</v>
      </c>
      <c r="CR177" s="72">
        <f t="shared" si="666"/>
        <v>314</v>
      </c>
      <c r="CS177" s="72">
        <f t="shared" si="667"/>
        <v>327</v>
      </c>
      <c r="CT177" s="23">
        <f t="shared" si="668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si="669"/>
        <v>lpar1_human_4Z36</v>
      </c>
      <c r="B178" s="3" t="s">
        <v>103</v>
      </c>
      <c r="C178" s="3" t="s">
        <v>1058</v>
      </c>
      <c r="D178" s="3" t="str">
        <f>IFERROR(MID(VLOOKUP($B178,Seqs!$A:$B,2,0),E178,1),"")</f>
        <v>T</v>
      </c>
      <c r="E178" s="3">
        <v>47</v>
      </c>
      <c r="F178" s="3" t="str">
        <f>IFERROR(MID(VLOOKUP($B178,Seqs!$A:$B,2,0),G178,1),"")</f>
        <v>N</v>
      </c>
      <c r="G178" s="3">
        <v>77</v>
      </c>
      <c r="H178" s="3" t="str">
        <f>IFERROR(MID(VLOOKUP($B178,Seqs!$A:$B,2,0),I178,1),"")</f>
        <v>R</v>
      </c>
      <c r="I178" s="23">
        <v>78</v>
      </c>
      <c r="J178" s="3" t="str">
        <f>IFERROR(MID(VLOOKUP($B178,Seqs!$A:$B,2,0),K178,1),"")</f>
        <v>H</v>
      </c>
      <c r="K178" s="23">
        <v>81</v>
      </c>
      <c r="L178" s="3" t="str">
        <f>IFERROR(MID(VLOOKUP($B178,Seqs!$A:$B,2,0),M178,1),"")</f>
        <v>F</v>
      </c>
      <c r="M178" s="3">
        <v>82</v>
      </c>
      <c r="N178" s="3" t="str">
        <f>IFERROR(MID(VLOOKUP($B178,Seqs!$A:$B,2,0),O178,1),"")</f>
        <v>N</v>
      </c>
      <c r="O178" s="3">
        <v>108</v>
      </c>
      <c r="P178" s="3" t="str">
        <f>IFERROR(MID(VLOOKUP($B178,Seqs!$A:$B,2,0),Q178,1),"")</f>
        <v>G</v>
      </c>
      <c r="Q178" s="3">
        <v>110</v>
      </c>
      <c r="R178" s="3" t="str">
        <f>IFERROR(MID(VLOOKUP($B178,Seqs!$A:$B,2,0),S178,1),"")</f>
        <v>L</v>
      </c>
      <c r="S178" s="3">
        <v>116</v>
      </c>
      <c r="T178" s="3" t="str">
        <f>IFERROR(MID(VLOOKUP($B178,Seqs!$A:$B,2,0),U178,1),"")</f>
        <v>T</v>
      </c>
      <c r="U178" s="3">
        <v>117</v>
      </c>
      <c r="V178" s="3" t="str">
        <f>IFERROR(MID(VLOOKUP($B178,Seqs!$A:$B,2,0),W178,1),"")</f>
        <v>R</v>
      </c>
      <c r="W178" s="3">
        <v>152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T</v>
      </c>
      <c r="AC178" s="9">
        <v>157</v>
      </c>
      <c r="AD178" s="3" t="str">
        <f>IFERROR(MID(VLOOKUP($B178,Seqs!$A:$B,2,0),AE178,1),"")</f>
        <v>G</v>
      </c>
      <c r="AE178" s="3">
        <v>185</v>
      </c>
      <c r="AF178" s="3" t="str">
        <f>IFERROR(MID(VLOOKUP($B178,Seqs!$A:$B,2,0),AG178,1),"")</f>
        <v/>
      </c>
      <c r="AG178" s="3" t="s">
        <v>23</v>
      </c>
      <c r="AH178" s="3" t="str">
        <f>IFERROR(MID(VLOOKUP($B178,Seqs!$A:$B,2,0),AI178,1),"")</f>
        <v/>
      </c>
      <c r="AI178" s="3" t="s">
        <v>23</v>
      </c>
      <c r="AJ178" s="3" t="str">
        <f>IFERROR(MID(VLOOKUP($B178,Seqs!$A:$B,2,0),AK178,1),"")</f>
        <v>S</v>
      </c>
      <c r="AK178" s="3">
        <v>203</v>
      </c>
      <c r="AL178" s="3" t="str">
        <f>IFERROR(MID(VLOOKUP($B178,Seqs!$A:$B,2,0),AM178,1),"")</f>
        <v>R</v>
      </c>
      <c r="AM178" s="3">
        <v>235</v>
      </c>
      <c r="AN178" s="3" t="str">
        <f>IFERROR(MID(VLOOKUP($B178,Seqs!$A:$B,2,0),AO178,1),"")</f>
        <v>G</v>
      </c>
      <c r="AO178" s="3">
        <v>245</v>
      </c>
      <c r="AP178" s="3" t="str">
        <f>IFERROR(MID(VLOOKUP($B178,Seqs!$A:$B,2,0),AQ178,1),"")</f>
        <v>C</v>
      </c>
      <c r="AQ178" s="3">
        <v>284</v>
      </c>
      <c r="AR178" s="3" t="str">
        <f>IFERROR(MID(VLOOKUP($B178,Seqs!$A:$B,2,0),AS178,1),"")</f>
        <v>E</v>
      </c>
      <c r="AS178" s="3">
        <v>293</v>
      </c>
      <c r="AT178" s="3" t="str">
        <f>IFERROR(MID(VLOOKUP($B178,Seqs!$A:$B,2,0),AU178,1),"")</f>
        <v>R</v>
      </c>
      <c r="AU178" s="3">
        <v>314</v>
      </c>
      <c r="AV178" s="3" t="str">
        <f>IFERROR(MID(VLOOKUP($B178,Seqs!$A:$B,2,0),AW178,1),"")</f>
        <v>D</v>
      </c>
      <c r="AW178" s="3">
        <v>315</v>
      </c>
      <c r="AX178" s="3" t="str">
        <f>IFERROR(MID(VLOOKUP($B178,Seqs!$A:$B,2,0),AY178,1),"")</f>
        <v>C</v>
      </c>
      <c r="AY178" s="3">
        <v>327</v>
      </c>
      <c r="AZ178" s="77" t="str">
        <f>VLOOKUP(B178,Classification!A:D,2,0)</f>
        <v>A</v>
      </c>
      <c r="BA178" s="94" t="str">
        <f>VLOOKUP(B178,Classification!A:D,4,0)</f>
        <v>Lysophospholipid(LPA)</v>
      </c>
      <c r="BB178" s="27" t="b">
        <f t="shared" si="670"/>
        <v>1</v>
      </c>
      <c r="BC178" s="23">
        <f t="shared" si="643"/>
        <v>244</v>
      </c>
      <c r="BD178" s="5" t="s">
        <v>23</v>
      </c>
      <c r="BE178" s="3" t="s">
        <v>1381</v>
      </c>
      <c r="BF178" s="119">
        <v>2.9</v>
      </c>
      <c r="BG178" s="49" t="s">
        <v>1384</v>
      </c>
      <c r="BH178" s="49" t="s">
        <v>1384</v>
      </c>
      <c r="BI178" s="1"/>
      <c r="BJ178" s="70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0">
        <f t="shared" si="644"/>
        <v>47</v>
      </c>
      <c r="BW178" s="71">
        <f t="shared" si="645"/>
        <v>78</v>
      </c>
      <c r="BX178" s="72">
        <f t="shared" si="646"/>
        <v>82</v>
      </c>
      <c r="BY178" s="71">
        <f t="shared" si="647"/>
        <v>110</v>
      </c>
      <c r="BZ178" s="72">
        <f t="shared" si="648"/>
        <v>117</v>
      </c>
      <c r="CA178" s="71" t="str">
        <f t="shared" si="649"/>
        <v>-</v>
      </c>
      <c r="CB178" s="72">
        <f t="shared" si="650"/>
        <v>157</v>
      </c>
      <c r="CC178" s="71" t="str">
        <f t="shared" si="651"/>
        <v>-</v>
      </c>
      <c r="CD178" s="72">
        <f t="shared" si="652"/>
        <v>203</v>
      </c>
      <c r="CE178" s="71">
        <f t="shared" si="653"/>
        <v>245</v>
      </c>
      <c r="CF178" s="72">
        <f t="shared" si="654"/>
        <v>293</v>
      </c>
      <c r="CG178" s="71">
        <f t="shared" si="655"/>
        <v>315</v>
      </c>
      <c r="CH178" s="70">
        <f t="shared" si="656"/>
        <v>77</v>
      </c>
      <c r="CI178" s="71">
        <f t="shared" si="657"/>
        <v>81</v>
      </c>
      <c r="CJ178" s="72">
        <f t="shared" si="658"/>
        <v>108</v>
      </c>
      <c r="CK178" s="72">
        <f t="shared" si="659"/>
        <v>116</v>
      </c>
      <c r="CL178" s="72">
        <f t="shared" si="660"/>
        <v>152</v>
      </c>
      <c r="CM178" s="72" t="str">
        <f t="shared" si="661"/>
        <v>-</v>
      </c>
      <c r="CN178" s="72">
        <f t="shared" si="662"/>
        <v>185</v>
      </c>
      <c r="CO178" s="72" t="str">
        <f t="shared" si="663"/>
        <v>-</v>
      </c>
      <c r="CP178" s="72">
        <f t="shared" si="664"/>
        <v>235</v>
      </c>
      <c r="CQ178" s="72">
        <f t="shared" si="665"/>
        <v>284</v>
      </c>
      <c r="CR178" s="72">
        <f t="shared" si="666"/>
        <v>314</v>
      </c>
      <c r="CS178" s="72">
        <f t="shared" si="667"/>
        <v>327</v>
      </c>
      <c r="CT178" s="23">
        <f t="shared" si="668"/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9" t="str">
        <f t="shared" ref="A179" si="671">CONCATENATE(B179,"_",C179)</f>
        <v>nk1r_human__wt</v>
      </c>
      <c r="B179" s="9" t="s">
        <v>314</v>
      </c>
      <c r="C179" s="134" t="s">
        <v>100</v>
      </c>
      <c r="D179" s="9" t="str">
        <f>IFERROR(MID(VLOOKUP($B179,Seqs!$A:$B,2,0),E179,1),"")</f>
        <v>Q</v>
      </c>
      <c r="E179" s="9">
        <v>31</v>
      </c>
      <c r="F179" s="9" t="str">
        <f>IFERROR(MID(VLOOKUP($B179,Seqs!$A:$B,2,0),G179,1),"")</f>
        <v>H</v>
      </c>
      <c r="G179" s="9">
        <v>60</v>
      </c>
      <c r="H179" s="9" t="str">
        <f>IFERROR(MID(VLOOKUP($B179,Seqs!$A:$B,2,0),I179,1),"")</f>
        <v>K</v>
      </c>
      <c r="I179" s="109">
        <v>61</v>
      </c>
      <c r="J179" s="9" t="str">
        <f>IFERROR(MID(VLOOKUP($B179,Seqs!$A:$B,2,0),K179,1),"")</f>
        <v>R</v>
      </c>
      <c r="K179" s="109">
        <v>64</v>
      </c>
      <c r="L179" s="9" t="str">
        <f>IFERROR(MID(VLOOKUP($B179,Seqs!$A:$B,2,0),M179,1),"")</f>
        <v>T</v>
      </c>
      <c r="M179" s="9">
        <v>65</v>
      </c>
      <c r="N179" s="9" t="str">
        <f>IFERROR(MID(VLOOKUP($B179,Seqs!$A:$B,2,0),O179,1),"")</f>
        <v>V</v>
      </c>
      <c r="O179" s="9">
        <v>94</v>
      </c>
      <c r="P179" s="9" t="str">
        <f>IFERROR(MID(VLOOKUP($B179,Seqs!$A:$B,2,0),Q179,1),"")</f>
        <v>E</v>
      </c>
      <c r="Q179" s="9">
        <v>97</v>
      </c>
      <c r="R179" s="9" t="str">
        <f>IFERROR(MID(VLOOKUP($B179,Seqs!$A:$B,2,0),S179,1),"")</f>
        <v>Y</v>
      </c>
      <c r="S179" s="9">
        <v>100</v>
      </c>
      <c r="T179" s="9" t="str">
        <f>IFERROR(MID(VLOOKUP($B179,Seqs!$A:$B,2,0),U179,1),"")</f>
        <v>G</v>
      </c>
      <c r="U179" s="9">
        <v>101</v>
      </c>
      <c r="V179" s="9" t="str">
        <f>IFERROR(MID(VLOOKUP($B179,Seqs!$A:$B,2,0),W179,1),"")</f>
        <v>H</v>
      </c>
      <c r="W179" s="9">
        <v>136</v>
      </c>
      <c r="X179" s="9" t="str">
        <f>IFERROR(MID(VLOOKUP($B179,Seqs!$A:$B,2,0),Y179,1),"")</f>
        <v/>
      </c>
      <c r="Y179" s="9" t="s">
        <v>23</v>
      </c>
      <c r="Z179" s="9" t="str">
        <f>IFERROR(MID(VLOOKUP($B179,Seqs!$A:$B,2,0),AA179,1),"")</f>
        <v/>
      </c>
      <c r="AA179" s="9" t="s">
        <v>23</v>
      </c>
      <c r="AB179" s="9" t="str">
        <f>IFERROR(MID(VLOOKUP($B179,Seqs!$A:$B,2,0),AC179,1),"")</f>
        <v>S</v>
      </c>
      <c r="AC179" s="9">
        <v>143</v>
      </c>
      <c r="AD179" s="9" t="str">
        <f>IFERROR(MID(VLOOKUP($B179,Seqs!$A:$B,2,0),AE179,1),"")</f>
        <v>S</v>
      </c>
      <c r="AE179" s="9">
        <v>169</v>
      </c>
      <c r="AF179" s="9" t="str">
        <f>IFERROR(MID(VLOOKUP($B179,Seqs!$A:$B,2,0),AG179,1),"")</f>
        <v>C</v>
      </c>
      <c r="AG179" s="9">
        <v>180</v>
      </c>
      <c r="AH179" s="9" t="str">
        <f>IFERROR(MID(VLOOKUP($B179,Seqs!$A:$B,2,0),AI179,1),"")</f>
        <v>I</v>
      </c>
      <c r="AI179" s="9">
        <v>182</v>
      </c>
      <c r="AJ179" s="9" t="str">
        <f>IFERROR(MID(VLOOKUP($B179,Seqs!$A:$B,2,0),AK179,1),"")</f>
        <v>P</v>
      </c>
      <c r="AK179" s="9">
        <v>188</v>
      </c>
      <c r="AL179" s="9" t="str">
        <f>IFERROR(MID(VLOOKUP($B179,Seqs!$A:$B,2,0),AM179,1),"")</f>
        <v>D</v>
      </c>
      <c r="AM179" s="9">
        <v>231</v>
      </c>
      <c r="AN179" s="9" t="str">
        <f>IFERROR(MID(VLOOKUP($B179,Seqs!$A:$B,2,0),AO179,1),"")</f>
        <v>R</v>
      </c>
      <c r="AO179" s="9">
        <v>235</v>
      </c>
      <c r="AP179" s="9" t="str">
        <f>IFERROR(MID(VLOOKUP($B179,Seqs!$A:$B,2,0),AQ179,1),"")</f>
        <v>N</v>
      </c>
      <c r="AQ179" s="9">
        <v>274</v>
      </c>
      <c r="AR179" s="9" t="str">
        <f>IFERROR(MID(VLOOKUP($B179,Seqs!$A:$B,2,0),AS179,1),"")</f>
        <v>K</v>
      </c>
      <c r="AS179" s="9">
        <v>280</v>
      </c>
      <c r="AT179" s="9" t="str">
        <f>IFERROR(MID(VLOOKUP($B179,Seqs!$A:$B,2,0),AU179,1),"")</f>
        <v>L</v>
      </c>
      <c r="AU179" s="9">
        <v>308</v>
      </c>
      <c r="AV179" s="9" t="str">
        <f>IFERROR(MID(VLOOKUP($B179,Seqs!$A:$B,2,0),AW179,1),"")</f>
        <v>N</v>
      </c>
      <c r="AW179" s="9">
        <v>309</v>
      </c>
      <c r="AX179" s="9" t="str">
        <f>IFERROR(MID(VLOOKUP($B179,Seqs!$A:$B,2,0),AY179,1),"")</f>
        <v>F</v>
      </c>
      <c r="AY179" s="9">
        <v>320</v>
      </c>
      <c r="AZ179" s="110" t="str">
        <f>VLOOKUP(B179,Classification!A:D,2,0)</f>
        <v>A</v>
      </c>
      <c r="BA179" s="98" t="str">
        <f>VLOOKUP(B179,Classification!A:D,4,0)</f>
        <v>Tachykinin</v>
      </c>
      <c r="BB179" s="36" t="b">
        <f t="shared" ref="BB179" si="672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09">
        <f t="shared" ref="BC179" si="673">_xlfn.AGGREGATE(9,6,CH179:CS179)-_xlfn.AGGREGATE(9,6,BV179:CG179)+12</f>
        <v>260</v>
      </c>
      <c r="BD179" s="13" t="s">
        <v>23</v>
      </c>
      <c r="BE179" s="9" t="s">
        <v>23</v>
      </c>
      <c r="BF179" s="120" t="s">
        <v>23</v>
      </c>
      <c r="BG179" s="51" t="s">
        <v>1384</v>
      </c>
      <c r="BH179" s="51" t="s">
        <v>1384</v>
      </c>
      <c r="BI179" s="12"/>
      <c r="BJ179" s="111" t="s">
        <v>1293</v>
      </c>
      <c r="BK179" s="112" t="s">
        <v>1293</v>
      </c>
      <c r="BL179" s="112" t="s">
        <v>1293</v>
      </c>
      <c r="BM179" s="112" t="s">
        <v>1293</v>
      </c>
      <c r="BN179" s="112" t="s">
        <v>1293</v>
      </c>
      <c r="BO179" s="112" t="s">
        <v>1293</v>
      </c>
      <c r="BP179" s="112" t="s">
        <v>1293</v>
      </c>
      <c r="BQ179" s="112" t="s">
        <v>1293</v>
      </c>
      <c r="BR179" s="112" t="s">
        <v>1293</v>
      </c>
      <c r="BS179" s="112" t="s">
        <v>1293</v>
      </c>
      <c r="BT179" s="112" t="s">
        <v>1293</v>
      </c>
      <c r="BU179" s="112" t="s">
        <v>1293</v>
      </c>
      <c r="BV179" s="111">
        <f t="shared" ref="BV179" si="674">E179</f>
        <v>31</v>
      </c>
      <c r="BW179" s="113">
        <f t="shared" ref="BW179" si="675">I179</f>
        <v>61</v>
      </c>
      <c r="BX179" s="114">
        <f t="shared" ref="BX179" si="676">M179</f>
        <v>65</v>
      </c>
      <c r="BY179" s="113">
        <f t="shared" ref="BY179" si="677">Q179</f>
        <v>97</v>
      </c>
      <c r="BZ179" s="114">
        <f t="shared" ref="BZ179" si="678">U179</f>
        <v>101</v>
      </c>
      <c r="CA179" s="113" t="str">
        <f t="shared" ref="CA179" si="679">Y179</f>
        <v>-</v>
      </c>
      <c r="CB179" s="114">
        <f t="shared" ref="CB179" si="680">AC179</f>
        <v>143</v>
      </c>
      <c r="CC179" s="113">
        <f t="shared" ref="CC179" si="681">AG179</f>
        <v>180</v>
      </c>
      <c r="CD179" s="114">
        <f t="shared" ref="CD179" si="682">AK179</f>
        <v>188</v>
      </c>
      <c r="CE179" s="113">
        <f t="shared" ref="CE179" si="683">AO179</f>
        <v>235</v>
      </c>
      <c r="CF179" s="114">
        <f t="shared" ref="CF179" si="684">AS179</f>
        <v>280</v>
      </c>
      <c r="CG179" s="113">
        <f t="shared" ref="CG179" si="685">AW179</f>
        <v>309</v>
      </c>
      <c r="CH179" s="111">
        <f t="shared" ref="CH179" si="686">G179</f>
        <v>60</v>
      </c>
      <c r="CI179" s="113">
        <f t="shared" ref="CI179" si="687">K179</f>
        <v>64</v>
      </c>
      <c r="CJ179" s="114">
        <f t="shared" ref="CJ179" si="688">O179</f>
        <v>94</v>
      </c>
      <c r="CK179" s="114">
        <f t="shared" ref="CK179" si="689">S179</f>
        <v>100</v>
      </c>
      <c r="CL179" s="114">
        <f t="shared" ref="CL179" si="690">W179</f>
        <v>136</v>
      </c>
      <c r="CM179" s="114" t="str">
        <f t="shared" ref="CM179" si="691">AA179</f>
        <v>-</v>
      </c>
      <c r="CN179" s="114">
        <f t="shared" ref="CN179" si="692">AE179</f>
        <v>169</v>
      </c>
      <c r="CO179" s="114">
        <f t="shared" ref="CO179" si="693">AI179</f>
        <v>182</v>
      </c>
      <c r="CP179" s="114">
        <f t="shared" ref="CP179" si="694">AM179</f>
        <v>231</v>
      </c>
      <c r="CQ179" s="114">
        <f t="shared" ref="CQ179" si="695">AQ179</f>
        <v>274</v>
      </c>
      <c r="CR179" s="114">
        <f t="shared" ref="CR179" si="696">AU179</f>
        <v>308</v>
      </c>
      <c r="CS179" s="114">
        <f t="shared" ref="CS179" si="697">AY179</f>
        <v>320</v>
      </c>
      <c r="CT179" s="109">
        <f t="shared" ref="CT179" si="698">M179-K179</f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9" t="str">
        <f t="shared" ref="A180" si="699">CONCATENATE(B180,"_",C180)</f>
        <v>nk1r_human_6E59</v>
      </c>
      <c r="B180" s="9" t="s">
        <v>314</v>
      </c>
      <c r="C180" s="135" t="s">
        <v>1557</v>
      </c>
      <c r="D180" s="9" t="str">
        <f>IFERROR(MID(VLOOKUP($B180,Seqs!$A:$B,2,0),E180,1),"")</f>
        <v>V</v>
      </c>
      <c r="E180" s="9">
        <v>33</v>
      </c>
      <c r="F180" s="9" t="str">
        <f>IFERROR(MID(VLOOKUP($B180,Seqs!$A:$B,2,0),G180,1),"")</f>
        <v>H</v>
      </c>
      <c r="G180" s="9">
        <v>60</v>
      </c>
      <c r="H180" s="9" t="str">
        <f>IFERROR(MID(VLOOKUP($B180,Seqs!$A:$B,2,0),I180,1),"")</f>
        <v/>
      </c>
      <c r="I180" s="109" t="s">
        <v>23</v>
      </c>
      <c r="J180" s="9" t="str">
        <f>IFERROR(MID(VLOOKUP($B180,Seqs!$A:$B,2,0),K180,1),"")</f>
        <v/>
      </c>
      <c r="K180" s="109" t="s">
        <v>23</v>
      </c>
      <c r="L180" s="9" t="str">
        <f>IFERROR(MID(VLOOKUP($B180,Seqs!$A:$B,2,0),M180,1),"")</f>
        <v>T</v>
      </c>
      <c r="M180" s="9">
        <v>65</v>
      </c>
      <c r="N180" s="9" t="str">
        <f>IFERROR(MID(VLOOKUP($B180,Seqs!$A:$B,2,0),O180,1),"")</f>
        <v>V</v>
      </c>
      <c r="O180" s="9">
        <v>94</v>
      </c>
      <c r="P180" s="9" t="str">
        <f>IFERROR(MID(VLOOKUP($B180,Seqs!$A:$B,2,0),Q180,1),"")</f>
        <v>E</v>
      </c>
      <c r="Q180" s="9">
        <v>97</v>
      </c>
      <c r="R180" s="9" t="str">
        <f>IFERROR(MID(VLOOKUP($B180,Seqs!$A:$B,2,0),S180,1),"")</f>
        <v>Y</v>
      </c>
      <c r="S180" s="9">
        <v>100</v>
      </c>
      <c r="T180" s="9" t="str">
        <f>IFERROR(MID(VLOOKUP($B180,Seqs!$A:$B,2,0),U180,1),"")</f>
        <v>F</v>
      </c>
      <c r="U180" s="9">
        <v>103</v>
      </c>
      <c r="V180" s="9" t="str">
        <f>IFERROR(MID(VLOOKUP($B180,Seqs!$A:$B,2,0),W180,1),"")</f>
        <v>H</v>
      </c>
      <c r="W180" s="9">
        <v>136</v>
      </c>
      <c r="X180" s="9" t="str">
        <f>IFERROR(MID(VLOOKUP($B180,Seqs!$A:$B,2,0),Y180,1),"")</f>
        <v/>
      </c>
      <c r="Y180" s="9" t="s">
        <v>23</v>
      </c>
      <c r="Z180" s="9" t="str">
        <f>IFERROR(MID(VLOOKUP($B180,Seqs!$A:$B,2,0),AA180,1),"")</f>
        <v/>
      </c>
      <c r="AA180" s="9" t="s">
        <v>23</v>
      </c>
      <c r="AB180" s="9" t="str">
        <f>IFERROR(MID(VLOOKUP($B180,Seqs!$A:$B,2,0),AC180,1),"")</f>
        <v>S</v>
      </c>
      <c r="AC180" s="9">
        <v>143</v>
      </c>
      <c r="AD180" s="9" t="str">
        <f>IFERROR(MID(VLOOKUP($B180,Seqs!$A:$B,2,0),AE180,1),"")</f>
        <v>S</v>
      </c>
      <c r="AE180" s="9">
        <v>169</v>
      </c>
      <c r="AF180" s="9" t="str">
        <f>IFERROR(MID(VLOOKUP($B180,Seqs!$A:$B,2,0),AG180,1),"")</f>
        <v>C</v>
      </c>
      <c r="AG180" s="9">
        <v>180</v>
      </c>
      <c r="AH180" s="9" t="str">
        <f>IFERROR(MID(VLOOKUP($B180,Seqs!$A:$B,2,0),AI180,1),"")</f>
        <v>I</v>
      </c>
      <c r="AI180" s="9">
        <v>182</v>
      </c>
      <c r="AJ180" s="9" t="str">
        <f>IFERROR(MID(VLOOKUP($B180,Seqs!$A:$B,2,0),AK180,1),"")</f>
        <v>P</v>
      </c>
      <c r="AK180" s="9">
        <v>188</v>
      </c>
      <c r="AL180" s="9" t="str">
        <f>IFERROR(MID(VLOOKUP($B180,Seqs!$A:$B,2,0),AM180,1),"")</f>
        <v>W</v>
      </c>
      <c r="AM180" s="9">
        <v>224</v>
      </c>
      <c r="AN180" s="9" t="str">
        <f>IFERROR(MID(VLOOKUP($B180,Seqs!$A:$B,2,0),AO180,1),"")</f>
        <v>E</v>
      </c>
      <c r="AO180" s="9">
        <v>238</v>
      </c>
      <c r="AP180" s="9" t="str">
        <f>IFERROR(MID(VLOOKUP($B180,Seqs!$A:$B,2,0),AQ180,1),"")</f>
        <v>L</v>
      </c>
      <c r="AQ180" s="9">
        <v>270</v>
      </c>
      <c r="AR180" s="9" t="str">
        <f>IFERROR(MID(VLOOKUP($B180,Seqs!$A:$B,2,0),AS180,1),"")</f>
        <v>I</v>
      </c>
      <c r="AS180" s="9">
        <v>283</v>
      </c>
      <c r="AT180" s="9" t="str">
        <f>IFERROR(MID(VLOOKUP($B180,Seqs!$A:$B,2,0),AU180,1),"")</f>
        <v>L</v>
      </c>
      <c r="AU180" s="9">
        <v>308</v>
      </c>
      <c r="AV180" s="9" t="str">
        <f>IFERROR(MID(VLOOKUP($B180,Seqs!$A:$B,2,0),AW180,1),"")</f>
        <v>N</v>
      </c>
      <c r="AW180" s="9">
        <v>309</v>
      </c>
      <c r="AX180" s="9" t="str">
        <f>IFERROR(MID(VLOOKUP($B180,Seqs!$A:$B,2,0),AY180,1),"")</f>
        <v>H</v>
      </c>
      <c r="AY180" s="9">
        <v>318</v>
      </c>
      <c r="AZ180" s="110" t="str">
        <f>VLOOKUP(B180,Classification!A:D,2,0)</f>
        <v>A</v>
      </c>
      <c r="BA180" s="98" t="str">
        <f>VLOOKUP(B180,Classification!A:D,4,0)</f>
        <v>Tachykinin</v>
      </c>
      <c r="BB180" s="36" t="b">
        <f t="shared" ref="BB180" si="700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109">
        <f t="shared" ref="BC180" si="701">_xlfn.AGGREGATE(9,6,CH180:CS180)-_xlfn.AGGREGATE(9,6,BV180:CG180)+12</f>
        <v>234</v>
      </c>
      <c r="BD180" s="13" t="s">
        <v>1383</v>
      </c>
      <c r="BE180" s="9" t="s">
        <v>1381</v>
      </c>
      <c r="BF180" s="120">
        <v>3.4</v>
      </c>
      <c r="BG180" s="51" t="s">
        <v>1</v>
      </c>
      <c r="BH180" s="51" t="s">
        <v>1</v>
      </c>
      <c r="BI180" s="12"/>
      <c r="BJ180" s="111" t="s">
        <v>1293</v>
      </c>
      <c r="BK180" s="112" t="s">
        <v>1293</v>
      </c>
      <c r="BL180" s="112" t="s">
        <v>1293</v>
      </c>
      <c r="BM180" s="112" t="s">
        <v>1293</v>
      </c>
      <c r="BN180" s="112" t="s">
        <v>1293</v>
      </c>
      <c r="BO180" s="112" t="s">
        <v>1293</v>
      </c>
      <c r="BP180" s="112" t="s">
        <v>1293</v>
      </c>
      <c r="BQ180" s="112" t="s">
        <v>1293</v>
      </c>
      <c r="BR180" s="112" t="s">
        <v>1293</v>
      </c>
      <c r="BS180" s="112" t="s">
        <v>1293</v>
      </c>
      <c r="BT180" s="112" t="s">
        <v>1293</v>
      </c>
      <c r="BU180" s="112" t="s">
        <v>1293</v>
      </c>
      <c r="BV180" s="111">
        <f t="shared" ref="BV180" si="702">E180</f>
        <v>33</v>
      </c>
      <c r="BW180" s="113" t="str">
        <f t="shared" ref="BW180" si="703">I180</f>
        <v>-</v>
      </c>
      <c r="BX180" s="114">
        <f t="shared" ref="BX180" si="704">M180</f>
        <v>65</v>
      </c>
      <c r="BY180" s="113">
        <f t="shared" ref="BY180" si="705">Q180</f>
        <v>97</v>
      </c>
      <c r="BZ180" s="114">
        <f t="shared" ref="BZ180" si="706">U180</f>
        <v>103</v>
      </c>
      <c r="CA180" s="113" t="str">
        <f t="shared" ref="CA180" si="707">Y180</f>
        <v>-</v>
      </c>
      <c r="CB180" s="114">
        <f t="shared" ref="CB180" si="708">AC180</f>
        <v>143</v>
      </c>
      <c r="CC180" s="113">
        <f t="shared" ref="CC180" si="709">AG180</f>
        <v>180</v>
      </c>
      <c r="CD180" s="114">
        <f t="shared" ref="CD180" si="710">AK180</f>
        <v>188</v>
      </c>
      <c r="CE180" s="113">
        <f t="shared" ref="CE180" si="711">AO180</f>
        <v>238</v>
      </c>
      <c r="CF180" s="114">
        <f t="shared" ref="CF180" si="712">AS180</f>
        <v>283</v>
      </c>
      <c r="CG180" s="113">
        <f t="shared" ref="CG180" si="713">AW180</f>
        <v>309</v>
      </c>
      <c r="CH180" s="111">
        <f t="shared" ref="CH180" si="714">G180</f>
        <v>60</v>
      </c>
      <c r="CI180" s="113" t="str">
        <f t="shared" ref="CI180" si="715">K180</f>
        <v>-</v>
      </c>
      <c r="CJ180" s="114">
        <f t="shared" ref="CJ180" si="716">O180</f>
        <v>94</v>
      </c>
      <c r="CK180" s="114">
        <f t="shared" ref="CK180" si="717">S180</f>
        <v>100</v>
      </c>
      <c r="CL180" s="114">
        <f t="shared" ref="CL180" si="718">W180</f>
        <v>136</v>
      </c>
      <c r="CM180" s="114" t="str">
        <f t="shared" ref="CM180" si="719">AA180</f>
        <v>-</v>
      </c>
      <c r="CN180" s="114">
        <f t="shared" ref="CN180" si="720">AE180</f>
        <v>169</v>
      </c>
      <c r="CO180" s="114">
        <f t="shared" ref="CO180" si="721">AI180</f>
        <v>182</v>
      </c>
      <c r="CP180" s="114">
        <f t="shared" ref="CP180" si="722">AM180</f>
        <v>224</v>
      </c>
      <c r="CQ180" s="114">
        <f t="shared" ref="CQ180" si="723">AQ180</f>
        <v>270</v>
      </c>
      <c r="CR180" s="114">
        <f t="shared" ref="CR180" si="724">AU180</f>
        <v>308</v>
      </c>
      <c r="CS180" s="114">
        <f t="shared" ref="CS180" si="725">AY180</f>
        <v>318</v>
      </c>
      <c r="CT180" s="109" t="e">
        <f t="shared" ref="CT180" si="726">M180-K180</f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s="12" customFormat="1" x14ac:dyDescent="0.2">
      <c r="A181" s="9" t="str">
        <f>CONCATENATE(B181,"_",C181)</f>
        <v>npy1r_human__wt</v>
      </c>
      <c r="B181" s="9" t="s">
        <v>325</v>
      </c>
      <c r="C181" s="9" t="s">
        <v>100</v>
      </c>
      <c r="D181" s="9" t="str">
        <f>IFERROR(MID(VLOOKUP($B181,Seqs!$A:$B,2,0),E181,1),"")</f>
        <v>P</v>
      </c>
      <c r="E181" s="9">
        <v>36</v>
      </c>
      <c r="F181" s="9" t="str">
        <f>IFERROR(MID(VLOOKUP($B181,Seqs!$A:$B,2,0),G181,1),"")</f>
        <v>Q</v>
      </c>
      <c r="G181" s="9">
        <v>68</v>
      </c>
      <c r="H181" s="9" t="str">
        <f>IFERROR(MID(VLOOKUP($B181,Seqs!$A:$B,2,0),I181,1),"")</f>
        <v>K</v>
      </c>
      <c r="I181" s="109">
        <v>69</v>
      </c>
      <c r="J181" s="9" t="str">
        <f>IFERROR(MID(VLOOKUP($B181,Seqs!$A:$B,2,0),K181,1),"")</f>
        <v>R</v>
      </c>
      <c r="K181" s="109">
        <v>72</v>
      </c>
      <c r="L181" s="9" t="str">
        <f>IFERROR(MID(VLOOKUP($B181,Seqs!$A:$B,2,0),M181,1),"")</f>
        <v>N</v>
      </c>
      <c r="M181" s="9">
        <v>73</v>
      </c>
      <c r="N181" s="9" t="str">
        <f>IFERROR(MID(VLOOKUP($B181,Seqs!$A:$B,2,0),O181,1),"")</f>
        <v>D</v>
      </c>
      <c r="O181" s="9">
        <v>104</v>
      </c>
      <c r="P181" s="9" t="str">
        <f>IFERROR(MID(VLOOKUP($B181,Seqs!$A:$B,2,0),Q181,1),"")</f>
        <v>H</v>
      </c>
      <c r="Q181" s="9">
        <v>105</v>
      </c>
      <c r="R181" s="9" t="str">
        <f>IFERROR(MID(VLOOKUP($B181,Seqs!$A:$B,2,0),S181,1),"")</f>
        <v>F</v>
      </c>
      <c r="S181" s="9">
        <v>108</v>
      </c>
      <c r="T181" s="9" t="str">
        <f>IFERROR(MID(VLOOKUP($B181,Seqs!$A:$B,2,0),U181,1),"")</f>
        <v>G</v>
      </c>
      <c r="U181" s="9">
        <v>109</v>
      </c>
      <c r="V181" s="9" t="str">
        <f>IFERROR(MID(VLOOKUP($B181,Seqs!$A:$B,2,0),W181,1),"")</f>
        <v>N</v>
      </c>
      <c r="W181" s="9">
        <v>144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N</v>
      </c>
      <c r="AC181" s="9">
        <v>151</v>
      </c>
      <c r="AD181" s="9" t="str">
        <f>IFERROR(MID(VLOOKUP($B181,Seqs!$A:$B,2,0),AE181,1),"")</f>
        <v>Q</v>
      </c>
      <c r="AE181" s="9">
        <v>177</v>
      </c>
      <c r="AF181" s="9" t="str">
        <f>IFERROR(MID(VLOOKUP($B181,Seqs!$A:$B,2,0),AG181,1),"")</f>
        <v>C</v>
      </c>
      <c r="AG181" s="9">
        <v>198</v>
      </c>
      <c r="AH181" s="9" t="str">
        <f>IFERROR(MID(VLOOKUP($B181,Seqs!$A:$B,2,0),AI181,1),"")</f>
        <v>D</v>
      </c>
      <c r="AI181" s="9">
        <v>200</v>
      </c>
      <c r="AJ181" s="9" t="str">
        <f>IFERROR(MID(VLOOKUP($B181,Seqs!$A:$B,2,0),AK181,1),"")</f>
        <v>S</v>
      </c>
      <c r="AK181" s="9">
        <v>204</v>
      </c>
      <c r="AL181" s="9" t="str">
        <f>IFERROR(MID(VLOOKUP($B181,Seqs!$A:$B,2,0),AM181,1),"")</f>
        <v>M</v>
      </c>
      <c r="AM181" s="9">
        <v>245</v>
      </c>
      <c r="AN181" s="9" t="str">
        <f>IFERROR(MID(VLOOKUP($B181,Seqs!$A:$B,2,0),AO181,1),"")</f>
        <v>D</v>
      </c>
      <c r="AO181" s="9">
        <v>250</v>
      </c>
      <c r="AP181" s="9" t="str">
        <f>IFERROR(MID(VLOOKUP($B181,Seqs!$A:$B,2,0),AQ181,1),"")</f>
        <v>N</v>
      </c>
      <c r="AQ181" s="9">
        <v>289</v>
      </c>
      <c r="AR181" s="9" t="str">
        <f>IFERROR(MID(VLOOKUP($B181,Seqs!$A:$B,2,0),AS181,1),"")</f>
        <v>T</v>
      </c>
      <c r="AS181" s="9">
        <v>295</v>
      </c>
      <c r="AT181" s="9" t="str">
        <f>IFERROR(MID(VLOOKUP($B181,Seqs!$A:$B,2,0),AU181,1),"")</f>
        <v>L</v>
      </c>
      <c r="AU181" s="9">
        <v>323</v>
      </c>
      <c r="AV181" s="9" t="str">
        <f>IFERROR(MID(VLOOKUP($B181,Seqs!$A:$B,2,0),AW181,1),"")</f>
        <v>N</v>
      </c>
      <c r="AW181" s="9">
        <v>324</v>
      </c>
      <c r="AX181" s="9" t="str">
        <f>IFERROR(MID(VLOOKUP($B181,Seqs!$A:$B,2,0),AY181,1),"")</f>
        <v>F</v>
      </c>
      <c r="AY181" s="9">
        <v>335</v>
      </c>
      <c r="AZ181" s="110" t="str">
        <f>VLOOKUP(B181,Classification!A:D,2,0)</f>
        <v>A</v>
      </c>
      <c r="BA181" s="98" t="str">
        <f>VLOOKUP(B181,Classification!A:D,4,0)</f>
        <v>NeuropeptideY</v>
      </c>
      <c r="BB181" s="36" t="b">
        <f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09">
        <f>_xlfn.AGGREGATE(9,6,CH181:CS181)-_xlfn.AGGREGATE(9,6,BV181:CG181)+12</f>
        <v>263</v>
      </c>
      <c r="BD181" s="13" t="s">
        <v>23</v>
      </c>
      <c r="BE181" s="9" t="s">
        <v>1381</v>
      </c>
      <c r="BF181" s="120" t="s">
        <v>23</v>
      </c>
      <c r="BG181" s="51" t="s">
        <v>1384</v>
      </c>
      <c r="BH181" s="51" t="s">
        <v>1384</v>
      </c>
      <c r="BJ181" s="111" t="s">
        <v>1293</v>
      </c>
      <c r="BK181" s="112" t="s">
        <v>1293</v>
      </c>
      <c r="BL181" s="112" t="s">
        <v>1293</v>
      </c>
      <c r="BM181" s="112" t="s">
        <v>1293</v>
      </c>
      <c r="BN181" s="112" t="s">
        <v>1293</v>
      </c>
      <c r="BO181" s="112" t="s">
        <v>1293</v>
      </c>
      <c r="BP181" s="112" t="s">
        <v>1293</v>
      </c>
      <c r="BQ181" s="112" t="s">
        <v>1293</v>
      </c>
      <c r="BR181" s="112" t="s">
        <v>1293</v>
      </c>
      <c r="BS181" s="112" t="s">
        <v>1293</v>
      </c>
      <c r="BT181" s="112" t="s">
        <v>1293</v>
      </c>
      <c r="BU181" s="112" t="s">
        <v>1293</v>
      </c>
      <c r="BV181" s="111">
        <f>E181</f>
        <v>36</v>
      </c>
      <c r="BW181" s="113">
        <f>I181</f>
        <v>69</v>
      </c>
      <c r="BX181" s="114">
        <f>M181</f>
        <v>73</v>
      </c>
      <c r="BY181" s="113">
        <f>Q181</f>
        <v>105</v>
      </c>
      <c r="BZ181" s="114">
        <f>U181</f>
        <v>109</v>
      </c>
      <c r="CA181" s="113" t="str">
        <f>Y181</f>
        <v>-</v>
      </c>
      <c r="CB181" s="114">
        <f>AC181</f>
        <v>151</v>
      </c>
      <c r="CC181" s="113">
        <f>AG181</f>
        <v>198</v>
      </c>
      <c r="CD181" s="114">
        <f>AK181</f>
        <v>204</v>
      </c>
      <c r="CE181" s="113">
        <f>AO181</f>
        <v>250</v>
      </c>
      <c r="CF181" s="114">
        <f>AS181</f>
        <v>295</v>
      </c>
      <c r="CG181" s="113">
        <f>AW181</f>
        <v>324</v>
      </c>
      <c r="CH181" s="111">
        <f>G181</f>
        <v>68</v>
      </c>
      <c r="CI181" s="113">
        <f>K181</f>
        <v>72</v>
      </c>
      <c r="CJ181" s="114">
        <f>O181</f>
        <v>104</v>
      </c>
      <c r="CK181" s="114">
        <f>S181</f>
        <v>108</v>
      </c>
      <c r="CL181" s="114">
        <f>W181</f>
        <v>144</v>
      </c>
      <c r="CM181" s="114" t="str">
        <f>AA181</f>
        <v>-</v>
      </c>
      <c r="CN181" s="114">
        <f>AE181</f>
        <v>177</v>
      </c>
      <c r="CO181" s="114">
        <f>AI181</f>
        <v>200</v>
      </c>
      <c r="CP181" s="114">
        <f>AM181</f>
        <v>245</v>
      </c>
      <c r="CQ181" s="114">
        <f>AQ181</f>
        <v>289</v>
      </c>
      <c r="CR181" s="114">
        <f>AU181</f>
        <v>323</v>
      </c>
      <c r="CS181" s="114">
        <f>AY181</f>
        <v>335</v>
      </c>
      <c r="CT181" s="109">
        <f>M181-K181</f>
        <v>1</v>
      </c>
    </row>
    <row r="182" spans="1:1030" s="12" customFormat="1" x14ac:dyDescent="0.2">
      <c r="A182" s="9" t="str">
        <f>CONCATENATE(B182,"_",C182)</f>
        <v>npy1r_human_5ZBH</v>
      </c>
      <c r="B182" s="9" t="s">
        <v>325</v>
      </c>
      <c r="C182" s="9" t="s">
        <v>1504</v>
      </c>
      <c r="D182" s="9" t="str">
        <f>IFERROR(MID(VLOOKUP($B182,Seqs!$A:$B,2,0),E182,1),"")</f>
        <v>P</v>
      </c>
      <c r="E182" s="9">
        <v>36</v>
      </c>
      <c r="F182" s="9" t="str">
        <f>IFERROR(MID(VLOOKUP($B182,Seqs!$A:$B,2,0),G182,1),"")</f>
        <v>Q</v>
      </c>
      <c r="G182" s="9">
        <v>68</v>
      </c>
      <c r="H182" s="9" t="str">
        <f>IFERROR(MID(VLOOKUP($B182,Seqs!$A:$B,2,0),I182,1),"")</f>
        <v>K</v>
      </c>
      <c r="I182" s="109">
        <v>69</v>
      </c>
      <c r="J182" s="9" t="str">
        <f>IFERROR(MID(VLOOKUP($B182,Seqs!$A:$B,2,0),K182,1),"")</f>
        <v>R</v>
      </c>
      <c r="K182" s="109">
        <v>72</v>
      </c>
      <c r="L182" s="9" t="str">
        <f>IFERROR(MID(VLOOKUP($B182,Seqs!$A:$B,2,0),M182,1),"")</f>
        <v>N</v>
      </c>
      <c r="M182" s="9">
        <v>73</v>
      </c>
      <c r="N182" s="9" t="str">
        <f>IFERROR(MID(VLOOKUP($B182,Seqs!$A:$B,2,0),O182,1),"")</f>
        <v>M</v>
      </c>
      <c r="O182" s="9">
        <v>103</v>
      </c>
      <c r="P182" s="9" t="str">
        <f>IFERROR(MID(VLOOKUP($B182,Seqs!$A:$B,2,0),Q182,1),"")</f>
        <v>H</v>
      </c>
      <c r="Q182" s="9">
        <v>105</v>
      </c>
      <c r="R182" s="9" t="str">
        <f>IFERROR(MID(VLOOKUP($B182,Seqs!$A:$B,2,0),S182,1),"")</f>
        <v>F</v>
      </c>
      <c r="S182" s="9">
        <v>108</v>
      </c>
      <c r="T182" s="9" t="str">
        <f>IFERROR(MID(VLOOKUP($B182,Seqs!$A:$B,2,0),U182,1),"")</f>
        <v>G</v>
      </c>
      <c r="U182" s="9">
        <v>109</v>
      </c>
      <c r="V182" s="9" t="str">
        <f>IFERROR(MID(VLOOKUP($B182,Seqs!$A:$B,2,0),W182,1),"")</f>
        <v>N</v>
      </c>
      <c r="W182" s="9">
        <v>144</v>
      </c>
      <c r="X182" s="9" t="str">
        <f>IFERROR(MID(VLOOKUP($B182,Seqs!$A:$B,2,0),Y182,1),"")</f>
        <v/>
      </c>
      <c r="Y182" s="9" t="s">
        <v>23</v>
      </c>
      <c r="Z182" s="9" t="str">
        <f>IFERROR(MID(VLOOKUP($B182,Seqs!$A:$B,2,0),AA182,1),"")</f>
        <v/>
      </c>
      <c r="AA182" s="9" t="s">
        <v>23</v>
      </c>
      <c r="AB182" s="9" t="str">
        <f>IFERROR(MID(VLOOKUP($B182,Seqs!$A:$B,2,0),AC182,1),"")</f>
        <v>N</v>
      </c>
      <c r="AC182" s="9">
        <v>151</v>
      </c>
      <c r="AD182" s="9" t="str">
        <f>IFERROR(MID(VLOOKUP($B182,Seqs!$A:$B,2,0),AE182,1),"")</f>
        <v>Y</v>
      </c>
      <c r="AE182" s="9">
        <v>176</v>
      </c>
      <c r="AF182" s="9" t="str">
        <f>IFERROR(MID(VLOOKUP($B182,Seqs!$A:$B,2,0),AG182,1),"")</f>
        <v>C</v>
      </c>
      <c r="AG182" s="9">
        <v>198</v>
      </c>
      <c r="AH182" s="9" t="str">
        <f>IFERROR(MID(VLOOKUP($B182,Seqs!$A:$B,2,0),AI182,1),"")</f>
        <v>D</v>
      </c>
      <c r="AI182" s="9">
        <v>200</v>
      </c>
      <c r="AJ182" s="9" t="str">
        <f>IFERROR(MID(VLOOKUP($B182,Seqs!$A:$B,2,0),AK182,1),"")</f>
        <v>S</v>
      </c>
      <c r="AK182" s="9">
        <v>204</v>
      </c>
      <c r="AL182" s="9" t="str">
        <f>IFERROR(MID(VLOOKUP($B182,Seqs!$A:$B,2,0),AM182,1),"")</f>
        <v>R</v>
      </c>
      <c r="AM182" s="9">
        <v>241</v>
      </c>
      <c r="AN182" s="9" t="str">
        <f>IFERROR(MID(VLOOKUP($B182,Seqs!$A:$B,2,0),AO182,1),"")</f>
        <v>Y</v>
      </c>
      <c r="AO182" s="9">
        <v>253</v>
      </c>
      <c r="AP182" s="9" t="str">
        <f>IFERROR(MID(VLOOKUP($B182,Seqs!$A:$B,2,0),AQ182,1),"")</f>
        <v>N</v>
      </c>
      <c r="AQ182" s="9">
        <v>289</v>
      </c>
      <c r="AR182" s="9" t="str">
        <f>IFERROR(MID(VLOOKUP($B182,Seqs!$A:$B,2,0),AS182,1),"")</f>
        <v>T</v>
      </c>
      <c r="AS182" s="9">
        <v>295</v>
      </c>
      <c r="AT182" s="9" t="str">
        <f>IFERROR(MID(VLOOKUP($B182,Seqs!$A:$B,2,0),AU182,1),"")</f>
        <v>L</v>
      </c>
      <c r="AU182" s="9">
        <v>323</v>
      </c>
      <c r="AV182" s="9" t="str">
        <f>IFERROR(MID(VLOOKUP($B182,Seqs!$A:$B,2,0),AW182,1),"")</f>
        <v>N</v>
      </c>
      <c r="AW182" s="9">
        <v>324</v>
      </c>
      <c r="AX182" s="9" t="str">
        <f>IFERROR(MID(VLOOKUP($B182,Seqs!$A:$B,2,0),AY182,1),"")</f>
        <v>F</v>
      </c>
      <c r="AY182" s="9">
        <v>335</v>
      </c>
      <c r="AZ182" s="110" t="str">
        <f>VLOOKUP(B182,Classification!A:D,2,0)</f>
        <v>A</v>
      </c>
      <c r="BA182" s="98" t="str">
        <f>VLOOKUP(B182,Classification!A:D,4,0)</f>
        <v>NeuropeptideY</v>
      </c>
      <c r="BB182" s="36" t="b">
        <f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109">
        <f>_xlfn.AGGREGATE(9,6,CH182:CS182)-_xlfn.AGGREGATE(9,6,BV182:CG182)+12</f>
        <v>254</v>
      </c>
      <c r="BD182" s="13" t="s">
        <v>1383</v>
      </c>
      <c r="BE182" s="9" t="s">
        <v>1381</v>
      </c>
      <c r="BF182" s="120">
        <v>3</v>
      </c>
      <c r="BG182" s="51" t="s">
        <v>1</v>
      </c>
      <c r="BH182" s="51" t="s">
        <v>1</v>
      </c>
      <c r="BJ182" s="111" t="s">
        <v>1293</v>
      </c>
      <c r="BK182" s="112" t="s">
        <v>1293</v>
      </c>
      <c r="BL182" s="112" t="s">
        <v>1293</v>
      </c>
      <c r="BM182" s="112" t="s">
        <v>1293</v>
      </c>
      <c r="BN182" s="112" t="s">
        <v>1293</v>
      </c>
      <c r="BO182" s="112" t="s">
        <v>1293</v>
      </c>
      <c r="BP182" s="112" t="s">
        <v>1293</v>
      </c>
      <c r="BQ182" s="112" t="s">
        <v>1293</v>
      </c>
      <c r="BR182" s="112" t="s">
        <v>1293</v>
      </c>
      <c r="BS182" s="112" t="s">
        <v>1293</v>
      </c>
      <c r="BT182" s="112" t="s">
        <v>1293</v>
      </c>
      <c r="BU182" s="112" t="s">
        <v>1293</v>
      </c>
      <c r="BV182" s="111">
        <f>E182</f>
        <v>36</v>
      </c>
      <c r="BW182" s="113">
        <f>I182</f>
        <v>69</v>
      </c>
      <c r="BX182" s="114">
        <f>M182</f>
        <v>73</v>
      </c>
      <c r="BY182" s="113">
        <f>Q182</f>
        <v>105</v>
      </c>
      <c r="BZ182" s="114">
        <f>U182</f>
        <v>109</v>
      </c>
      <c r="CA182" s="113" t="str">
        <f>Y182</f>
        <v>-</v>
      </c>
      <c r="CB182" s="114">
        <f>AC182</f>
        <v>151</v>
      </c>
      <c r="CC182" s="113">
        <f>AG182</f>
        <v>198</v>
      </c>
      <c r="CD182" s="114">
        <f>AK182</f>
        <v>204</v>
      </c>
      <c r="CE182" s="113">
        <f>AO182</f>
        <v>253</v>
      </c>
      <c r="CF182" s="114">
        <f>AS182</f>
        <v>295</v>
      </c>
      <c r="CG182" s="113">
        <f>AW182</f>
        <v>324</v>
      </c>
      <c r="CH182" s="111">
        <f>G182</f>
        <v>68</v>
      </c>
      <c r="CI182" s="113">
        <f>K182</f>
        <v>72</v>
      </c>
      <c r="CJ182" s="114">
        <f>O182</f>
        <v>103</v>
      </c>
      <c r="CK182" s="114">
        <f>S182</f>
        <v>108</v>
      </c>
      <c r="CL182" s="114">
        <f>W182</f>
        <v>144</v>
      </c>
      <c r="CM182" s="114" t="str">
        <f>AA182</f>
        <v>-</v>
      </c>
      <c r="CN182" s="114">
        <f>AE182</f>
        <v>176</v>
      </c>
      <c r="CO182" s="114">
        <f>AI182</f>
        <v>200</v>
      </c>
      <c r="CP182" s="114">
        <f>AM182</f>
        <v>241</v>
      </c>
      <c r="CQ182" s="114">
        <f>AQ182</f>
        <v>289</v>
      </c>
      <c r="CR182" s="114">
        <f>AU182</f>
        <v>323</v>
      </c>
      <c r="CS182" s="114">
        <f>AY182</f>
        <v>335</v>
      </c>
      <c r="CT182" s="109">
        <f>M182-K182</f>
        <v>1</v>
      </c>
    </row>
    <row r="183" spans="1:1030" s="12" customFormat="1" x14ac:dyDescent="0.2">
      <c r="A183" s="9" t="str">
        <f>CONCATENATE(B183,"_",C183)</f>
        <v>npy1r_human_5ZBQ</v>
      </c>
      <c r="B183" s="9" t="s">
        <v>325</v>
      </c>
      <c r="C183" s="9" t="s">
        <v>1503</v>
      </c>
      <c r="D183" s="9" t="str">
        <f>IFERROR(MID(VLOOKUP($B183,Seqs!$A:$B,2,0),E183,1),"")</f>
        <v>P</v>
      </c>
      <c r="E183" s="9">
        <v>36</v>
      </c>
      <c r="F183" s="9" t="str">
        <f>IFERROR(MID(VLOOKUP($B183,Seqs!$A:$B,2,0),G183,1),"")</f>
        <v>Q</v>
      </c>
      <c r="G183" s="9">
        <v>68</v>
      </c>
      <c r="H183" s="9" t="str">
        <f>IFERROR(MID(VLOOKUP($B183,Seqs!$A:$B,2,0),I183,1),"")</f>
        <v/>
      </c>
      <c r="I183" s="109" t="s">
        <v>23</v>
      </c>
      <c r="J183" s="9" t="str">
        <f>IFERROR(MID(VLOOKUP($B183,Seqs!$A:$B,2,0),K183,1),"")</f>
        <v/>
      </c>
      <c r="K183" s="109" t="s">
        <v>23</v>
      </c>
      <c r="L183" s="9" t="str">
        <f>IFERROR(MID(VLOOKUP($B183,Seqs!$A:$B,2,0),M183,1),"")</f>
        <v>V</v>
      </c>
      <c r="M183" s="9">
        <v>74</v>
      </c>
      <c r="N183" s="9" t="str">
        <f>IFERROR(MID(VLOOKUP($B183,Seqs!$A:$B,2,0),O183,1),"")</f>
        <v>D</v>
      </c>
      <c r="O183" s="9">
        <v>104</v>
      </c>
      <c r="P183" s="9" t="str">
        <f>IFERROR(MID(VLOOKUP($B183,Seqs!$A:$B,2,0),Q183,1),"")</f>
        <v>W</v>
      </c>
      <c r="Q183" s="9">
        <v>106</v>
      </c>
      <c r="R183" s="9" t="str">
        <f>IFERROR(MID(VLOOKUP($B183,Seqs!$A:$B,2,0),S183,1),"")</f>
        <v>F</v>
      </c>
      <c r="S183" s="9">
        <v>108</v>
      </c>
      <c r="T183" s="9" t="str">
        <f>IFERROR(MID(VLOOKUP($B183,Seqs!$A:$B,2,0),U183,1),"")</f>
        <v>G</v>
      </c>
      <c r="U183" s="9">
        <v>109</v>
      </c>
      <c r="V183" s="9" t="str">
        <f>IFERROR(MID(VLOOKUP($B183,Seqs!$A:$B,2,0),W183,1),"")</f>
        <v>I</v>
      </c>
      <c r="W183" s="9">
        <v>143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N</v>
      </c>
      <c r="AC183" s="9">
        <v>151</v>
      </c>
      <c r="AD183" s="9" t="str">
        <f>IFERROR(MID(VLOOKUP($B183,Seqs!$A:$B,2,0),AE183,1),"")</f>
        <v>Q</v>
      </c>
      <c r="AE183" s="9">
        <v>177</v>
      </c>
      <c r="AF183" s="9" t="str">
        <f>IFERROR(MID(VLOOKUP($B183,Seqs!$A:$B,2,0),AG183,1),"")</f>
        <v>C</v>
      </c>
      <c r="AG183" s="9">
        <v>198</v>
      </c>
      <c r="AH183" s="9" t="str">
        <f>IFERROR(MID(VLOOKUP($B183,Seqs!$A:$B,2,0),AI183,1),"")</f>
        <v>D</v>
      </c>
      <c r="AI183" s="9">
        <v>200</v>
      </c>
      <c r="AJ183" s="9" t="str">
        <f>IFERROR(MID(VLOOKUP($B183,Seqs!$A:$B,2,0),AK183,1),"")</f>
        <v>S</v>
      </c>
      <c r="AK183" s="9">
        <v>204</v>
      </c>
      <c r="AL183" s="9" t="str">
        <f>IFERROR(MID(VLOOKUP($B183,Seqs!$A:$B,2,0),AM183,1),"")</f>
        <v>R</v>
      </c>
      <c r="AM183" s="9">
        <v>241</v>
      </c>
      <c r="AN183" s="9" t="str">
        <f>IFERROR(MID(VLOOKUP($B183,Seqs!$A:$B,2,0),AO183,1),"")</f>
        <v>T</v>
      </c>
      <c r="AO183" s="9">
        <v>258</v>
      </c>
      <c r="AP183" s="9" t="str">
        <f>IFERROR(MID(VLOOKUP($B183,Seqs!$A:$B,2,0),AQ183,1),"")</f>
        <v>N</v>
      </c>
      <c r="AQ183" s="9">
        <v>289</v>
      </c>
      <c r="AR183" s="9" t="str">
        <f>IFERROR(MID(VLOOKUP($B183,Seqs!$A:$B,2,0),AS183,1),"")</f>
        <v>T</v>
      </c>
      <c r="AS183" s="9">
        <v>295</v>
      </c>
      <c r="AT183" s="9" t="str">
        <f>IFERROR(MID(VLOOKUP($B183,Seqs!$A:$B,2,0),AU183,1),"")</f>
        <v>L</v>
      </c>
      <c r="AU183" s="9">
        <v>323</v>
      </c>
      <c r="AV183" s="9" t="str">
        <f>IFERROR(MID(VLOOKUP($B183,Seqs!$A:$B,2,0),AW183,1),"")</f>
        <v>N</v>
      </c>
      <c r="AW183" s="9">
        <v>324</v>
      </c>
      <c r="AX183" s="9" t="str">
        <f>IFERROR(MID(VLOOKUP($B183,Seqs!$A:$B,2,0),AY183,1),"")</f>
        <v>F</v>
      </c>
      <c r="AY183" s="9">
        <v>335</v>
      </c>
      <c r="AZ183" s="110" t="str">
        <f>VLOOKUP(B183,Classification!A:D,2,0)</f>
        <v>A</v>
      </c>
      <c r="BA183" s="98" t="str">
        <f>VLOOKUP(B183,Classification!A:D,4,0)</f>
        <v>NeuropeptideY</v>
      </c>
      <c r="BB183" s="36" t="b">
        <f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09">
        <f>_xlfn.AGGREGATE(9,6,CH183:CS183)-_xlfn.AGGREGATE(9,6,BV183:CG183)+12</f>
        <v>245</v>
      </c>
      <c r="BD183" s="13" t="s">
        <v>23</v>
      </c>
      <c r="BE183" s="9" t="s">
        <v>1381</v>
      </c>
      <c r="BF183" s="120">
        <v>2.7</v>
      </c>
      <c r="BG183" s="51" t="s">
        <v>1</v>
      </c>
      <c r="BH183" s="51" t="s">
        <v>1</v>
      </c>
      <c r="BJ183" s="111" t="s">
        <v>1293</v>
      </c>
      <c r="BK183" s="112" t="s">
        <v>1293</v>
      </c>
      <c r="BL183" s="112" t="s">
        <v>1293</v>
      </c>
      <c r="BM183" s="112" t="s">
        <v>1293</v>
      </c>
      <c r="BN183" s="112" t="s">
        <v>1293</v>
      </c>
      <c r="BO183" s="112" t="s">
        <v>1293</v>
      </c>
      <c r="BP183" s="112" t="s">
        <v>1293</v>
      </c>
      <c r="BQ183" s="112" t="s">
        <v>1293</v>
      </c>
      <c r="BR183" s="112" t="s">
        <v>1293</v>
      </c>
      <c r="BS183" s="112" t="s">
        <v>1293</v>
      </c>
      <c r="BT183" s="112" t="s">
        <v>1293</v>
      </c>
      <c r="BU183" s="112" t="s">
        <v>1293</v>
      </c>
      <c r="BV183" s="111">
        <f>E183</f>
        <v>36</v>
      </c>
      <c r="BW183" s="113" t="str">
        <f>I183</f>
        <v>-</v>
      </c>
      <c r="BX183" s="114">
        <f>M183</f>
        <v>74</v>
      </c>
      <c r="BY183" s="113">
        <f>Q183</f>
        <v>106</v>
      </c>
      <c r="BZ183" s="114">
        <f>U183</f>
        <v>109</v>
      </c>
      <c r="CA183" s="113" t="str">
        <f>Y183</f>
        <v>-</v>
      </c>
      <c r="CB183" s="114">
        <f>AC183</f>
        <v>151</v>
      </c>
      <c r="CC183" s="113">
        <f>AG183</f>
        <v>198</v>
      </c>
      <c r="CD183" s="114">
        <f>AK183</f>
        <v>204</v>
      </c>
      <c r="CE183" s="113">
        <f>AO183</f>
        <v>258</v>
      </c>
      <c r="CF183" s="114">
        <f>AS183</f>
        <v>295</v>
      </c>
      <c r="CG183" s="113">
        <f>AW183</f>
        <v>324</v>
      </c>
      <c r="CH183" s="111">
        <f>G183</f>
        <v>68</v>
      </c>
      <c r="CI183" s="113" t="str">
        <f>K183</f>
        <v>-</v>
      </c>
      <c r="CJ183" s="114">
        <f>O183</f>
        <v>104</v>
      </c>
      <c r="CK183" s="114">
        <f>S183</f>
        <v>108</v>
      </c>
      <c r="CL183" s="114">
        <f>W183</f>
        <v>143</v>
      </c>
      <c r="CM183" s="114" t="str">
        <f>AA183</f>
        <v>-</v>
      </c>
      <c r="CN183" s="114">
        <f>AE183</f>
        <v>177</v>
      </c>
      <c r="CO183" s="114">
        <f>AI183</f>
        <v>200</v>
      </c>
      <c r="CP183" s="114">
        <f>AM183</f>
        <v>241</v>
      </c>
      <c r="CQ183" s="114">
        <f>AQ183</f>
        <v>289</v>
      </c>
      <c r="CR183" s="114">
        <f>AU183</f>
        <v>323</v>
      </c>
      <c r="CS183" s="114">
        <f>AY183</f>
        <v>335</v>
      </c>
      <c r="CT183" s="109" t="e">
        <f>M183-K183</f>
        <v>#VALUE!</v>
      </c>
    </row>
    <row r="184" spans="1:1030" x14ac:dyDescent="0.2">
      <c r="A184" s="3" t="str">
        <f t="shared" si="669"/>
        <v>ntr1_rat__wt</v>
      </c>
      <c r="B184" s="3" t="s">
        <v>914</v>
      </c>
      <c r="C184" s="3" t="s">
        <v>100</v>
      </c>
      <c r="D184" s="3" t="str">
        <f>IFERROR(MID(VLOOKUP($B184,Seqs!$A:$B,2,0),E184,1),"")</f>
        <v>I</v>
      </c>
      <c r="E184" s="3">
        <v>61</v>
      </c>
      <c r="F184" s="3" t="str">
        <f>IFERROR(MID(VLOOKUP($B184,Seqs!$A:$B,2,0),G184,1),"")</f>
        <v>K</v>
      </c>
      <c r="G184" s="3">
        <v>92</v>
      </c>
      <c r="H184" s="3" t="str">
        <f>IFERROR(MID(VLOOKUP($B184,Seqs!$A:$B,2,0),I184,1),"")</f>
        <v>K</v>
      </c>
      <c r="I184" s="23">
        <v>93</v>
      </c>
      <c r="J184" s="3" t="str">
        <f>IFERROR(MID(VLOOKUP($B184,Seqs!$A:$B,2,0),K184,1),"")</f>
        <v>Q</v>
      </c>
      <c r="K184" s="23">
        <v>96</v>
      </c>
      <c r="L184" s="3" t="str">
        <f>IFERROR(MID(VLOOKUP($B184,Seqs!$A:$B,2,0),M184,1),"")</f>
        <v>S</v>
      </c>
      <c r="M184" s="3">
        <v>97</v>
      </c>
      <c r="N184" s="3" t="str">
        <f>IFERROR(MID(VLOOKUP($B184,Seqs!$A:$B,2,0),O184,1),"")</f>
        <v>V</v>
      </c>
      <c r="O184" s="3">
        <v>131</v>
      </c>
      <c r="P184" s="3" t="str">
        <f>IFERROR(MID(VLOOKUP($B184,Seqs!$A:$B,2,0),Q184,1),"")</f>
        <v>P</v>
      </c>
      <c r="Q184" s="3">
        <v>134</v>
      </c>
      <c r="R184" s="3" t="str">
        <f>IFERROR(MID(VLOOKUP($B184,Seqs!$A:$B,2,0),S184,1),"")</f>
        <v>F</v>
      </c>
      <c r="S184" s="3">
        <v>137</v>
      </c>
      <c r="T184" s="3" t="str">
        <f>IFERROR(MID(VLOOKUP($B184,Seqs!$A:$B,2,0),U184,1),"")</f>
        <v>G</v>
      </c>
      <c r="U184" s="3">
        <v>138</v>
      </c>
      <c r="V184" s="3" t="str">
        <f>IFERROR(MID(VLOOKUP($B184,Seqs!$A:$B,2,0),W184,1),"")</f>
        <v>H</v>
      </c>
      <c r="W184" s="3">
        <v>173</v>
      </c>
      <c r="X184" s="3" t="str">
        <f>IFERROR(MID(VLOOKUP($B184,Seqs!$A:$B,2,0),Y184,1),"")</f>
        <v>P</v>
      </c>
      <c r="Y184" s="3">
        <v>174</v>
      </c>
      <c r="Z184" s="3" t="str">
        <f>IFERROR(MID(VLOOKUP($B184,Seqs!$A:$B,2,0),AA184,1),"")</f>
        <v>M</v>
      </c>
      <c r="AA184" s="3">
        <v>181</v>
      </c>
      <c r="AB184" s="3" t="str">
        <f>IFERROR(MID(VLOOKUP($B184,Seqs!$A:$B,2,0),AC184,1),"")</f>
        <v>S</v>
      </c>
      <c r="AC184" s="9">
        <v>182</v>
      </c>
      <c r="AD184" s="3" t="str">
        <f>IFERROR(MID(VLOOKUP($B184,Seqs!$A:$B,2,0),AE184,1),"")</f>
        <v>M</v>
      </c>
      <c r="AE184" s="3">
        <v>208</v>
      </c>
      <c r="AF184" s="3" t="str">
        <f>IFERROR(MID(VLOOKUP($B184,Seqs!$A:$B,2,0),AG184,1),"")</f>
        <v>C</v>
      </c>
      <c r="AG184" s="3">
        <v>225</v>
      </c>
      <c r="AH184" s="3" t="str">
        <f>IFERROR(MID(VLOOKUP($B184,Seqs!$A:$B,2,0),AI184,1),"")</f>
        <v>P</v>
      </c>
      <c r="AI184" s="3">
        <v>227</v>
      </c>
      <c r="AJ184" s="3" t="str">
        <f>IFERROR(MID(VLOOKUP($B184,Seqs!$A:$B,2,0),AK184,1),"")</f>
        <v>T</v>
      </c>
      <c r="AK184" s="3">
        <v>231</v>
      </c>
      <c r="AL184" s="3" t="str">
        <f>IFERROR(MID(VLOOKUP($B184,Seqs!$A:$B,2,0),AM184,1),"")</f>
        <v>G</v>
      </c>
      <c r="AM184" s="3">
        <v>275</v>
      </c>
      <c r="AN184" s="3" t="str">
        <f>IFERROR(MID(VLOOKUP($B184,Seqs!$A:$B,2,0),AO184,1),"")</f>
        <v>P</v>
      </c>
      <c r="AO184" s="3">
        <v>297</v>
      </c>
      <c r="AP184" s="3" t="str">
        <f>IFERROR(MID(VLOOKUP($B184,Seqs!$A:$B,2,0),AQ184,1),"")</f>
        <v>I</v>
      </c>
      <c r="AQ184" s="3">
        <v>334</v>
      </c>
      <c r="AR184" s="3" t="str">
        <f>IFERROR(MID(VLOOKUP($B184,Seqs!$A:$B,2,0),AS184,1),"")</f>
        <v>T</v>
      </c>
      <c r="AS184" s="3">
        <v>340</v>
      </c>
      <c r="AT184" s="3" t="str">
        <f>IFERROR(MID(VLOOKUP($B184,Seqs!$A:$B,2,0),AU184,1),"")</f>
        <v>V</v>
      </c>
      <c r="AU184" s="3">
        <v>372</v>
      </c>
      <c r="AV184" s="3" t="str">
        <f>IFERROR(MID(VLOOKUP($B184,Seqs!$A:$B,2,0),AW184,1),"")</f>
        <v>S</v>
      </c>
      <c r="AW184" s="3">
        <v>373</v>
      </c>
      <c r="AX184" s="3" t="str">
        <f>IFERROR(MID(VLOOKUP($B184,Seqs!$A:$B,2,0),AY184,1),"")</f>
        <v>L</v>
      </c>
      <c r="AY184" s="3">
        <v>384</v>
      </c>
      <c r="AZ184" s="77" t="str">
        <f>VLOOKUP(B184,Classification!A:D,2,0)</f>
        <v>A</v>
      </c>
      <c r="BA184" s="94" t="str">
        <f>VLOOKUP(B184,Classification!A:D,4,0)</f>
        <v>Neurotensin</v>
      </c>
      <c r="BB184" s="27" t="b">
        <f t="shared" si="670"/>
        <v>1</v>
      </c>
      <c r="BC184" s="23">
        <f t="shared" si="643"/>
        <v>277</v>
      </c>
      <c r="BD184" s="56" t="s">
        <v>1379</v>
      </c>
      <c r="BE184" s="3" t="s">
        <v>23</v>
      </c>
      <c r="BF184" s="119" t="s">
        <v>23</v>
      </c>
      <c r="BG184" s="49" t="s">
        <v>1379</v>
      </c>
      <c r="BH184" s="49" t="s">
        <v>1384</v>
      </c>
      <c r="BI184" s="3" t="s">
        <v>1170</v>
      </c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 t="shared" si="644"/>
        <v>61</v>
      </c>
      <c r="BW184" s="71">
        <f t="shared" si="645"/>
        <v>93</v>
      </c>
      <c r="BX184" s="72">
        <f t="shared" si="646"/>
        <v>97</v>
      </c>
      <c r="BY184" s="71">
        <f t="shared" si="647"/>
        <v>134</v>
      </c>
      <c r="BZ184" s="72">
        <f t="shared" si="648"/>
        <v>138</v>
      </c>
      <c r="CA184" s="71">
        <f t="shared" si="649"/>
        <v>174</v>
      </c>
      <c r="CB184" s="72">
        <f t="shared" si="650"/>
        <v>182</v>
      </c>
      <c r="CC184" s="71">
        <f t="shared" si="651"/>
        <v>225</v>
      </c>
      <c r="CD184" s="72">
        <f t="shared" si="652"/>
        <v>231</v>
      </c>
      <c r="CE184" s="71">
        <f t="shared" si="653"/>
        <v>297</v>
      </c>
      <c r="CF184" s="72">
        <f t="shared" si="654"/>
        <v>340</v>
      </c>
      <c r="CG184" s="71">
        <f t="shared" si="655"/>
        <v>373</v>
      </c>
      <c r="CH184" s="70">
        <f t="shared" si="656"/>
        <v>92</v>
      </c>
      <c r="CI184" s="71">
        <f t="shared" si="657"/>
        <v>96</v>
      </c>
      <c r="CJ184" s="72">
        <f t="shared" si="658"/>
        <v>131</v>
      </c>
      <c r="CK184" s="72">
        <f t="shared" si="659"/>
        <v>137</v>
      </c>
      <c r="CL184" s="72">
        <f t="shared" si="660"/>
        <v>173</v>
      </c>
      <c r="CM184" s="72">
        <f t="shared" si="661"/>
        <v>181</v>
      </c>
      <c r="CN184" s="72">
        <f t="shared" si="662"/>
        <v>208</v>
      </c>
      <c r="CO184" s="72">
        <f t="shared" si="663"/>
        <v>227</v>
      </c>
      <c r="CP184" s="72">
        <f t="shared" si="664"/>
        <v>275</v>
      </c>
      <c r="CQ184" s="72">
        <f t="shared" si="665"/>
        <v>334</v>
      </c>
      <c r="CR184" s="72">
        <f t="shared" si="666"/>
        <v>372</v>
      </c>
      <c r="CS184" s="72">
        <f t="shared" si="667"/>
        <v>384</v>
      </c>
      <c r="CT184" s="23">
        <f t="shared" si="668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669"/>
        <v>ntr1_rat_4BUO</v>
      </c>
      <c r="B185" s="3" t="s">
        <v>914</v>
      </c>
      <c r="C185" s="3" t="s">
        <v>1338</v>
      </c>
      <c r="D185" s="3" t="str">
        <f>IFERROR(MID(VLOOKUP($B185,Seqs!$A:$B,2,0),E185,1),"")</f>
        <v>I</v>
      </c>
      <c r="E185" s="3">
        <v>61</v>
      </c>
      <c r="F185" s="3" t="str">
        <f>IFERROR(MID(VLOOKUP($B185,Seqs!$A:$B,2,0),G185,1),"")</f>
        <v>R</v>
      </c>
      <c r="G185" s="3">
        <v>91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S</v>
      </c>
      <c r="M185" s="3">
        <v>97</v>
      </c>
      <c r="N185" s="3" t="str">
        <f>IFERROR(MID(VLOOKUP($B185,Seqs!$A:$B,2,0),O185,1),"")</f>
        <v>V</v>
      </c>
      <c r="O185" s="3">
        <v>131</v>
      </c>
      <c r="P185" s="3" t="str">
        <f>IFERROR(MID(VLOOKUP($B185,Seqs!$A:$B,2,0),Q185,1),"")</f>
        <v>P</v>
      </c>
      <c r="Q185" s="3">
        <v>134</v>
      </c>
      <c r="R185" s="3" t="str">
        <f>IFERROR(MID(VLOOKUP($B185,Seqs!$A:$B,2,0),S185,1),"")</f>
        <v>F</v>
      </c>
      <c r="S185" s="3">
        <v>137</v>
      </c>
      <c r="T185" s="3" t="str">
        <f>IFERROR(MID(VLOOKUP($B185,Seqs!$A:$B,2,0),U185,1),"")</f>
        <v>G</v>
      </c>
      <c r="U185" s="3">
        <v>138</v>
      </c>
      <c r="V185" s="3" t="str">
        <f>IFERROR(MID(VLOOKUP($B185,Seqs!$A:$B,2,0),W185,1),"")</f>
        <v>H</v>
      </c>
      <c r="W185" s="3">
        <v>173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182</v>
      </c>
      <c r="AD185" s="3" t="str">
        <f>IFERROR(MID(VLOOKUP($B185,Seqs!$A:$B,2,0),AE185,1),"")</f>
        <v>M</v>
      </c>
      <c r="AE185" s="3">
        <v>208</v>
      </c>
      <c r="AF185" s="3" t="str">
        <f>IFERROR(MID(VLOOKUP($B185,Seqs!$A:$B,2,0),AG185,1),"")</f>
        <v>C</v>
      </c>
      <c r="AG185" s="3">
        <v>225</v>
      </c>
      <c r="AH185" s="3" t="str">
        <f>IFERROR(MID(VLOOKUP($B185,Seqs!$A:$B,2,0),AI185,1),"")</f>
        <v>P</v>
      </c>
      <c r="AI185" s="3">
        <v>227</v>
      </c>
      <c r="AJ185" s="3" t="str">
        <f>IFERROR(MID(VLOOKUP($B185,Seqs!$A:$B,2,0),AK185,1),"")</f>
        <v>T</v>
      </c>
      <c r="AK185" s="3">
        <v>231</v>
      </c>
      <c r="AL185" s="3" t="str">
        <f>IFERROR(MID(VLOOKUP($B185,Seqs!$A:$B,2,0),AM185,1),"")</f>
        <v>Q</v>
      </c>
      <c r="AM185" s="3">
        <v>270</v>
      </c>
      <c r="AN185" s="3" t="str">
        <f>IFERROR(MID(VLOOKUP($B185,Seqs!$A:$B,2,0),AO185,1),"")</f>
        <v>G</v>
      </c>
      <c r="AO185" s="3">
        <v>298</v>
      </c>
      <c r="AP185" s="3" t="str">
        <f>IFERROR(MID(VLOOKUP($B185,Seqs!$A:$B,2,0),AQ185,1),"")</f>
        <v>I</v>
      </c>
      <c r="AQ185" s="3">
        <v>334</v>
      </c>
      <c r="AR185" s="3" t="str">
        <f>IFERROR(MID(VLOOKUP($B185,Seqs!$A:$B,2,0),AS185,1),"")</f>
        <v>T</v>
      </c>
      <c r="AS185" s="3">
        <v>340</v>
      </c>
      <c r="AT185" s="3" t="str">
        <f>IFERROR(MID(VLOOKUP($B185,Seqs!$A:$B,2,0),AU185,1),"")</f>
        <v>V</v>
      </c>
      <c r="AU185" s="3">
        <v>372</v>
      </c>
      <c r="AV185" s="3" t="str">
        <f>IFERROR(MID(VLOOKUP($B185,Seqs!$A:$B,2,0),AW185,1),"")</f>
        <v>S</v>
      </c>
      <c r="AW185" s="3">
        <v>373</v>
      </c>
      <c r="AX185" s="3" t="str">
        <f>IFERROR(MID(VLOOKUP($B185,Seqs!$A:$B,2,0),AY185,1),"")</f>
        <v>L</v>
      </c>
      <c r="AY185" s="3">
        <v>384</v>
      </c>
      <c r="AZ185" s="77" t="str">
        <f>VLOOKUP(B185,Classification!A:D,2,0)</f>
        <v>A</v>
      </c>
      <c r="BA185" s="94" t="str">
        <f>VLOOKUP(B185,Classification!A:D,4,0)</f>
        <v>Neurotensin</v>
      </c>
      <c r="BB185" s="27" t="b">
        <f t="shared" si="670"/>
        <v>1</v>
      </c>
      <c r="BC185" s="23">
        <f t="shared" si="643"/>
        <v>260</v>
      </c>
      <c r="BD185" s="16" t="s">
        <v>1383</v>
      </c>
      <c r="BE185" s="3" t="s">
        <v>1381</v>
      </c>
      <c r="BF185" s="119">
        <v>2.75</v>
      </c>
      <c r="BG185" s="49" t="s">
        <v>1384</v>
      </c>
      <c r="BH185" s="49" t="s">
        <v>1384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 t="shared" si="644"/>
        <v>61</v>
      </c>
      <c r="BW185" s="71" t="str">
        <f t="shared" si="645"/>
        <v>-</v>
      </c>
      <c r="BX185" s="72">
        <f t="shared" si="646"/>
        <v>97</v>
      </c>
      <c r="BY185" s="71">
        <f t="shared" si="647"/>
        <v>134</v>
      </c>
      <c r="BZ185" s="72">
        <f t="shared" si="648"/>
        <v>138</v>
      </c>
      <c r="CA185" s="71" t="str">
        <f t="shared" si="649"/>
        <v>-</v>
      </c>
      <c r="CB185" s="72">
        <f t="shared" si="650"/>
        <v>182</v>
      </c>
      <c r="CC185" s="71">
        <f t="shared" si="651"/>
        <v>225</v>
      </c>
      <c r="CD185" s="72">
        <f t="shared" si="652"/>
        <v>231</v>
      </c>
      <c r="CE185" s="71">
        <f t="shared" si="653"/>
        <v>298</v>
      </c>
      <c r="CF185" s="72">
        <f t="shared" si="654"/>
        <v>340</v>
      </c>
      <c r="CG185" s="71">
        <f t="shared" si="655"/>
        <v>373</v>
      </c>
      <c r="CH185" s="70">
        <f t="shared" si="656"/>
        <v>91</v>
      </c>
      <c r="CI185" s="71" t="str">
        <f t="shared" si="657"/>
        <v>-</v>
      </c>
      <c r="CJ185" s="72">
        <f t="shared" si="658"/>
        <v>131</v>
      </c>
      <c r="CK185" s="72">
        <f t="shared" si="659"/>
        <v>137</v>
      </c>
      <c r="CL185" s="72">
        <f t="shared" si="660"/>
        <v>173</v>
      </c>
      <c r="CM185" s="72" t="str">
        <f t="shared" si="661"/>
        <v>-</v>
      </c>
      <c r="CN185" s="72">
        <f t="shared" si="662"/>
        <v>208</v>
      </c>
      <c r="CO185" s="72">
        <f t="shared" si="663"/>
        <v>227</v>
      </c>
      <c r="CP185" s="72">
        <f t="shared" si="664"/>
        <v>270</v>
      </c>
      <c r="CQ185" s="72">
        <f t="shared" si="665"/>
        <v>334</v>
      </c>
      <c r="CR185" s="72">
        <f t="shared" si="666"/>
        <v>372</v>
      </c>
      <c r="CS185" s="72">
        <f t="shared" si="667"/>
        <v>384</v>
      </c>
      <c r="CT185" s="23" t="e">
        <f t="shared" si="668"/>
        <v>#VALUE!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669"/>
        <v>ntr1_rat_4GRV</v>
      </c>
      <c r="B186" s="3" t="s">
        <v>914</v>
      </c>
      <c r="C186" s="3" t="s">
        <v>50</v>
      </c>
      <c r="D186" s="3" t="str">
        <f>IFERROR(MID(VLOOKUP($B186,Seqs!$A:$B,2,0),E186,1),"")</f>
        <v>I</v>
      </c>
      <c r="E186" s="3">
        <v>61</v>
      </c>
      <c r="F186" s="3" t="str">
        <f>IFERROR(MID(VLOOKUP($B186,Seqs!$A:$B,2,0),G186,1),"")</f>
        <v>T</v>
      </c>
      <c r="G186" s="3">
        <v>88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Q</v>
      </c>
      <c r="M186" s="3">
        <v>99</v>
      </c>
      <c r="N186" s="3" t="str">
        <f>IFERROR(MID(VLOOKUP($B186,Seqs!$A:$B,2,0),O186,1),"")</f>
        <v>V</v>
      </c>
      <c r="O186" s="3">
        <v>131</v>
      </c>
      <c r="P186" s="3" t="str">
        <f>IFERROR(MID(VLOOKUP($B186,Seqs!$A:$B,2,0),Q186,1),"")</f>
        <v>P</v>
      </c>
      <c r="Q186" s="3">
        <v>134</v>
      </c>
      <c r="R186" s="3" t="str">
        <f>IFERROR(MID(VLOOKUP($B186,Seqs!$A:$B,2,0),S186,1),"")</f>
        <v>F</v>
      </c>
      <c r="S186" s="3">
        <v>137</v>
      </c>
      <c r="T186" s="3" t="str">
        <f>IFERROR(MID(VLOOKUP($B186,Seqs!$A:$B,2,0),U186,1),"")</f>
        <v>G</v>
      </c>
      <c r="U186" s="3">
        <v>138</v>
      </c>
      <c r="V186" s="3" t="str">
        <f>IFERROR(MID(VLOOKUP($B186,Seqs!$A:$B,2,0),W186,1),"")</f>
        <v>H</v>
      </c>
      <c r="W186" s="3">
        <v>173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T</v>
      </c>
      <c r="AC186" s="9">
        <v>186</v>
      </c>
      <c r="AD186" s="3" t="str">
        <f>IFERROR(MID(VLOOKUP($B186,Seqs!$A:$B,2,0),AE186,1),"")</f>
        <v>M</v>
      </c>
      <c r="AE186" s="3">
        <v>208</v>
      </c>
      <c r="AF186" s="3" t="str">
        <f>IFERROR(MID(VLOOKUP($B186,Seqs!$A:$B,2,0),AG186,1),"")</f>
        <v>C</v>
      </c>
      <c r="AG186" s="3">
        <v>225</v>
      </c>
      <c r="AH186" s="3" t="str">
        <f>IFERROR(MID(VLOOKUP($B186,Seqs!$A:$B,2,0),AI186,1),"")</f>
        <v>P</v>
      </c>
      <c r="AI186" s="3">
        <v>227</v>
      </c>
      <c r="AJ186" s="3" t="str">
        <f>IFERROR(MID(VLOOKUP($B186,Seqs!$A:$B,2,0),AK186,1),"")</f>
        <v>T</v>
      </c>
      <c r="AK186" s="3">
        <v>231</v>
      </c>
      <c r="AL186" s="3" t="str">
        <f>IFERROR(MID(VLOOKUP($B186,Seqs!$A:$B,2,0),AM186,1),"")</f>
        <v>T</v>
      </c>
      <c r="AM186" s="3">
        <v>265</v>
      </c>
      <c r="AN186" s="3" t="str">
        <f>IFERROR(MID(VLOOKUP($B186,Seqs!$A:$B,2,0),AO186,1),"")</f>
        <v>A</v>
      </c>
      <c r="AO186" s="3">
        <v>302</v>
      </c>
      <c r="AP186" s="3" t="str">
        <f>IFERROR(MID(VLOOKUP($B186,Seqs!$A:$B,2,0),AQ186,1),"")</f>
        <v>I</v>
      </c>
      <c r="AQ186" s="3">
        <v>334</v>
      </c>
      <c r="AR186" s="3" t="str">
        <f>IFERROR(MID(VLOOKUP($B186,Seqs!$A:$B,2,0),AS186,1),"")</f>
        <v>T</v>
      </c>
      <c r="AS186" s="3">
        <v>340</v>
      </c>
      <c r="AT186" s="3" t="str">
        <f>IFERROR(MID(VLOOKUP($B186,Seqs!$A:$B,2,0),AU186,1),"")</f>
        <v>S</v>
      </c>
      <c r="AU186" s="3">
        <v>361</v>
      </c>
      <c r="AV186" s="3" t="str">
        <f>IFERROR(MID(VLOOKUP($B186,Seqs!$A:$B,2,0),AW186,1),"")</f>
        <v/>
      </c>
      <c r="AW186" s="3" t="s">
        <v>23</v>
      </c>
      <c r="AX186" s="3" t="str">
        <f>IFERROR(MID(VLOOKUP($B186,Seqs!$A:$B,2,0),AY186,1),"")</f>
        <v/>
      </c>
      <c r="AY186" s="3" t="s">
        <v>23</v>
      </c>
      <c r="AZ186" s="77" t="str">
        <f>VLOOKUP(B186,Classification!A:D,2,0)</f>
        <v>A</v>
      </c>
      <c r="BA186" s="94" t="str">
        <f>VLOOKUP(B186,Classification!A:D,4,0)</f>
        <v>Neurotensin</v>
      </c>
      <c r="BB186" s="27" t="b">
        <f t="shared" si="670"/>
        <v>1</v>
      </c>
      <c r="BC186" s="23">
        <f t="shared" si="643"/>
        <v>220</v>
      </c>
      <c r="BD186" s="5" t="s">
        <v>23</v>
      </c>
      <c r="BE186" s="3" t="s">
        <v>1439</v>
      </c>
      <c r="BF186" s="119">
        <v>2.8</v>
      </c>
      <c r="BG186" s="49" t="s">
        <v>1384</v>
      </c>
      <c r="BH186" s="49" t="s">
        <v>1384</v>
      </c>
      <c r="BI186" s="1"/>
      <c r="BJ186" s="70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0">
        <f t="shared" si="644"/>
        <v>61</v>
      </c>
      <c r="BW186" s="71" t="str">
        <f t="shared" si="645"/>
        <v>-</v>
      </c>
      <c r="BX186" s="72">
        <f t="shared" si="646"/>
        <v>99</v>
      </c>
      <c r="BY186" s="71">
        <f t="shared" si="647"/>
        <v>134</v>
      </c>
      <c r="BZ186" s="72">
        <f t="shared" si="648"/>
        <v>138</v>
      </c>
      <c r="CA186" s="71" t="str">
        <f t="shared" si="649"/>
        <v>-</v>
      </c>
      <c r="CB186" s="72">
        <f t="shared" si="650"/>
        <v>186</v>
      </c>
      <c r="CC186" s="71">
        <f t="shared" si="651"/>
        <v>225</v>
      </c>
      <c r="CD186" s="72">
        <f t="shared" si="652"/>
        <v>231</v>
      </c>
      <c r="CE186" s="71">
        <f t="shared" si="653"/>
        <v>302</v>
      </c>
      <c r="CF186" s="72">
        <f t="shared" si="654"/>
        <v>340</v>
      </c>
      <c r="CG186" s="71" t="str">
        <f t="shared" si="655"/>
        <v>-</v>
      </c>
      <c r="CH186" s="70">
        <f t="shared" si="656"/>
        <v>88</v>
      </c>
      <c r="CI186" s="71" t="str">
        <f t="shared" si="657"/>
        <v>-</v>
      </c>
      <c r="CJ186" s="72">
        <f t="shared" si="658"/>
        <v>131</v>
      </c>
      <c r="CK186" s="72">
        <f t="shared" si="659"/>
        <v>137</v>
      </c>
      <c r="CL186" s="72">
        <f t="shared" si="660"/>
        <v>173</v>
      </c>
      <c r="CM186" s="72" t="str">
        <f t="shared" si="661"/>
        <v>-</v>
      </c>
      <c r="CN186" s="72">
        <f t="shared" si="662"/>
        <v>208</v>
      </c>
      <c r="CO186" s="72">
        <f t="shared" si="663"/>
        <v>227</v>
      </c>
      <c r="CP186" s="72">
        <f t="shared" si="664"/>
        <v>265</v>
      </c>
      <c r="CQ186" s="72">
        <f t="shared" si="665"/>
        <v>334</v>
      </c>
      <c r="CR186" s="72">
        <f t="shared" si="666"/>
        <v>361</v>
      </c>
      <c r="CS186" s="72" t="str">
        <f t="shared" si="667"/>
        <v>-</v>
      </c>
      <c r="CT186" s="23" t="e">
        <f t="shared" si="668"/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669"/>
        <v>ntr1_rat_4XEE</v>
      </c>
      <c r="B187" s="3" t="s">
        <v>914</v>
      </c>
      <c r="C187" s="3" t="s">
        <v>1356</v>
      </c>
      <c r="D187" s="3" t="str">
        <f>IFERROR(MID(VLOOKUP($B187,Seqs!$A:$B,2,0),E187,1),"")</f>
        <v>I</v>
      </c>
      <c r="E187" s="3">
        <v>61</v>
      </c>
      <c r="F187" s="3" t="str">
        <f>IFERROR(MID(VLOOKUP($B187,Seqs!$A:$B,2,0),G187,1),"")</f>
        <v>R</v>
      </c>
      <c r="G187" s="3">
        <v>91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S</v>
      </c>
      <c r="M187" s="3">
        <v>100</v>
      </c>
      <c r="N187" s="3" t="str">
        <f>IFERROR(MID(VLOOKUP($B187,Seqs!$A:$B,2,0),O187,1),"")</f>
        <v>V</v>
      </c>
      <c r="O187" s="3">
        <v>131</v>
      </c>
      <c r="P187" s="3" t="str">
        <f>IFERROR(MID(VLOOKUP($B187,Seqs!$A:$B,2,0),Q187,1),"")</f>
        <v>P</v>
      </c>
      <c r="Q187" s="3">
        <v>134</v>
      </c>
      <c r="R187" s="3" t="str">
        <f>IFERROR(MID(VLOOKUP($B187,Seqs!$A:$B,2,0),S187,1),"")</f>
        <v>F</v>
      </c>
      <c r="S187" s="3">
        <v>137</v>
      </c>
      <c r="T187" s="3" t="str">
        <f>IFERROR(MID(VLOOKUP($B187,Seqs!$A:$B,2,0),U187,1),"")</f>
        <v>G</v>
      </c>
      <c r="U187" s="3">
        <v>138</v>
      </c>
      <c r="V187" s="3" t="str">
        <f>IFERROR(MID(VLOOKUP($B187,Seqs!$A:$B,2,0),W187,1),"")</f>
        <v>H</v>
      </c>
      <c r="W187" s="3">
        <v>173</v>
      </c>
      <c r="X187" s="3" t="str">
        <f>IFERROR(MID(VLOOKUP($B187,Seqs!$A:$B,2,0),Y187,1),"")</f>
        <v>P</v>
      </c>
      <c r="Y187" s="3">
        <v>174</v>
      </c>
      <c r="Z187" s="3" t="str">
        <f>IFERROR(MID(VLOOKUP($B187,Seqs!$A:$B,2,0),AA187,1),"")</f>
        <v>M</v>
      </c>
      <c r="AA187" s="3">
        <v>181</v>
      </c>
      <c r="AB187" s="3" t="str">
        <f>IFERROR(MID(VLOOKUP($B187,Seqs!$A:$B,2,0),AC187,1),"")</f>
        <v>S</v>
      </c>
      <c r="AC187" s="9">
        <v>182</v>
      </c>
      <c r="AD187" s="3" t="str">
        <f>IFERROR(MID(VLOOKUP($B187,Seqs!$A:$B,2,0),AE187,1),"")</f>
        <v>M</v>
      </c>
      <c r="AE187" s="3">
        <v>208</v>
      </c>
      <c r="AF187" s="3" t="str">
        <f>IFERROR(MID(VLOOKUP($B187,Seqs!$A:$B,2,0),AG187,1),"")</f>
        <v>C</v>
      </c>
      <c r="AG187" s="3">
        <v>225</v>
      </c>
      <c r="AH187" s="3" t="str">
        <f>IFERROR(MID(VLOOKUP($B187,Seqs!$A:$B,2,0),AI187,1),"")</f>
        <v>P</v>
      </c>
      <c r="AI187" s="3">
        <v>227</v>
      </c>
      <c r="AJ187" s="3" t="str">
        <f>IFERROR(MID(VLOOKUP($B187,Seqs!$A:$B,2,0),AK187,1),"")</f>
        <v>T</v>
      </c>
      <c r="AK187" s="3">
        <v>231</v>
      </c>
      <c r="AL187" s="3" t="str">
        <f>IFERROR(MID(VLOOKUP($B187,Seqs!$A:$B,2,0),AM187,1),"")</f>
        <v>V</v>
      </c>
      <c r="AM187" s="3">
        <v>268</v>
      </c>
      <c r="AN187" s="3" t="str">
        <f>IFERROR(MID(VLOOKUP($B187,Seqs!$A:$B,2,0),AO187,1),"")</f>
        <v>Q</v>
      </c>
      <c r="AO187" s="3">
        <v>301</v>
      </c>
      <c r="AP187" s="3" t="str">
        <f>IFERROR(MID(VLOOKUP($B187,Seqs!$A:$B,2,0),AQ187,1),"")</f>
        <v>I</v>
      </c>
      <c r="AQ187" s="3">
        <v>334</v>
      </c>
      <c r="AR187" s="3" t="str">
        <f>IFERROR(MID(VLOOKUP($B187,Seqs!$A:$B,2,0),AS187,1),"")</f>
        <v>T</v>
      </c>
      <c r="AS187" s="3">
        <v>340</v>
      </c>
      <c r="AT187" s="3" t="str">
        <f>IFERROR(MID(VLOOKUP($B187,Seqs!$A:$B,2,0),AU187,1),"")</f>
        <v>I</v>
      </c>
      <c r="AU187" s="3">
        <v>364</v>
      </c>
      <c r="AV187" s="3" t="str">
        <f>IFERROR(MID(VLOOKUP($B187,Seqs!$A:$B,2,0),AW187,1),"")</f>
        <v/>
      </c>
      <c r="AW187" s="3" t="s">
        <v>23</v>
      </c>
      <c r="AX187" s="3" t="str">
        <f>IFERROR(MID(VLOOKUP($B187,Seqs!$A:$B,2,0),AY187,1),"")</f>
        <v/>
      </c>
      <c r="AY187" s="3" t="s">
        <v>23</v>
      </c>
      <c r="AZ187" s="77" t="str">
        <f>VLOOKUP(B187,Classification!A:D,2,0)</f>
        <v>A</v>
      </c>
      <c r="BA187" s="94" t="str">
        <f>VLOOKUP(B187,Classification!A:D,4,0)</f>
        <v>Neurotensin</v>
      </c>
      <c r="BB187" s="27" t="b">
        <f t="shared" si="670"/>
        <v>1</v>
      </c>
      <c r="BC187" s="23">
        <f t="shared" si="643"/>
        <v>240</v>
      </c>
      <c r="BD187" s="4" t="s">
        <v>23</v>
      </c>
      <c r="BE187" s="3" t="s">
        <v>1439</v>
      </c>
      <c r="BF187" s="119">
        <v>2.9</v>
      </c>
      <c r="BG187" s="49" t="s">
        <v>1384</v>
      </c>
      <c r="BH187" s="49" t="s">
        <v>1384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 t="shared" si="644"/>
        <v>61</v>
      </c>
      <c r="BW187" s="71" t="str">
        <f t="shared" si="645"/>
        <v>-</v>
      </c>
      <c r="BX187" s="72">
        <f t="shared" si="646"/>
        <v>100</v>
      </c>
      <c r="BY187" s="71">
        <f t="shared" si="647"/>
        <v>134</v>
      </c>
      <c r="BZ187" s="72">
        <f t="shared" si="648"/>
        <v>138</v>
      </c>
      <c r="CA187" s="71">
        <f t="shared" si="649"/>
        <v>174</v>
      </c>
      <c r="CB187" s="72">
        <f t="shared" si="650"/>
        <v>182</v>
      </c>
      <c r="CC187" s="71">
        <f t="shared" si="651"/>
        <v>225</v>
      </c>
      <c r="CD187" s="72">
        <f t="shared" si="652"/>
        <v>231</v>
      </c>
      <c r="CE187" s="71">
        <f t="shared" si="653"/>
        <v>301</v>
      </c>
      <c r="CF187" s="72">
        <f t="shared" si="654"/>
        <v>340</v>
      </c>
      <c r="CG187" s="71" t="str">
        <f t="shared" si="655"/>
        <v>-</v>
      </c>
      <c r="CH187" s="70">
        <f t="shared" si="656"/>
        <v>91</v>
      </c>
      <c r="CI187" s="71" t="str">
        <f t="shared" si="657"/>
        <v>-</v>
      </c>
      <c r="CJ187" s="72">
        <f t="shared" si="658"/>
        <v>131</v>
      </c>
      <c r="CK187" s="72">
        <f t="shared" si="659"/>
        <v>137</v>
      </c>
      <c r="CL187" s="72">
        <f t="shared" si="660"/>
        <v>173</v>
      </c>
      <c r="CM187" s="72">
        <f t="shared" si="661"/>
        <v>181</v>
      </c>
      <c r="CN187" s="72">
        <f t="shared" si="662"/>
        <v>208</v>
      </c>
      <c r="CO187" s="72">
        <f t="shared" si="663"/>
        <v>227</v>
      </c>
      <c r="CP187" s="72">
        <f t="shared" si="664"/>
        <v>268</v>
      </c>
      <c r="CQ187" s="72">
        <f t="shared" si="665"/>
        <v>334</v>
      </c>
      <c r="CR187" s="72">
        <f t="shared" si="666"/>
        <v>364</v>
      </c>
      <c r="CS187" s="72" t="str">
        <f t="shared" si="667"/>
        <v>-</v>
      </c>
      <c r="CT187" s="23" t="e">
        <f t="shared" si="668"/>
        <v>#VALUE!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669"/>
        <v>ntr1_rat_4XES</v>
      </c>
      <c r="B188" s="3" t="s">
        <v>914</v>
      </c>
      <c r="C188" s="3" t="s">
        <v>1357</v>
      </c>
      <c r="D188" s="3" t="str">
        <f>IFERROR(MID(VLOOKUP($B188,Seqs!$A:$B,2,0),E188,1),"")</f>
        <v>I</v>
      </c>
      <c r="E188" s="3">
        <v>61</v>
      </c>
      <c r="F188" s="3" t="str">
        <f>IFERROR(MID(VLOOKUP($B188,Seqs!$A:$B,2,0),G188,1),"")</f>
        <v>K</v>
      </c>
      <c r="G188" s="3">
        <v>92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S</v>
      </c>
      <c r="M188" s="3">
        <v>97</v>
      </c>
      <c r="N188" s="3" t="str">
        <f>IFERROR(MID(VLOOKUP($B188,Seqs!$A:$B,2,0),O188,1),"")</f>
        <v>V</v>
      </c>
      <c r="O188" s="3">
        <v>131</v>
      </c>
      <c r="P188" s="3" t="str">
        <f>IFERROR(MID(VLOOKUP($B188,Seqs!$A:$B,2,0),Q188,1),"")</f>
        <v>P</v>
      </c>
      <c r="Q188" s="3">
        <v>134</v>
      </c>
      <c r="R188" s="3" t="str">
        <f>IFERROR(MID(VLOOKUP($B188,Seqs!$A:$B,2,0),S188,1),"")</f>
        <v>F</v>
      </c>
      <c r="S188" s="3">
        <v>137</v>
      </c>
      <c r="T188" s="3" t="str">
        <f>IFERROR(MID(VLOOKUP($B188,Seqs!$A:$B,2,0),U188,1),"")</f>
        <v>G</v>
      </c>
      <c r="U188" s="3">
        <v>138</v>
      </c>
      <c r="V188" s="3" t="str">
        <f>IFERROR(MID(VLOOKUP($B188,Seqs!$A:$B,2,0),W188,1),"")</f>
        <v>H</v>
      </c>
      <c r="W188" s="3">
        <v>173</v>
      </c>
      <c r="X188" s="3" t="str">
        <f>IFERROR(MID(VLOOKUP($B188,Seqs!$A:$B,2,0),Y188,1),"")</f>
        <v>P</v>
      </c>
      <c r="Y188" s="3">
        <v>174</v>
      </c>
      <c r="Z188" s="3" t="str">
        <f>IFERROR(MID(VLOOKUP($B188,Seqs!$A:$B,2,0),AA188,1),"")</f>
        <v>M</v>
      </c>
      <c r="AA188" s="3">
        <v>181</v>
      </c>
      <c r="AB188" s="3" t="str">
        <f>IFERROR(MID(VLOOKUP($B188,Seqs!$A:$B,2,0),AC188,1),"")</f>
        <v>S</v>
      </c>
      <c r="AC188" s="9">
        <v>182</v>
      </c>
      <c r="AD188" s="3" t="str">
        <f>IFERROR(MID(VLOOKUP($B188,Seqs!$A:$B,2,0),AE188,1),"")</f>
        <v>M</v>
      </c>
      <c r="AE188" s="3">
        <v>208</v>
      </c>
      <c r="AF188" s="3" t="str">
        <f>IFERROR(MID(VLOOKUP($B188,Seqs!$A:$B,2,0),AG188,1),"")</f>
        <v>C</v>
      </c>
      <c r="AG188" s="3">
        <v>225</v>
      </c>
      <c r="AH188" s="3" t="str">
        <f>IFERROR(MID(VLOOKUP($B188,Seqs!$A:$B,2,0),AI188,1),"")</f>
        <v>P</v>
      </c>
      <c r="AI188" s="3">
        <v>227</v>
      </c>
      <c r="AJ188" s="3" t="str">
        <f>IFERROR(MID(VLOOKUP($B188,Seqs!$A:$B,2,0),AK188,1),"")</f>
        <v>T</v>
      </c>
      <c r="AK188" s="3">
        <v>231</v>
      </c>
      <c r="AL188" s="3" t="str">
        <f>IFERROR(MID(VLOOKUP($B188,Seqs!$A:$B,2,0),AM188,1),"")</f>
        <v>V</v>
      </c>
      <c r="AM188" s="3">
        <v>268</v>
      </c>
      <c r="AN188" s="3" t="str">
        <f>IFERROR(MID(VLOOKUP($B188,Seqs!$A:$B,2,0),AO188,1),"")</f>
        <v>A</v>
      </c>
      <c r="AO188" s="3">
        <v>302</v>
      </c>
      <c r="AP188" s="3" t="str">
        <f>IFERROR(MID(VLOOKUP($B188,Seqs!$A:$B,2,0),AQ188,1),"")</f>
        <v>I</v>
      </c>
      <c r="AQ188" s="3">
        <v>334</v>
      </c>
      <c r="AR188" s="3" t="str">
        <f>IFERROR(MID(VLOOKUP($B188,Seqs!$A:$B,2,0),AS188,1),"")</f>
        <v>T</v>
      </c>
      <c r="AS188" s="3">
        <v>340</v>
      </c>
      <c r="AT188" s="3" t="str">
        <f>IFERROR(MID(VLOOKUP($B188,Seqs!$A:$B,2,0),AU188,1),"")</f>
        <v>I</v>
      </c>
      <c r="AU188" s="3">
        <v>364</v>
      </c>
      <c r="AV188" s="3" t="str">
        <f>IFERROR(MID(VLOOKUP($B188,Seqs!$A:$B,2,0),AW188,1),"")</f>
        <v/>
      </c>
      <c r="AW188" s="3" t="s">
        <v>23</v>
      </c>
      <c r="AX188" s="3" t="str">
        <f>IFERROR(MID(VLOOKUP($B188,Seqs!$A:$B,2,0),AY188,1),"")</f>
        <v/>
      </c>
      <c r="AY188" s="3" t="s">
        <v>23</v>
      </c>
      <c r="AZ188" s="77" t="str">
        <f>VLOOKUP(B188,Classification!A:D,2,0)</f>
        <v>A</v>
      </c>
      <c r="BA188" s="94" t="str">
        <f>VLOOKUP(B188,Classification!A:D,4,0)</f>
        <v>Neurotensin</v>
      </c>
      <c r="BB188" s="27" t="b">
        <f t="shared" si="670"/>
        <v>1</v>
      </c>
      <c r="BC188" s="23">
        <f t="shared" si="643"/>
        <v>243</v>
      </c>
      <c r="BD188" s="5" t="s">
        <v>1440</v>
      </c>
      <c r="BE188" s="3" t="s">
        <v>1439</v>
      </c>
      <c r="BF188" s="119">
        <v>2.6</v>
      </c>
      <c r="BG188" s="49" t="s">
        <v>1384</v>
      </c>
      <c r="BH188" s="49" t="s">
        <v>1384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 t="shared" si="644"/>
        <v>61</v>
      </c>
      <c r="BW188" s="71" t="str">
        <f t="shared" si="645"/>
        <v>-</v>
      </c>
      <c r="BX188" s="72">
        <f t="shared" si="646"/>
        <v>97</v>
      </c>
      <c r="BY188" s="71">
        <f t="shared" si="647"/>
        <v>134</v>
      </c>
      <c r="BZ188" s="72">
        <f t="shared" si="648"/>
        <v>138</v>
      </c>
      <c r="CA188" s="71">
        <f t="shared" si="649"/>
        <v>174</v>
      </c>
      <c r="CB188" s="72">
        <f t="shared" si="650"/>
        <v>182</v>
      </c>
      <c r="CC188" s="71">
        <f t="shared" si="651"/>
        <v>225</v>
      </c>
      <c r="CD188" s="72">
        <f t="shared" si="652"/>
        <v>231</v>
      </c>
      <c r="CE188" s="71">
        <f t="shared" si="653"/>
        <v>302</v>
      </c>
      <c r="CF188" s="72">
        <f t="shared" si="654"/>
        <v>340</v>
      </c>
      <c r="CG188" s="71" t="str">
        <f t="shared" si="655"/>
        <v>-</v>
      </c>
      <c r="CH188" s="70">
        <f t="shared" si="656"/>
        <v>92</v>
      </c>
      <c r="CI188" s="71" t="str">
        <f t="shared" si="657"/>
        <v>-</v>
      </c>
      <c r="CJ188" s="72">
        <f t="shared" si="658"/>
        <v>131</v>
      </c>
      <c r="CK188" s="72">
        <f t="shared" si="659"/>
        <v>137</v>
      </c>
      <c r="CL188" s="72">
        <f t="shared" si="660"/>
        <v>173</v>
      </c>
      <c r="CM188" s="72">
        <f t="shared" si="661"/>
        <v>181</v>
      </c>
      <c r="CN188" s="72">
        <f t="shared" si="662"/>
        <v>208</v>
      </c>
      <c r="CO188" s="72">
        <f t="shared" si="663"/>
        <v>227</v>
      </c>
      <c r="CP188" s="72">
        <f t="shared" si="664"/>
        <v>268</v>
      </c>
      <c r="CQ188" s="72">
        <f t="shared" si="665"/>
        <v>334</v>
      </c>
      <c r="CR188" s="72">
        <f t="shared" si="666"/>
        <v>364</v>
      </c>
      <c r="CS188" s="72" t="str">
        <f t="shared" si="667"/>
        <v>-</v>
      </c>
      <c r="CT188" s="23" t="e">
        <f t="shared" si="668"/>
        <v>#VALUE!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>CONCATENATE(B189,"_",C189)</f>
        <v>ntr1_rat_5T04</v>
      </c>
      <c r="B189" s="3" t="s">
        <v>914</v>
      </c>
      <c r="C189" s="3" t="s">
        <v>1392</v>
      </c>
      <c r="D189" s="3" t="str">
        <f>IFERROR(MID(VLOOKUP($B189,Seqs!$A:$B,2,0),E189,1),"")</f>
        <v>I</v>
      </c>
      <c r="E189" s="3">
        <v>61</v>
      </c>
      <c r="F189" s="3" t="str">
        <f>IFERROR(MID(VLOOKUP($B189,Seqs!$A:$B,2,0),G189,1),"")</f>
        <v>T</v>
      </c>
      <c r="G189" s="3">
        <v>88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H</v>
      </c>
      <c r="M189" s="3">
        <v>103</v>
      </c>
      <c r="N189" s="3" t="str">
        <f>IFERROR(MID(VLOOKUP($B189,Seqs!$A:$B,2,0),O189,1),"")</f>
        <v>V</v>
      </c>
      <c r="O189" s="3">
        <v>131</v>
      </c>
      <c r="P189" s="3" t="str">
        <f>IFERROR(MID(VLOOKUP($B189,Seqs!$A:$B,2,0),Q189,1),"")</f>
        <v>P</v>
      </c>
      <c r="Q189" s="3">
        <v>134</v>
      </c>
      <c r="R189" s="3" t="str">
        <f>IFERROR(MID(VLOOKUP($B189,Seqs!$A:$B,2,0),S189,1),"")</f>
        <v>F</v>
      </c>
      <c r="S189" s="3">
        <v>137</v>
      </c>
      <c r="T189" s="3" t="str">
        <f>IFERROR(MID(VLOOKUP($B189,Seqs!$A:$B,2,0),U189,1),"")</f>
        <v>G</v>
      </c>
      <c r="U189" s="3">
        <v>138</v>
      </c>
      <c r="V189" s="3" t="str">
        <f>IFERROR(MID(VLOOKUP($B189,Seqs!$A:$B,2,0),W189,1),"")</f>
        <v>H</v>
      </c>
      <c r="W189" s="3">
        <v>173</v>
      </c>
      <c r="X189" s="3" t="str">
        <f>IFERROR(MID(VLOOKUP($B189,Seqs!$A:$B,2,0),Y189,1),"")</f>
        <v>P</v>
      </c>
      <c r="Y189" s="3">
        <v>174</v>
      </c>
      <c r="Z189" s="3" t="str">
        <f>IFERROR(MID(VLOOKUP($B189,Seqs!$A:$B,2,0),AA189,1),"")</f>
        <v>M</v>
      </c>
      <c r="AA189" s="3">
        <v>181</v>
      </c>
      <c r="AB189" s="3" t="str">
        <f>IFERROR(MID(VLOOKUP($B189,Seqs!$A:$B,2,0),AC189,1),"")</f>
        <v>S</v>
      </c>
      <c r="AC189" s="3">
        <v>182</v>
      </c>
      <c r="AD189" s="3" t="str">
        <f>IFERROR(MID(VLOOKUP($B189,Seqs!$A:$B,2,0),AE189,1),"")</f>
        <v>M</v>
      </c>
      <c r="AE189" s="3">
        <v>208</v>
      </c>
      <c r="AF189" s="3" t="str">
        <f>IFERROR(MID(VLOOKUP($B189,Seqs!$A:$B,2,0),AG189,1),"")</f>
        <v>C</v>
      </c>
      <c r="AG189" s="3">
        <v>225</v>
      </c>
      <c r="AH189" s="3" t="str">
        <f>IFERROR(MID(VLOOKUP($B189,Seqs!$A:$B,2,0),AI189,1),"")</f>
        <v>P</v>
      </c>
      <c r="AI189" s="3">
        <v>227</v>
      </c>
      <c r="AJ189" s="3" t="str">
        <f>IFERROR(MID(VLOOKUP($B189,Seqs!$A:$B,2,0),AK189,1),"")</f>
        <v>T</v>
      </c>
      <c r="AK189" s="3">
        <v>231</v>
      </c>
      <c r="AL189" s="3" t="str">
        <f>IFERROR(MID(VLOOKUP($B189,Seqs!$A:$B,2,0),AM189,1),"")</f>
        <v>V</v>
      </c>
      <c r="AM189" s="3">
        <v>268</v>
      </c>
      <c r="AN189" s="3" t="str">
        <f>IFERROR(MID(VLOOKUP($B189,Seqs!$A:$B,2,0),AO189,1),"")</f>
        <v>P</v>
      </c>
      <c r="AO189" s="3">
        <v>297</v>
      </c>
      <c r="AP189" s="3" t="str">
        <f>IFERROR(MID(VLOOKUP($B189,Seqs!$A:$B,2,0),AQ189,1),"")</f>
        <v>I</v>
      </c>
      <c r="AQ189" s="3">
        <v>334</v>
      </c>
      <c r="AR189" s="3" t="str">
        <f>IFERROR(MID(VLOOKUP($B189,Seqs!$A:$B,2,0),AS189,1),"")</f>
        <v>T</v>
      </c>
      <c r="AS189" s="3">
        <v>340</v>
      </c>
      <c r="AT189" s="3" t="str">
        <f>IFERROR(MID(VLOOKUP($B189,Seqs!$A:$B,2,0),AU189,1),"")</f>
        <v>I</v>
      </c>
      <c r="AU189" s="3">
        <v>364</v>
      </c>
      <c r="AV189" s="3" t="str">
        <f>IFERROR(MID(VLOOKUP($B189,Seqs!$A:$B,2,0),AW189,1),"")</f>
        <v/>
      </c>
      <c r="AW189" s="3" t="s">
        <v>23</v>
      </c>
      <c r="AX189" s="3" t="str">
        <f>IFERROR(MID(VLOOKUP($B189,Seqs!$A:$B,2,0),AY189,1),"")</f>
        <v/>
      </c>
      <c r="AY189" s="3" t="s">
        <v>23</v>
      </c>
      <c r="AZ189" s="77" t="str">
        <f>VLOOKUP(B189,Classification!A:D,2,0)</f>
        <v>A</v>
      </c>
      <c r="BA189" s="94" t="str">
        <f>VLOOKUP(B189,Classification!A:D,4,0)</f>
        <v>Neurotensin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238</v>
      </c>
      <c r="BD189" s="5" t="s">
        <v>1382</v>
      </c>
      <c r="BE189" s="3" t="s">
        <v>1297</v>
      </c>
      <c r="BF189" s="119">
        <v>3.3</v>
      </c>
      <c r="BG189" s="49" t="s">
        <v>1384</v>
      </c>
      <c r="BH189" s="49" t="s">
        <v>1384</v>
      </c>
      <c r="BI189" s="1"/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>E189</f>
        <v>61</v>
      </c>
      <c r="BW189" s="71" t="str">
        <f>I189</f>
        <v>-</v>
      </c>
      <c r="BX189" s="72">
        <f>M189</f>
        <v>103</v>
      </c>
      <c r="BY189" s="71">
        <f>Q189</f>
        <v>134</v>
      </c>
      <c r="BZ189" s="72">
        <f>U189</f>
        <v>138</v>
      </c>
      <c r="CA189" s="71">
        <f>Y189</f>
        <v>174</v>
      </c>
      <c r="CB189" s="72">
        <f>AC189</f>
        <v>182</v>
      </c>
      <c r="CC189" s="71">
        <f>AG189</f>
        <v>225</v>
      </c>
      <c r="CD189" s="72">
        <f>AK189</f>
        <v>231</v>
      </c>
      <c r="CE189" s="71">
        <f>AO189</f>
        <v>297</v>
      </c>
      <c r="CF189" s="72">
        <f>AS189</f>
        <v>340</v>
      </c>
      <c r="CG189" s="71" t="str">
        <f>AW189</f>
        <v>-</v>
      </c>
      <c r="CH189" s="70">
        <f>G189</f>
        <v>88</v>
      </c>
      <c r="CI189" s="71" t="str">
        <f>K189</f>
        <v>-</v>
      </c>
      <c r="CJ189" s="72">
        <f>O189</f>
        <v>131</v>
      </c>
      <c r="CK189" s="72">
        <f>S189</f>
        <v>137</v>
      </c>
      <c r="CL189" s="72">
        <f>W189</f>
        <v>173</v>
      </c>
      <c r="CM189" s="72">
        <f>AA189</f>
        <v>181</v>
      </c>
      <c r="CN189" s="72">
        <f>AE189</f>
        <v>208</v>
      </c>
      <c r="CO189" s="72">
        <f>AI189</f>
        <v>227</v>
      </c>
      <c r="CP189" s="72">
        <f>AM189</f>
        <v>268</v>
      </c>
      <c r="CQ189" s="72">
        <f>AQ189</f>
        <v>334</v>
      </c>
      <c r="CR189" s="72">
        <f>AU189</f>
        <v>364</v>
      </c>
      <c r="CS189" s="72" t="str">
        <f>AY189</f>
        <v>-</v>
      </c>
      <c r="CT189" s="23" t="e">
        <f>M189-K189</f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 t="shared" si="669"/>
        <v>oprd_human__wt</v>
      </c>
      <c r="B190" s="3" t="s">
        <v>335</v>
      </c>
      <c r="C190" s="3" t="s">
        <v>100</v>
      </c>
      <c r="D190" s="3" t="str">
        <f>IFERROR(MID(VLOOKUP($B190,Seqs!$A:$B,2,0),E190,1),"")</f>
        <v>G</v>
      </c>
      <c r="E190" s="3">
        <v>39</v>
      </c>
      <c r="F190" s="3" t="str">
        <f>IFERROR(MID(VLOOKUP($B190,Seqs!$A:$B,2,0),G190,1),"")</f>
        <v>Y</v>
      </c>
      <c r="G190" s="3">
        <v>77</v>
      </c>
      <c r="H190" s="3" t="str">
        <f>IFERROR(MID(VLOOKUP($B190,Seqs!$A:$B,2,0),I190,1),"")</f>
        <v>T</v>
      </c>
      <c r="I190" s="23">
        <v>78</v>
      </c>
      <c r="J190" s="3" t="str">
        <f>IFERROR(MID(VLOOKUP($B190,Seqs!$A:$B,2,0),K190,1),"")</f>
        <v>K</v>
      </c>
      <c r="K190" s="23">
        <v>81</v>
      </c>
      <c r="L190" s="3" t="str">
        <f>IFERROR(MID(VLOOKUP($B190,Seqs!$A:$B,2,0),M190,1),"")</f>
        <v>T</v>
      </c>
      <c r="M190" s="3">
        <v>82</v>
      </c>
      <c r="N190" s="3" t="str">
        <f>IFERROR(MID(VLOOKUP($B190,Seqs!$A:$B,2,0),O190,1),"")</f>
        <v>M</v>
      </c>
      <c r="O190" s="3">
        <v>111</v>
      </c>
      <c r="P190" s="3" t="str">
        <f>IFERROR(MID(VLOOKUP($B190,Seqs!$A:$B,2,0),Q190,1),"")</f>
        <v>T</v>
      </c>
      <c r="Q190" s="3">
        <v>113</v>
      </c>
      <c r="R190" s="3" t="str">
        <f>IFERROR(MID(VLOOKUP($B190,Seqs!$A:$B,2,0),S190,1),"")</f>
        <v>F</v>
      </c>
      <c r="S190" s="3">
        <v>116</v>
      </c>
      <c r="T190" s="3" t="str">
        <f>IFERROR(MID(VLOOKUP($B190,Seqs!$A:$B,2,0),U190,1),"")</f>
        <v>G</v>
      </c>
      <c r="U190" s="3">
        <v>117</v>
      </c>
      <c r="V190" s="3" t="str">
        <f>IFERROR(MID(VLOOKUP($B190,Seqs!$A:$B,2,0),W190,1),"")</f>
        <v>H</v>
      </c>
      <c r="W190" s="3">
        <v>152</v>
      </c>
      <c r="X190" s="3" t="str">
        <f>IFERROR(MID(VLOOKUP($B190,Seqs!$A:$B,2,0),Y190,1),"")</f>
        <v>P</v>
      </c>
      <c r="Y190" s="3">
        <v>153</v>
      </c>
      <c r="Z190" s="3" t="str">
        <f>IFERROR(MID(VLOOKUP($B190,Seqs!$A:$B,2,0),AA190,1),"")</f>
        <v>R</v>
      </c>
      <c r="AA190" s="3">
        <v>160</v>
      </c>
      <c r="AB190" s="3" t="str">
        <f>IFERROR(MID(VLOOKUP($B190,Seqs!$A:$B,2,0),AC190,1),"")</f>
        <v>T</v>
      </c>
      <c r="AC190" s="9">
        <v>161</v>
      </c>
      <c r="AD190" s="3" t="str">
        <f>IFERROR(MID(VLOOKUP($B190,Seqs!$A:$B,2,0),AE190,1),"")</f>
        <v>A</v>
      </c>
      <c r="AE190" s="3">
        <v>187</v>
      </c>
      <c r="AF190" s="3" t="str">
        <f>IFERROR(MID(VLOOKUP($B190,Seqs!$A:$B,2,0),AG190,1),"")</f>
        <v>C</v>
      </c>
      <c r="AG190" s="3">
        <v>198</v>
      </c>
      <c r="AH190" s="3" t="str">
        <f>IFERROR(MID(VLOOKUP($B190,Seqs!$A:$B,2,0),AI190,1),"")</f>
        <v>L</v>
      </c>
      <c r="AI190" s="3">
        <v>200</v>
      </c>
      <c r="AJ190" s="3" t="str">
        <f>IFERROR(MID(VLOOKUP($B190,Seqs!$A:$B,2,0),AK190,1),"")</f>
        <v>S</v>
      </c>
      <c r="AK190" s="3">
        <v>206</v>
      </c>
      <c r="AL190" s="3" t="str">
        <f>IFERROR(MID(VLOOKUP($B190,Seqs!$A:$B,2,0),AM190,1),"")</f>
        <v>V</v>
      </c>
      <c r="AM190" s="3">
        <v>243</v>
      </c>
      <c r="AN190" s="3" t="str">
        <f>IFERROR(MID(VLOOKUP($B190,Seqs!$A:$B,2,0),AO190,1),"")</f>
        <v>S</v>
      </c>
      <c r="AO190" s="3">
        <v>249</v>
      </c>
      <c r="AP190" s="3" t="str">
        <f>IFERROR(MID(VLOOKUP($B190,Seqs!$A:$B,2,0),AQ190,1),"")</f>
        <v>V</v>
      </c>
      <c r="AQ190" s="3">
        <v>287</v>
      </c>
      <c r="AR190" s="3" t="str">
        <f>IFERROR(MID(VLOOKUP($B190,Seqs!$A:$B,2,0),AS190,1),"")</f>
        <v>D</v>
      </c>
      <c r="AS190" s="3">
        <v>293</v>
      </c>
      <c r="AT190" s="3" t="str">
        <f>IFERROR(MID(VLOOKUP($B190,Seqs!$A:$B,2,0),AU190,1),"")</f>
        <v>L</v>
      </c>
      <c r="AU190" s="3">
        <v>321</v>
      </c>
      <c r="AV190" s="3" t="str">
        <f>IFERROR(MID(VLOOKUP($B190,Seqs!$A:$B,2,0),AW190,1),"")</f>
        <v>D</v>
      </c>
      <c r="AW190" s="3">
        <v>322</v>
      </c>
      <c r="AX190" s="3" t="str">
        <f>IFERROR(MID(VLOOKUP($B190,Seqs!$A:$B,2,0),AY190,1),"")</f>
        <v>K</v>
      </c>
      <c r="AY190" s="3">
        <v>335</v>
      </c>
      <c r="AZ190" s="77" t="str">
        <f>VLOOKUP(B190,Classification!A:D,2,0)</f>
        <v>A</v>
      </c>
      <c r="BA190" s="94" t="str">
        <f>VLOOKUP(B190,Classification!A:D,4,0)</f>
        <v>Opioid</v>
      </c>
      <c r="BB190" s="27" t="b">
        <f t="shared" si="670"/>
        <v>1</v>
      </c>
      <c r="BC190" s="23">
        <f t="shared" si="643"/>
        <v>271</v>
      </c>
      <c r="BD190" s="56" t="s">
        <v>1379</v>
      </c>
      <c r="BE190" s="3" t="s">
        <v>23</v>
      </c>
      <c r="BF190" s="119" t="s">
        <v>23</v>
      </c>
      <c r="BG190" s="49" t="s">
        <v>1379</v>
      </c>
      <c r="BH190" s="49" t="s">
        <v>1384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si="644"/>
        <v>39</v>
      </c>
      <c r="BW190" s="71">
        <f t="shared" si="645"/>
        <v>78</v>
      </c>
      <c r="BX190" s="72">
        <f t="shared" si="646"/>
        <v>82</v>
      </c>
      <c r="BY190" s="71">
        <f t="shared" si="647"/>
        <v>113</v>
      </c>
      <c r="BZ190" s="72">
        <f t="shared" si="648"/>
        <v>117</v>
      </c>
      <c r="CA190" s="71">
        <f t="shared" si="649"/>
        <v>153</v>
      </c>
      <c r="CB190" s="72">
        <f t="shared" si="650"/>
        <v>161</v>
      </c>
      <c r="CC190" s="71">
        <f t="shared" si="651"/>
        <v>198</v>
      </c>
      <c r="CD190" s="72">
        <f t="shared" si="652"/>
        <v>206</v>
      </c>
      <c r="CE190" s="71">
        <f t="shared" si="653"/>
        <v>249</v>
      </c>
      <c r="CF190" s="72">
        <f t="shared" si="654"/>
        <v>293</v>
      </c>
      <c r="CG190" s="71">
        <f t="shared" si="655"/>
        <v>322</v>
      </c>
      <c r="CH190" s="70">
        <f t="shared" si="656"/>
        <v>77</v>
      </c>
      <c r="CI190" s="71">
        <f t="shared" si="657"/>
        <v>81</v>
      </c>
      <c r="CJ190" s="72">
        <f t="shared" si="658"/>
        <v>111</v>
      </c>
      <c r="CK190" s="72">
        <f t="shared" si="659"/>
        <v>116</v>
      </c>
      <c r="CL190" s="72">
        <f t="shared" si="660"/>
        <v>152</v>
      </c>
      <c r="CM190" s="72">
        <f t="shared" si="661"/>
        <v>160</v>
      </c>
      <c r="CN190" s="72">
        <f t="shared" si="662"/>
        <v>187</v>
      </c>
      <c r="CO190" s="72">
        <f t="shared" si="663"/>
        <v>200</v>
      </c>
      <c r="CP190" s="72">
        <f t="shared" si="664"/>
        <v>243</v>
      </c>
      <c r="CQ190" s="72">
        <f t="shared" si="665"/>
        <v>287</v>
      </c>
      <c r="CR190" s="72">
        <f t="shared" si="666"/>
        <v>321</v>
      </c>
      <c r="CS190" s="72">
        <f t="shared" si="667"/>
        <v>335</v>
      </c>
      <c r="CT190" s="23">
        <f t="shared" si="668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 t="shared" si="669"/>
        <v>oprd_human_4N6H</v>
      </c>
      <c r="B191" s="3" t="s">
        <v>335</v>
      </c>
      <c r="C191" s="3" t="s">
        <v>87</v>
      </c>
      <c r="D191" s="3" t="str">
        <f>IFERROR(MID(VLOOKUP($B191,Seqs!$A:$B,2,0),E191,1),"")</f>
        <v>G</v>
      </c>
      <c r="E191" s="3">
        <v>39</v>
      </c>
      <c r="F191" s="3" t="str">
        <f>IFERROR(MID(VLOOKUP($B191,Seqs!$A:$B,2,0),G191,1),"")</f>
        <v>Y</v>
      </c>
      <c r="G191" s="3">
        <v>77</v>
      </c>
      <c r="H191" s="3" t="str">
        <f>IFERROR(MID(VLOOKUP($B191,Seqs!$A:$B,2,0),I191,1),"")</f>
        <v>T</v>
      </c>
      <c r="I191" s="23">
        <v>78</v>
      </c>
      <c r="J191" s="3" t="str">
        <f>IFERROR(MID(VLOOKUP($B191,Seqs!$A:$B,2,0),K191,1),"")</f>
        <v>K</v>
      </c>
      <c r="K191" s="23">
        <v>81</v>
      </c>
      <c r="L191" s="3" t="str">
        <f>IFERROR(MID(VLOOKUP($B191,Seqs!$A:$B,2,0),M191,1),"")</f>
        <v>T</v>
      </c>
      <c r="M191" s="3">
        <v>82</v>
      </c>
      <c r="N191" s="3" t="str">
        <f>IFERROR(MID(VLOOKUP($B191,Seqs!$A:$B,2,0),O191,1),"")</f>
        <v>M</v>
      </c>
      <c r="O191" s="3">
        <v>111</v>
      </c>
      <c r="P191" s="3" t="str">
        <f>IFERROR(MID(VLOOKUP($B191,Seqs!$A:$B,2,0),Q191,1),"")</f>
        <v>T</v>
      </c>
      <c r="Q191" s="3">
        <v>113</v>
      </c>
      <c r="R191" s="3" t="str">
        <f>IFERROR(MID(VLOOKUP($B191,Seqs!$A:$B,2,0),S191,1),"")</f>
        <v>F</v>
      </c>
      <c r="S191" s="3">
        <v>116</v>
      </c>
      <c r="T191" s="3" t="str">
        <f>IFERROR(MID(VLOOKUP($B191,Seqs!$A:$B,2,0),U191,1),"")</f>
        <v>G</v>
      </c>
      <c r="U191" s="3">
        <v>117</v>
      </c>
      <c r="V191" s="3" t="str">
        <f>IFERROR(MID(VLOOKUP($B191,Seqs!$A:$B,2,0),W191,1),"")</f>
        <v>H</v>
      </c>
      <c r="W191" s="3">
        <v>152</v>
      </c>
      <c r="X191" s="3" t="str">
        <f>IFERROR(MID(VLOOKUP($B191,Seqs!$A:$B,2,0),Y191,1),"")</f>
        <v>P</v>
      </c>
      <c r="Y191" s="3">
        <v>153</v>
      </c>
      <c r="Z191" s="3" t="str">
        <f>IFERROR(MID(VLOOKUP($B191,Seqs!$A:$B,2,0),AA191,1),"")</f>
        <v>R</v>
      </c>
      <c r="AA191" s="3">
        <v>160</v>
      </c>
      <c r="AB191" s="3" t="str">
        <f>IFERROR(MID(VLOOKUP($B191,Seqs!$A:$B,2,0),AC191,1),"")</f>
        <v>T</v>
      </c>
      <c r="AC191" s="9">
        <v>161</v>
      </c>
      <c r="AD191" s="3" t="str">
        <f>IFERROR(MID(VLOOKUP($B191,Seqs!$A:$B,2,0),AE191,1),"")</f>
        <v>A</v>
      </c>
      <c r="AE191" s="3">
        <v>187</v>
      </c>
      <c r="AF191" s="3" t="str">
        <f>IFERROR(MID(VLOOKUP($B191,Seqs!$A:$B,2,0),AG191,1),"")</f>
        <v>C</v>
      </c>
      <c r="AG191" s="3">
        <v>198</v>
      </c>
      <c r="AH191" s="3" t="str">
        <f>IFERROR(MID(VLOOKUP($B191,Seqs!$A:$B,2,0),AI191,1),"")</f>
        <v>L</v>
      </c>
      <c r="AI191" s="3">
        <v>200</v>
      </c>
      <c r="AJ191" s="3" t="str">
        <f>IFERROR(MID(VLOOKUP($B191,Seqs!$A:$B,2,0),AK191,1),"")</f>
        <v>S</v>
      </c>
      <c r="AK191" s="3">
        <v>206</v>
      </c>
      <c r="AL191" s="3" t="str">
        <f>IFERROR(MID(VLOOKUP($B191,Seqs!$A:$B,2,0),AM191,1),"")</f>
        <v>V</v>
      </c>
      <c r="AM191" s="3">
        <v>243</v>
      </c>
      <c r="AN191" s="3" t="str">
        <f>IFERROR(MID(VLOOKUP($B191,Seqs!$A:$B,2,0),AO191,1),"")</f>
        <v>S</v>
      </c>
      <c r="AO191" s="3">
        <v>249</v>
      </c>
      <c r="AP191" s="3" t="str">
        <f>IFERROR(MID(VLOOKUP($B191,Seqs!$A:$B,2,0),AQ191,1),"")</f>
        <v>V</v>
      </c>
      <c r="AQ191" s="3">
        <v>287</v>
      </c>
      <c r="AR191" s="3" t="str">
        <f>IFERROR(MID(VLOOKUP($B191,Seqs!$A:$B,2,0),AS191,1),"")</f>
        <v>D</v>
      </c>
      <c r="AS191" s="3">
        <v>293</v>
      </c>
      <c r="AT191" s="3" t="str">
        <f>IFERROR(MID(VLOOKUP($B191,Seqs!$A:$B,2,0),AU191,1),"")</f>
        <v>L</v>
      </c>
      <c r="AU191" s="3">
        <v>321</v>
      </c>
      <c r="AV191" s="3" t="str">
        <f>IFERROR(MID(VLOOKUP($B191,Seqs!$A:$B,2,0),AW191,1),"")</f>
        <v>D</v>
      </c>
      <c r="AW191" s="3">
        <v>322</v>
      </c>
      <c r="AX191" s="3" t="str">
        <f>IFERROR(MID(VLOOKUP($B191,Seqs!$A:$B,2,0),AY191,1),"")</f>
        <v>K</v>
      </c>
      <c r="AY191" s="3">
        <v>335</v>
      </c>
      <c r="AZ191" s="77" t="str">
        <f>VLOOKUP(B191,Classification!A:D,2,0)</f>
        <v>A</v>
      </c>
      <c r="BA191" s="94" t="str">
        <f>VLOOKUP(B191,Classification!A:D,4,0)</f>
        <v>Opioid</v>
      </c>
      <c r="BB191" s="27" t="b">
        <f t="shared" si="670"/>
        <v>1</v>
      </c>
      <c r="BC191" s="23">
        <f t="shared" si="643"/>
        <v>271</v>
      </c>
      <c r="BD191" s="16" t="s">
        <v>1383</v>
      </c>
      <c r="BE191" s="3" t="s">
        <v>1381</v>
      </c>
      <c r="BF191" s="119">
        <v>1.8</v>
      </c>
      <c r="BG191" s="49" t="s">
        <v>1384</v>
      </c>
      <c r="BH191" s="49" t="s">
        <v>1384</v>
      </c>
      <c r="BJ191" s="70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0">
        <f t="shared" si="644"/>
        <v>39</v>
      </c>
      <c r="BW191" s="71">
        <f t="shared" si="645"/>
        <v>78</v>
      </c>
      <c r="BX191" s="72">
        <f t="shared" si="646"/>
        <v>82</v>
      </c>
      <c r="BY191" s="71">
        <f t="shared" si="647"/>
        <v>113</v>
      </c>
      <c r="BZ191" s="72">
        <f t="shared" si="648"/>
        <v>117</v>
      </c>
      <c r="CA191" s="71">
        <f t="shared" si="649"/>
        <v>153</v>
      </c>
      <c r="CB191" s="72">
        <f t="shared" si="650"/>
        <v>161</v>
      </c>
      <c r="CC191" s="71">
        <f t="shared" si="651"/>
        <v>198</v>
      </c>
      <c r="CD191" s="72">
        <f t="shared" si="652"/>
        <v>206</v>
      </c>
      <c r="CE191" s="71">
        <f t="shared" si="653"/>
        <v>249</v>
      </c>
      <c r="CF191" s="72">
        <f t="shared" si="654"/>
        <v>293</v>
      </c>
      <c r="CG191" s="71">
        <f t="shared" si="655"/>
        <v>322</v>
      </c>
      <c r="CH191" s="70">
        <f t="shared" si="656"/>
        <v>77</v>
      </c>
      <c r="CI191" s="71">
        <f t="shared" si="657"/>
        <v>81</v>
      </c>
      <c r="CJ191" s="72">
        <f t="shared" si="658"/>
        <v>111</v>
      </c>
      <c r="CK191" s="72">
        <f t="shared" si="659"/>
        <v>116</v>
      </c>
      <c r="CL191" s="72">
        <f t="shared" si="660"/>
        <v>152</v>
      </c>
      <c r="CM191" s="72">
        <f t="shared" si="661"/>
        <v>160</v>
      </c>
      <c r="CN191" s="72">
        <f t="shared" si="662"/>
        <v>187</v>
      </c>
      <c r="CO191" s="72">
        <f t="shared" si="663"/>
        <v>200</v>
      </c>
      <c r="CP191" s="72">
        <f t="shared" si="664"/>
        <v>243</v>
      </c>
      <c r="CQ191" s="72">
        <f t="shared" si="665"/>
        <v>287</v>
      </c>
      <c r="CR191" s="72">
        <f t="shared" si="666"/>
        <v>321</v>
      </c>
      <c r="CS191" s="72">
        <f t="shared" si="667"/>
        <v>335</v>
      </c>
      <c r="CT191" s="23">
        <f t="shared" si="668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s="2" customFormat="1" x14ac:dyDescent="0.2">
      <c r="A192" s="3" t="str">
        <f t="shared" si="669"/>
        <v>oprd_human_4RWD</v>
      </c>
      <c r="B192" s="1" t="s">
        <v>335</v>
      </c>
      <c r="C192" s="1" t="s">
        <v>1344</v>
      </c>
      <c r="D192" s="3" t="str">
        <f>IFERROR(MID(VLOOKUP($B192,Seqs!$A:$B,2,0),E192,1),"")</f>
        <v>A</v>
      </c>
      <c r="E192" s="3">
        <v>43</v>
      </c>
      <c r="F192" s="3" t="str">
        <f>IFERROR(MID(VLOOKUP($B192,Seqs!$A:$B,2,0),G192,1),"")</f>
        <v>Y</v>
      </c>
      <c r="G192" s="3">
        <v>77</v>
      </c>
      <c r="H192" s="3" t="str">
        <f>IFERROR(MID(VLOOKUP($B192,Seqs!$A:$B,2,0),I192,1),"")</f>
        <v>T</v>
      </c>
      <c r="I192" s="23">
        <v>78</v>
      </c>
      <c r="J192" s="3" t="str">
        <f>IFERROR(MID(VLOOKUP($B192,Seqs!$A:$B,2,0),K192,1),"")</f>
        <v>K</v>
      </c>
      <c r="K192" s="23">
        <v>81</v>
      </c>
      <c r="L192" s="3" t="str">
        <f>IFERROR(MID(VLOOKUP($B192,Seqs!$A:$B,2,0),M192,1),"")</f>
        <v>T</v>
      </c>
      <c r="M192" s="3">
        <v>82</v>
      </c>
      <c r="N192" s="3" t="str">
        <f>IFERROR(MID(VLOOKUP($B192,Seqs!$A:$B,2,0),O192,1),"")</f>
        <v>M</v>
      </c>
      <c r="O192" s="3">
        <v>111</v>
      </c>
      <c r="P192" s="3" t="str">
        <f>IFERROR(MID(VLOOKUP($B192,Seqs!$A:$B,2,0),Q192,1),"")</f>
        <v>T</v>
      </c>
      <c r="Q192" s="3">
        <v>113</v>
      </c>
      <c r="R192" s="3" t="str">
        <f>IFERROR(MID(VLOOKUP($B192,Seqs!$A:$B,2,0),S192,1),"")</f>
        <v>F</v>
      </c>
      <c r="S192" s="3">
        <v>116</v>
      </c>
      <c r="T192" s="3" t="str">
        <f>IFERROR(MID(VLOOKUP($B192,Seqs!$A:$B,2,0),U192,1),"")</f>
        <v>G</v>
      </c>
      <c r="U192" s="3">
        <v>117</v>
      </c>
      <c r="V192" s="3" t="str">
        <f>IFERROR(MID(VLOOKUP($B192,Seqs!$A:$B,2,0),W192,1),"")</f>
        <v>H</v>
      </c>
      <c r="W192" s="3">
        <v>152</v>
      </c>
      <c r="X192" s="3" t="str">
        <f>IFERROR(MID(VLOOKUP($B192,Seqs!$A:$B,2,0),Y192,1),"")</f>
        <v>P</v>
      </c>
      <c r="Y192" s="3">
        <v>153</v>
      </c>
      <c r="Z192" s="3" t="str">
        <f>IFERROR(MID(VLOOKUP($B192,Seqs!$A:$B,2,0),AA192,1),"")</f>
        <v>R</v>
      </c>
      <c r="AA192" s="3">
        <v>160</v>
      </c>
      <c r="AB192" s="3" t="str">
        <f>IFERROR(MID(VLOOKUP($B192,Seqs!$A:$B,2,0),AC192,1),"")</f>
        <v>T</v>
      </c>
      <c r="AC192" s="9">
        <v>161</v>
      </c>
      <c r="AD192" s="3" t="str">
        <f>IFERROR(MID(VLOOKUP($B192,Seqs!$A:$B,2,0),AE192,1),"")</f>
        <v>A</v>
      </c>
      <c r="AE192" s="3">
        <v>187</v>
      </c>
      <c r="AF192" s="3" t="str">
        <f>IFERROR(MID(VLOOKUP($B192,Seqs!$A:$B,2,0),AG192,1),"")</f>
        <v>C</v>
      </c>
      <c r="AG192" s="3">
        <v>198</v>
      </c>
      <c r="AH192" s="3" t="str">
        <f>IFERROR(MID(VLOOKUP($B192,Seqs!$A:$B,2,0),AI192,1),"")</f>
        <v>L</v>
      </c>
      <c r="AI192" s="3">
        <v>200</v>
      </c>
      <c r="AJ192" s="3" t="str">
        <f>IFERROR(MID(VLOOKUP($B192,Seqs!$A:$B,2,0),AK192,1),"")</f>
        <v>S</v>
      </c>
      <c r="AK192" s="3">
        <v>206</v>
      </c>
      <c r="AL192" s="3" t="str">
        <f>IFERROR(MID(VLOOKUP($B192,Seqs!$A:$B,2,0),AM192,1),"")</f>
        <v>V</v>
      </c>
      <c r="AM192" s="3">
        <v>243</v>
      </c>
      <c r="AN192" s="3" t="str">
        <f>IFERROR(MID(VLOOKUP($B192,Seqs!$A:$B,2,0),AO192,1),"")</f>
        <v>S</v>
      </c>
      <c r="AO192" s="3">
        <v>249</v>
      </c>
      <c r="AP192" s="3" t="str">
        <f>IFERROR(MID(VLOOKUP($B192,Seqs!$A:$B,2,0),AQ192,1),"")</f>
        <v>V</v>
      </c>
      <c r="AQ192" s="3">
        <v>287</v>
      </c>
      <c r="AR192" s="3" t="str">
        <f>IFERROR(MID(VLOOKUP($B192,Seqs!$A:$B,2,0),AS192,1),"")</f>
        <v>D</v>
      </c>
      <c r="AS192" s="3">
        <v>293</v>
      </c>
      <c r="AT192" s="3" t="str">
        <f>IFERROR(MID(VLOOKUP($B192,Seqs!$A:$B,2,0),AU192,1),"")</f>
        <v>L</v>
      </c>
      <c r="AU192" s="3">
        <v>321</v>
      </c>
      <c r="AV192" s="3" t="str">
        <f>IFERROR(MID(VLOOKUP($B192,Seqs!$A:$B,2,0),AW192,1),"")</f>
        <v>D</v>
      </c>
      <c r="AW192" s="3">
        <v>322</v>
      </c>
      <c r="AX192" s="3" t="str">
        <f>IFERROR(MID(VLOOKUP($B192,Seqs!$A:$B,2,0),AY192,1),"")</f>
        <v>C</v>
      </c>
      <c r="AY192" s="3">
        <v>333</v>
      </c>
      <c r="AZ192" s="77" t="str">
        <f>VLOOKUP(B192,Classification!A:D,2,0)</f>
        <v>A</v>
      </c>
      <c r="BA192" s="94" t="str">
        <f>VLOOKUP(B192,Classification!A:D,4,0)</f>
        <v>Opioid</v>
      </c>
      <c r="BB192" s="27" t="b">
        <f t="shared" si="670"/>
        <v>1</v>
      </c>
      <c r="BC192" s="23">
        <f t="shared" si="643"/>
        <v>265</v>
      </c>
      <c r="BD192" s="16" t="s">
        <v>23</v>
      </c>
      <c r="BE192" s="3" t="s">
        <v>1381</v>
      </c>
      <c r="BF192" s="119">
        <v>2.7</v>
      </c>
      <c r="BG192" s="49" t="s">
        <v>1384</v>
      </c>
      <c r="BH192" s="49" t="s">
        <v>1384</v>
      </c>
      <c r="BI192" s="3"/>
      <c r="BJ192" s="70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0">
        <f t="shared" si="644"/>
        <v>43</v>
      </c>
      <c r="BW192" s="71">
        <f t="shared" si="645"/>
        <v>78</v>
      </c>
      <c r="BX192" s="72">
        <f t="shared" si="646"/>
        <v>82</v>
      </c>
      <c r="BY192" s="71">
        <f t="shared" si="647"/>
        <v>113</v>
      </c>
      <c r="BZ192" s="72">
        <f t="shared" si="648"/>
        <v>117</v>
      </c>
      <c r="CA192" s="71">
        <f t="shared" si="649"/>
        <v>153</v>
      </c>
      <c r="CB192" s="72">
        <f t="shared" si="650"/>
        <v>161</v>
      </c>
      <c r="CC192" s="71">
        <f t="shared" si="651"/>
        <v>198</v>
      </c>
      <c r="CD192" s="72">
        <f t="shared" si="652"/>
        <v>206</v>
      </c>
      <c r="CE192" s="71">
        <f t="shared" si="653"/>
        <v>249</v>
      </c>
      <c r="CF192" s="72">
        <f t="shared" si="654"/>
        <v>293</v>
      </c>
      <c r="CG192" s="71">
        <f t="shared" si="655"/>
        <v>322</v>
      </c>
      <c r="CH192" s="70">
        <f t="shared" si="656"/>
        <v>77</v>
      </c>
      <c r="CI192" s="71">
        <f t="shared" si="657"/>
        <v>81</v>
      </c>
      <c r="CJ192" s="72">
        <f t="shared" si="658"/>
        <v>111</v>
      </c>
      <c r="CK192" s="72">
        <f t="shared" si="659"/>
        <v>116</v>
      </c>
      <c r="CL192" s="72">
        <f t="shared" si="660"/>
        <v>152</v>
      </c>
      <c r="CM192" s="72">
        <f t="shared" si="661"/>
        <v>160</v>
      </c>
      <c r="CN192" s="72">
        <f t="shared" si="662"/>
        <v>187</v>
      </c>
      <c r="CO192" s="72">
        <f t="shared" si="663"/>
        <v>200</v>
      </c>
      <c r="CP192" s="72">
        <f t="shared" si="664"/>
        <v>243</v>
      </c>
      <c r="CQ192" s="72">
        <f t="shared" si="665"/>
        <v>287</v>
      </c>
      <c r="CR192" s="72">
        <f t="shared" si="666"/>
        <v>321</v>
      </c>
      <c r="CS192" s="72">
        <f t="shared" si="667"/>
        <v>333</v>
      </c>
      <c r="CT192" s="23">
        <f t="shared" si="668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1"/>
    </row>
    <row r="193" spans="1:1030" s="2" customFormat="1" x14ac:dyDescent="0.2">
      <c r="A193" s="3" t="str">
        <f t="shared" si="669"/>
        <v>oprd_mouse__wt</v>
      </c>
      <c r="B193" s="3" t="s">
        <v>916</v>
      </c>
      <c r="C193" s="3" t="s">
        <v>100</v>
      </c>
      <c r="D193" s="3" t="str">
        <f>IFERROR(MID(VLOOKUP($B193,Seqs!$A:$B,2,0),E193,1),"")</f>
        <v>R</v>
      </c>
      <c r="E193" s="3">
        <v>41</v>
      </c>
      <c r="F193" s="3" t="str">
        <f>IFERROR(MID(VLOOKUP($B193,Seqs!$A:$B,2,0),G193,1),"")</f>
        <v>Y</v>
      </c>
      <c r="G193" s="3">
        <v>77</v>
      </c>
      <c r="H193" s="3" t="str">
        <f>IFERROR(MID(VLOOKUP($B193,Seqs!$A:$B,2,0),I193,1),"")</f>
        <v>T</v>
      </c>
      <c r="I193" s="23">
        <v>78</v>
      </c>
      <c r="J193" s="3" t="str">
        <f>IFERROR(MID(VLOOKUP($B193,Seqs!$A:$B,2,0),K193,1),"")</f>
        <v>K</v>
      </c>
      <c r="K193" s="23">
        <v>81</v>
      </c>
      <c r="L193" s="3" t="str">
        <f>IFERROR(MID(VLOOKUP($B193,Seqs!$A:$B,2,0),M193,1),"")</f>
        <v>T</v>
      </c>
      <c r="M193" s="3">
        <v>82</v>
      </c>
      <c r="N193" s="3" t="str">
        <f>IFERROR(MID(VLOOKUP($B193,Seqs!$A:$B,2,0),O193,1),"")</f>
        <v>M</v>
      </c>
      <c r="O193" s="3">
        <v>111</v>
      </c>
      <c r="P193" s="3" t="str">
        <f>IFERROR(MID(VLOOKUP($B193,Seqs!$A:$B,2,0),Q193,1),"")</f>
        <v>T</v>
      </c>
      <c r="Q193" s="3">
        <v>113</v>
      </c>
      <c r="R193" s="3" t="str">
        <f>IFERROR(MID(VLOOKUP($B193,Seqs!$A:$B,2,0),S193,1),"")</f>
        <v>F</v>
      </c>
      <c r="S193" s="3">
        <v>116</v>
      </c>
      <c r="T193" s="3" t="str">
        <f>IFERROR(MID(VLOOKUP($B193,Seqs!$A:$B,2,0),U193,1),"")</f>
        <v>G</v>
      </c>
      <c r="U193" s="3">
        <v>117</v>
      </c>
      <c r="V193" s="3" t="str">
        <f>IFERROR(MID(VLOOKUP($B193,Seqs!$A:$B,2,0),W193,1),"")</f>
        <v>H</v>
      </c>
      <c r="W193" s="3">
        <v>152</v>
      </c>
      <c r="X193" s="3" t="str">
        <f>IFERROR(MID(VLOOKUP($B193,Seqs!$A:$B,2,0),Y193,1),"")</f>
        <v>P</v>
      </c>
      <c r="Y193" s="3">
        <v>153</v>
      </c>
      <c r="Z193" s="3" t="str">
        <f>IFERROR(MID(VLOOKUP($B193,Seqs!$A:$B,2,0),AA193,1),"")</f>
        <v>R</v>
      </c>
      <c r="AA193" s="3">
        <v>160</v>
      </c>
      <c r="AB193" s="3" t="str">
        <f>IFERROR(MID(VLOOKUP($B193,Seqs!$A:$B,2,0),AC193,1),"")</f>
        <v>T</v>
      </c>
      <c r="AC193" s="9">
        <v>161</v>
      </c>
      <c r="AD193" s="3" t="str">
        <f>IFERROR(MID(VLOOKUP($B193,Seqs!$A:$B,2,0),AE193,1),"")</f>
        <v>A</v>
      </c>
      <c r="AE193" s="3">
        <v>187</v>
      </c>
      <c r="AF193" s="3" t="str">
        <f>IFERROR(MID(VLOOKUP($B193,Seqs!$A:$B,2,0),AG193,1),"")</f>
        <v>C</v>
      </c>
      <c r="AG193" s="3">
        <v>198</v>
      </c>
      <c r="AH193" s="3" t="str">
        <f>IFERROR(MID(VLOOKUP($B193,Seqs!$A:$B,2,0),AI193,1),"")</f>
        <v>L</v>
      </c>
      <c r="AI193" s="3">
        <v>200</v>
      </c>
      <c r="AJ193" s="3" t="str">
        <f>IFERROR(MID(VLOOKUP($B193,Seqs!$A:$B,2,0),AK193,1),"")</f>
        <v>S</v>
      </c>
      <c r="AK193" s="3">
        <v>206</v>
      </c>
      <c r="AL193" s="3" t="str">
        <f>IFERROR(MID(VLOOKUP($B193,Seqs!$A:$B,2,0),AM193,1),"")</f>
        <v>V</v>
      </c>
      <c r="AM193" s="3">
        <v>243</v>
      </c>
      <c r="AN193" s="3" t="str">
        <f>IFERROR(MID(VLOOKUP($B193,Seqs!$A:$B,2,0),AO193,1),"")</f>
        <v>S</v>
      </c>
      <c r="AO193" s="3">
        <v>249</v>
      </c>
      <c r="AP193" s="3" t="str">
        <f>IFERROR(MID(VLOOKUP($B193,Seqs!$A:$B,2,0),AQ193,1),"")</f>
        <v>V</v>
      </c>
      <c r="AQ193" s="3">
        <v>287</v>
      </c>
      <c r="AR193" s="3" t="str">
        <f>IFERROR(MID(VLOOKUP($B193,Seqs!$A:$B,2,0),AS193,1),"")</f>
        <v>D</v>
      </c>
      <c r="AS193" s="3">
        <v>293</v>
      </c>
      <c r="AT193" s="3" t="str">
        <f>IFERROR(MID(VLOOKUP($B193,Seqs!$A:$B,2,0),AU193,1),"")</f>
        <v>L</v>
      </c>
      <c r="AU193" s="3">
        <v>321</v>
      </c>
      <c r="AV193" s="3" t="str">
        <f>IFERROR(MID(VLOOKUP($B193,Seqs!$A:$B,2,0),AW193,1),"")</f>
        <v>D</v>
      </c>
      <c r="AW193" s="3">
        <v>322</v>
      </c>
      <c r="AX193" s="3" t="str">
        <f>IFERROR(MID(VLOOKUP($B193,Seqs!$A:$B,2,0),AY193,1),"")</f>
        <v>T</v>
      </c>
      <c r="AY193" s="3">
        <v>335</v>
      </c>
      <c r="AZ193" s="77" t="str">
        <f>VLOOKUP(B193,Classification!A:D,2,0)</f>
        <v>A</v>
      </c>
      <c r="BA193" s="94" t="str">
        <f>VLOOKUP(B193,Classification!A:D,4,0)</f>
        <v>Opioid</v>
      </c>
      <c r="BB193" s="27" t="b">
        <f t="shared" si="670"/>
        <v>1</v>
      </c>
      <c r="BC193" s="23">
        <f t="shared" si="643"/>
        <v>269</v>
      </c>
      <c r="BD193" s="56" t="s">
        <v>1379</v>
      </c>
      <c r="BE193" s="3" t="s">
        <v>23</v>
      </c>
      <c r="BF193" s="119" t="s">
        <v>23</v>
      </c>
      <c r="BG193" s="49" t="s">
        <v>1379</v>
      </c>
      <c r="BH193" s="49" t="s">
        <v>1384</v>
      </c>
      <c r="BI193" s="1"/>
      <c r="BJ193" s="70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0">
        <f t="shared" si="644"/>
        <v>41</v>
      </c>
      <c r="BW193" s="71">
        <f t="shared" si="645"/>
        <v>78</v>
      </c>
      <c r="BX193" s="72">
        <f t="shared" si="646"/>
        <v>82</v>
      </c>
      <c r="BY193" s="71">
        <f t="shared" si="647"/>
        <v>113</v>
      </c>
      <c r="BZ193" s="72">
        <f t="shared" si="648"/>
        <v>117</v>
      </c>
      <c r="CA193" s="71">
        <f t="shared" si="649"/>
        <v>153</v>
      </c>
      <c r="CB193" s="72">
        <f t="shared" si="650"/>
        <v>161</v>
      </c>
      <c r="CC193" s="71">
        <f t="shared" si="651"/>
        <v>198</v>
      </c>
      <c r="CD193" s="72">
        <f t="shared" si="652"/>
        <v>206</v>
      </c>
      <c r="CE193" s="71">
        <f t="shared" si="653"/>
        <v>249</v>
      </c>
      <c r="CF193" s="72">
        <f t="shared" si="654"/>
        <v>293</v>
      </c>
      <c r="CG193" s="71">
        <f t="shared" si="655"/>
        <v>322</v>
      </c>
      <c r="CH193" s="70">
        <f t="shared" si="656"/>
        <v>77</v>
      </c>
      <c r="CI193" s="71">
        <f t="shared" si="657"/>
        <v>81</v>
      </c>
      <c r="CJ193" s="72">
        <f t="shared" si="658"/>
        <v>111</v>
      </c>
      <c r="CK193" s="72">
        <f t="shared" si="659"/>
        <v>116</v>
      </c>
      <c r="CL193" s="72">
        <f t="shared" si="660"/>
        <v>152</v>
      </c>
      <c r="CM193" s="72">
        <f t="shared" si="661"/>
        <v>160</v>
      </c>
      <c r="CN193" s="72">
        <f t="shared" si="662"/>
        <v>187</v>
      </c>
      <c r="CO193" s="72">
        <f t="shared" si="663"/>
        <v>200</v>
      </c>
      <c r="CP193" s="72">
        <f t="shared" si="664"/>
        <v>243</v>
      </c>
      <c r="CQ193" s="72">
        <f t="shared" si="665"/>
        <v>287</v>
      </c>
      <c r="CR193" s="72">
        <f t="shared" si="666"/>
        <v>321</v>
      </c>
      <c r="CS193" s="72">
        <f t="shared" si="667"/>
        <v>335</v>
      </c>
      <c r="CT193" s="23">
        <f t="shared" si="668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  <c r="AMP193" s="1"/>
    </row>
    <row r="194" spans="1:1030" s="2" customFormat="1" x14ac:dyDescent="0.2">
      <c r="A194" s="3" t="str">
        <f t="shared" si="669"/>
        <v>oprd_mouse_4EJ4</v>
      </c>
      <c r="B194" s="3" t="s">
        <v>916</v>
      </c>
      <c r="C194" s="3" t="s">
        <v>64</v>
      </c>
      <c r="D194" s="3" t="str">
        <f>IFERROR(MID(VLOOKUP($B194,Seqs!$A:$B,2,0),E194,1),"")</f>
        <v>R</v>
      </c>
      <c r="E194" s="3">
        <v>41</v>
      </c>
      <c r="F194" s="3" t="str">
        <f>IFERROR(MID(VLOOKUP($B194,Seqs!$A:$B,2,0),G194,1),"")</f>
        <v>Y</v>
      </c>
      <c r="G194" s="3">
        <v>77</v>
      </c>
      <c r="H194" s="3" t="str">
        <f>IFERROR(MID(VLOOKUP($B194,Seqs!$A:$B,2,0),I194,1),"")</f>
        <v>T</v>
      </c>
      <c r="I194" s="23">
        <v>78</v>
      </c>
      <c r="J194" s="3" t="str">
        <f>IFERROR(MID(VLOOKUP($B194,Seqs!$A:$B,2,0),K194,1),"")</f>
        <v>K</v>
      </c>
      <c r="K194" s="23">
        <v>81</v>
      </c>
      <c r="L194" s="3" t="str">
        <f>IFERROR(MID(VLOOKUP($B194,Seqs!$A:$B,2,0),M194,1),"")</f>
        <v>T</v>
      </c>
      <c r="M194" s="3">
        <v>82</v>
      </c>
      <c r="N194" s="3" t="str">
        <f>IFERROR(MID(VLOOKUP($B194,Seqs!$A:$B,2,0),O194,1),"")</f>
        <v>M</v>
      </c>
      <c r="O194" s="3">
        <v>111</v>
      </c>
      <c r="P194" s="3" t="str">
        <f>IFERROR(MID(VLOOKUP($B194,Seqs!$A:$B,2,0),Q194,1),"")</f>
        <v>T</v>
      </c>
      <c r="Q194" s="3">
        <v>113</v>
      </c>
      <c r="R194" s="3" t="str">
        <f>IFERROR(MID(VLOOKUP($B194,Seqs!$A:$B,2,0),S194,1),"")</f>
        <v>F</v>
      </c>
      <c r="S194" s="3">
        <v>116</v>
      </c>
      <c r="T194" s="3" t="str">
        <f>IFERROR(MID(VLOOKUP($B194,Seqs!$A:$B,2,0),U194,1),"")</f>
        <v>G</v>
      </c>
      <c r="U194" s="3">
        <v>117</v>
      </c>
      <c r="V194" s="3" t="str">
        <f>IFERROR(MID(VLOOKUP($B194,Seqs!$A:$B,2,0),W194,1),"")</f>
        <v>H</v>
      </c>
      <c r="W194" s="3">
        <v>152</v>
      </c>
      <c r="X194" s="3" t="str">
        <f>IFERROR(MID(VLOOKUP($B194,Seqs!$A:$B,2,0),Y194,1),"")</f>
        <v>P</v>
      </c>
      <c r="Y194" s="3">
        <v>153</v>
      </c>
      <c r="Z194" s="3" t="str">
        <f>IFERROR(MID(VLOOKUP($B194,Seqs!$A:$B,2,0),AA194,1),"")</f>
        <v>R</v>
      </c>
      <c r="AA194" s="3">
        <v>160</v>
      </c>
      <c r="AB194" s="3" t="str">
        <f>IFERROR(MID(VLOOKUP($B194,Seqs!$A:$B,2,0),AC194,1),"")</f>
        <v>T</v>
      </c>
      <c r="AC194" s="9">
        <v>161</v>
      </c>
      <c r="AD194" s="3" t="str">
        <f>IFERROR(MID(VLOOKUP($B194,Seqs!$A:$B,2,0),AE194,1),"")</f>
        <v>A</v>
      </c>
      <c r="AE194" s="3">
        <v>187</v>
      </c>
      <c r="AF194" s="3" t="str">
        <f>IFERROR(MID(VLOOKUP($B194,Seqs!$A:$B,2,0),AG194,1),"")</f>
        <v>C</v>
      </c>
      <c r="AG194" s="3">
        <v>198</v>
      </c>
      <c r="AH194" s="3" t="str">
        <f>IFERROR(MID(VLOOKUP($B194,Seqs!$A:$B,2,0),AI194,1),"")</f>
        <v>L</v>
      </c>
      <c r="AI194" s="3">
        <v>200</v>
      </c>
      <c r="AJ194" s="3" t="str">
        <f>IFERROR(MID(VLOOKUP($B194,Seqs!$A:$B,2,0),AK194,1),"")</f>
        <v>S</v>
      </c>
      <c r="AK194" s="3">
        <v>206</v>
      </c>
      <c r="AL194" s="3" t="str">
        <f>IFERROR(MID(VLOOKUP($B194,Seqs!$A:$B,2,0),AM194,1),"")</f>
        <v>L</v>
      </c>
      <c r="AM194" s="3">
        <v>238</v>
      </c>
      <c r="AN194" s="3" t="str">
        <f>IFERROR(MID(VLOOKUP($B194,Seqs!$A:$B,2,0),AO194,1),"")</f>
        <v>R</v>
      </c>
      <c r="AO194" s="3">
        <v>258</v>
      </c>
      <c r="AP194" s="3" t="str">
        <f>IFERROR(MID(VLOOKUP($B194,Seqs!$A:$B,2,0),AQ194,1),"")</f>
        <v>V</v>
      </c>
      <c r="AQ194" s="3">
        <v>287</v>
      </c>
      <c r="AR194" s="3" t="str">
        <f>IFERROR(MID(VLOOKUP($B194,Seqs!$A:$B,2,0),AS194,1),"")</f>
        <v>D</v>
      </c>
      <c r="AS194" s="3">
        <v>293</v>
      </c>
      <c r="AT194" s="3" t="str">
        <f>IFERROR(MID(VLOOKUP($B194,Seqs!$A:$B,2,0),AU194,1),"")</f>
        <v>L</v>
      </c>
      <c r="AU194" s="3">
        <v>321</v>
      </c>
      <c r="AV194" s="3" t="str">
        <f>IFERROR(MID(VLOOKUP($B194,Seqs!$A:$B,2,0),AW194,1),"")</f>
        <v>D</v>
      </c>
      <c r="AW194" s="3">
        <v>322</v>
      </c>
      <c r="AX194" s="3" t="str">
        <f>IFERROR(MID(VLOOKUP($B194,Seqs!$A:$B,2,0),AY194,1),"")</f>
        <v>C</v>
      </c>
      <c r="AY194" s="3">
        <v>328</v>
      </c>
      <c r="AZ194" s="77" t="str">
        <f>VLOOKUP(B194,Classification!A:D,2,0)</f>
        <v>A</v>
      </c>
      <c r="BA194" s="94" t="str">
        <f>VLOOKUP(B194,Classification!A:D,4,0)</f>
        <v>Opioid</v>
      </c>
      <c r="BB194" s="27" t="b">
        <f t="shared" si="670"/>
        <v>1</v>
      </c>
      <c r="BC194" s="23">
        <f t="shared" si="643"/>
        <v>248</v>
      </c>
      <c r="BD194" s="2" t="s">
        <v>1383</v>
      </c>
      <c r="BE194" s="3" t="s">
        <v>1381</v>
      </c>
      <c r="BF194" s="119">
        <v>3.4</v>
      </c>
      <c r="BG194" s="49" t="s">
        <v>1384</v>
      </c>
      <c r="BH194" s="49" t="s">
        <v>1384</v>
      </c>
      <c r="BI194" s="1"/>
      <c r="BJ194" s="70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0">
        <f t="shared" si="644"/>
        <v>41</v>
      </c>
      <c r="BW194" s="71">
        <f t="shared" si="645"/>
        <v>78</v>
      </c>
      <c r="BX194" s="72">
        <f t="shared" si="646"/>
        <v>82</v>
      </c>
      <c r="BY194" s="71">
        <f t="shared" si="647"/>
        <v>113</v>
      </c>
      <c r="BZ194" s="72">
        <f t="shared" si="648"/>
        <v>117</v>
      </c>
      <c r="CA194" s="71">
        <f t="shared" si="649"/>
        <v>153</v>
      </c>
      <c r="CB194" s="72">
        <f t="shared" si="650"/>
        <v>161</v>
      </c>
      <c r="CC194" s="71">
        <f t="shared" si="651"/>
        <v>198</v>
      </c>
      <c r="CD194" s="72">
        <f t="shared" si="652"/>
        <v>206</v>
      </c>
      <c r="CE194" s="71">
        <f t="shared" si="653"/>
        <v>258</v>
      </c>
      <c r="CF194" s="72">
        <f t="shared" si="654"/>
        <v>293</v>
      </c>
      <c r="CG194" s="71">
        <f t="shared" si="655"/>
        <v>322</v>
      </c>
      <c r="CH194" s="70">
        <f t="shared" si="656"/>
        <v>77</v>
      </c>
      <c r="CI194" s="71">
        <f t="shared" si="657"/>
        <v>81</v>
      </c>
      <c r="CJ194" s="72">
        <f t="shared" si="658"/>
        <v>111</v>
      </c>
      <c r="CK194" s="72">
        <f t="shared" si="659"/>
        <v>116</v>
      </c>
      <c r="CL194" s="72">
        <f t="shared" si="660"/>
        <v>152</v>
      </c>
      <c r="CM194" s="72">
        <f t="shared" si="661"/>
        <v>160</v>
      </c>
      <c r="CN194" s="72">
        <f t="shared" si="662"/>
        <v>187</v>
      </c>
      <c r="CO194" s="72">
        <f t="shared" si="663"/>
        <v>200</v>
      </c>
      <c r="CP194" s="72">
        <f t="shared" si="664"/>
        <v>238</v>
      </c>
      <c r="CQ194" s="72">
        <f t="shared" si="665"/>
        <v>287</v>
      </c>
      <c r="CR194" s="72">
        <f t="shared" si="666"/>
        <v>321</v>
      </c>
      <c r="CS194" s="72">
        <f t="shared" si="667"/>
        <v>328</v>
      </c>
      <c r="CT194" s="23">
        <f t="shared" si="668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  <c r="AMP194" s="1"/>
    </row>
    <row r="195" spans="1:1030" x14ac:dyDescent="0.2">
      <c r="A195" s="3" t="str">
        <f t="shared" si="669"/>
        <v>oprk_human__wt</v>
      </c>
      <c r="B195" s="3" t="s">
        <v>336</v>
      </c>
      <c r="C195" s="3" t="s">
        <v>100</v>
      </c>
      <c r="D195" s="3" t="str">
        <f>IFERROR(MID(VLOOKUP($B195,Seqs!$A:$B,2,0),E195,1),"")</f>
        <v>A</v>
      </c>
      <c r="E195" s="3">
        <v>57</v>
      </c>
      <c r="F195" s="3" t="str">
        <f>IFERROR(MID(VLOOKUP($B195,Seqs!$A:$B,2,0),G195,1),"")</f>
        <v>Y</v>
      </c>
      <c r="G195" s="3">
        <v>87</v>
      </c>
      <c r="H195" s="3" t="str">
        <f>IFERROR(MID(VLOOKUP($B195,Seqs!$A:$B,2,0),I195,1),"")</f>
        <v>T</v>
      </c>
      <c r="I195" s="23">
        <v>88</v>
      </c>
      <c r="J195" s="3" t="str">
        <f>IFERROR(MID(VLOOKUP($B195,Seqs!$A:$B,2,0),K195,1),"")</f>
        <v>K</v>
      </c>
      <c r="K195" s="23">
        <v>91</v>
      </c>
      <c r="L195" s="3" t="str">
        <f>IFERROR(MID(VLOOKUP($B195,Seqs!$A:$B,2,0),M195,1),"")</f>
        <v>T</v>
      </c>
      <c r="M195" s="3">
        <v>92</v>
      </c>
      <c r="N195" s="3" t="str">
        <f>IFERROR(MID(VLOOKUP($B195,Seqs!$A:$B,2,0),O195,1),"")</f>
        <v>N</v>
      </c>
      <c r="O195" s="105">
        <v>122</v>
      </c>
      <c r="P195" s="3" t="str">
        <f>IFERROR(MID(VLOOKUP($B195,Seqs!$A:$B,2,0),Q195,1),"")</f>
        <v>S</v>
      </c>
      <c r="Q195" s="3">
        <v>123</v>
      </c>
      <c r="R195" s="3" t="str">
        <f>IFERROR(MID(VLOOKUP($B195,Seqs!$A:$B,2,0),S195,1),"")</f>
        <v>F</v>
      </c>
      <c r="S195" s="3">
        <v>126</v>
      </c>
      <c r="T195" s="3" t="str">
        <f>IFERROR(MID(VLOOKUP($B195,Seqs!$A:$B,2,0),U195,1),"")</f>
        <v>G</v>
      </c>
      <c r="U195" s="3">
        <v>127</v>
      </c>
      <c r="V195" s="3" t="str">
        <f>IFERROR(MID(VLOOKUP($B195,Seqs!$A:$B,2,0),W195,1),"")</f>
        <v>H</v>
      </c>
      <c r="W195" s="3">
        <v>162</v>
      </c>
      <c r="X195" s="3" t="str">
        <f>IFERROR(MID(VLOOKUP($B195,Seqs!$A:$B,2,0),Y195,1),"")</f>
        <v>P</v>
      </c>
      <c r="Y195" s="3">
        <v>163</v>
      </c>
      <c r="Z195" s="3" t="str">
        <f>IFERROR(MID(VLOOKUP($B195,Seqs!$A:$B,2,0),AA195,1),"")</f>
        <v>R</v>
      </c>
      <c r="AA195" s="3">
        <v>170</v>
      </c>
      <c r="AB195" s="3" t="str">
        <f>IFERROR(MID(VLOOKUP($B195,Seqs!$A:$B,2,0),AC195,1),"")</f>
        <v>T</v>
      </c>
      <c r="AC195" s="9">
        <v>171</v>
      </c>
      <c r="AD195" s="3" t="str">
        <f>IFERROR(MID(VLOOKUP($B195,Seqs!$A:$B,2,0),AE195,1),"")</f>
        <v>G</v>
      </c>
      <c r="AE195" s="3">
        <v>197</v>
      </c>
      <c r="AF195" s="3" t="str">
        <f>IFERROR(MID(VLOOKUP($B195,Seqs!$A:$B,2,0),AG195,1),"")</f>
        <v>C</v>
      </c>
      <c r="AG195" s="3">
        <v>210</v>
      </c>
      <c r="AH195" s="3" t="str">
        <f>IFERROR(MID(VLOOKUP($B195,Seqs!$A:$B,2,0),AI195,1),"")</f>
        <v>L</v>
      </c>
      <c r="AI195" s="3">
        <v>212</v>
      </c>
      <c r="AJ195" s="3" t="str">
        <f>IFERROR(MID(VLOOKUP($B195,Seqs!$A:$B,2,0),AK195,1),"")</f>
        <v>D</v>
      </c>
      <c r="AK195" s="105">
        <v>218</v>
      </c>
      <c r="AL195" s="3" t="str">
        <f>IFERROR(MID(VLOOKUP($B195,Seqs!$A:$B,2,0),AM195,1),"")</f>
        <v>V</v>
      </c>
      <c r="AM195" s="3">
        <v>256</v>
      </c>
      <c r="AN195" s="3" t="str">
        <f>IFERROR(MID(VLOOKUP($B195,Seqs!$A:$B,2,0),AO195,1),"")</f>
        <v>S</v>
      </c>
      <c r="AO195" s="3">
        <v>262</v>
      </c>
      <c r="AP195" s="3" t="str">
        <f>IFERROR(MID(VLOOKUP($B195,Seqs!$A:$B,2,0),AQ195,1),"")</f>
        <v>G</v>
      </c>
      <c r="AQ195" s="3">
        <v>300</v>
      </c>
      <c r="AR195" s="3" t="str">
        <f>IFERROR(MID(VLOOKUP($B195,Seqs!$A:$B,2,0),AS195,1),"")</f>
        <v>S</v>
      </c>
      <c r="AS195" s="3">
        <v>305</v>
      </c>
      <c r="AT195" s="3" t="str">
        <f>IFERROR(MID(VLOOKUP($B195,Seqs!$A:$B,2,0),AU195,1),"")</f>
        <v>L</v>
      </c>
      <c r="AU195" s="3">
        <v>333</v>
      </c>
      <c r="AV195" s="3" t="str">
        <f>IFERROR(MID(VLOOKUP($B195,Seqs!$A:$B,2,0),AW195,1),"")</f>
        <v>D</v>
      </c>
      <c r="AW195" s="3">
        <v>334</v>
      </c>
      <c r="AX195" s="3" t="str">
        <f>IFERROR(MID(VLOOKUP($B195,Seqs!$A:$B,2,0),AY195,1),"")</f>
        <v>F</v>
      </c>
      <c r="AY195" s="3">
        <v>346</v>
      </c>
      <c r="AZ195" s="77" t="str">
        <f>VLOOKUP(B195,Classification!A:D,2,0)</f>
        <v>A</v>
      </c>
      <c r="BA195" s="94" t="str">
        <f>VLOOKUP(B195,Classification!A:D,4,0)</f>
        <v>Opioid</v>
      </c>
      <c r="BB195" s="27" t="b">
        <f t="shared" si="670"/>
        <v>1</v>
      </c>
      <c r="BC195" s="23">
        <f t="shared" si="643"/>
        <v>264</v>
      </c>
      <c r="BD195" s="56" t="s">
        <v>1379</v>
      </c>
      <c r="BE195" s="3" t="s">
        <v>23</v>
      </c>
      <c r="BF195" s="119" t="s">
        <v>23</v>
      </c>
      <c r="BG195" s="49" t="s">
        <v>1379</v>
      </c>
      <c r="BH195" s="49" t="s">
        <v>1384</v>
      </c>
      <c r="BI195" s="1"/>
      <c r="BJ195" s="70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0">
        <f t="shared" si="644"/>
        <v>57</v>
      </c>
      <c r="BW195" s="71">
        <f t="shared" si="645"/>
        <v>88</v>
      </c>
      <c r="BX195" s="72">
        <f t="shared" si="646"/>
        <v>92</v>
      </c>
      <c r="BY195" s="71">
        <f t="shared" si="647"/>
        <v>123</v>
      </c>
      <c r="BZ195" s="72">
        <f t="shared" si="648"/>
        <v>127</v>
      </c>
      <c r="CA195" s="71">
        <f t="shared" si="649"/>
        <v>163</v>
      </c>
      <c r="CB195" s="72">
        <f t="shared" si="650"/>
        <v>171</v>
      </c>
      <c r="CC195" s="71">
        <f t="shared" si="651"/>
        <v>210</v>
      </c>
      <c r="CD195" s="72">
        <f t="shared" si="652"/>
        <v>218</v>
      </c>
      <c r="CE195" s="71">
        <f t="shared" si="653"/>
        <v>262</v>
      </c>
      <c r="CF195" s="72">
        <f t="shared" si="654"/>
        <v>305</v>
      </c>
      <c r="CG195" s="71">
        <f t="shared" si="655"/>
        <v>334</v>
      </c>
      <c r="CH195" s="70">
        <f t="shared" si="656"/>
        <v>87</v>
      </c>
      <c r="CI195" s="71">
        <f t="shared" si="657"/>
        <v>91</v>
      </c>
      <c r="CJ195" s="72">
        <f t="shared" si="658"/>
        <v>122</v>
      </c>
      <c r="CK195" s="72">
        <f t="shared" si="659"/>
        <v>126</v>
      </c>
      <c r="CL195" s="72">
        <f t="shared" si="660"/>
        <v>162</v>
      </c>
      <c r="CM195" s="72">
        <f t="shared" si="661"/>
        <v>170</v>
      </c>
      <c r="CN195" s="72">
        <f t="shared" si="662"/>
        <v>197</v>
      </c>
      <c r="CO195" s="72">
        <f t="shared" si="663"/>
        <v>212</v>
      </c>
      <c r="CP195" s="72">
        <f t="shared" si="664"/>
        <v>256</v>
      </c>
      <c r="CQ195" s="72">
        <f t="shared" si="665"/>
        <v>300</v>
      </c>
      <c r="CR195" s="72">
        <f t="shared" si="666"/>
        <v>333</v>
      </c>
      <c r="CS195" s="72">
        <f t="shared" si="667"/>
        <v>346</v>
      </c>
      <c r="CT195" s="23">
        <f t="shared" si="668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x14ac:dyDescent="0.2">
      <c r="A196" s="3" t="str">
        <f t="shared" si="669"/>
        <v>oprk_human_4DJH</v>
      </c>
      <c r="B196" s="3" t="s">
        <v>336</v>
      </c>
      <c r="C196" s="3" t="s">
        <v>88</v>
      </c>
      <c r="D196" s="3" t="str">
        <f>IFERROR(MID(VLOOKUP($B196,Seqs!$A:$B,2,0),E196,1),"")</f>
        <v>A</v>
      </c>
      <c r="E196" s="3">
        <v>57</v>
      </c>
      <c r="F196" s="3" t="str">
        <f>IFERROR(MID(VLOOKUP($B196,Seqs!$A:$B,2,0),G196,1),"")</f>
        <v>Y</v>
      </c>
      <c r="G196" s="3">
        <v>87</v>
      </c>
      <c r="H196" s="3" t="str">
        <f>IFERROR(MID(VLOOKUP($B196,Seqs!$A:$B,2,0),I196,1),"")</f>
        <v>T</v>
      </c>
      <c r="I196" s="23">
        <v>88</v>
      </c>
      <c r="J196" s="3" t="str">
        <f>IFERROR(MID(VLOOKUP($B196,Seqs!$A:$B,2,0),K196,1),"")</f>
        <v>K</v>
      </c>
      <c r="K196" s="23">
        <v>91</v>
      </c>
      <c r="L196" s="3" t="str">
        <f>IFERROR(MID(VLOOKUP($B196,Seqs!$A:$B,2,0),M196,1),"")</f>
        <v>T</v>
      </c>
      <c r="M196" s="3">
        <v>92</v>
      </c>
      <c r="N196" s="3" t="str">
        <f>IFERROR(MID(VLOOKUP($B196,Seqs!$A:$B,2,0),O196,1),"")</f>
        <v>N</v>
      </c>
      <c r="O196" s="3">
        <v>122</v>
      </c>
      <c r="P196" s="3" t="str">
        <f>IFERROR(MID(VLOOKUP($B196,Seqs!$A:$B,2,0),Q196,1),"")</f>
        <v>S</v>
      </c>
      <c r="Q196" s="3">
        <v>123</v>
      </c>
      <c r="R196" s="3" t="str">
        <f>IFERROR(MID(VLOOKUP($B196,Seqs!$A:$B,2,0),S196,1),"")</f>
        <v>F</v>
      </c>
      <c r="S196" s="3">
        <v>126</v>
      </c>
      <c r="T196" s="3" t="str">
        <f>IFERROR(MID(VLOOKUP($B196,Seqs!$A:$B,2,0),U196,1),"")</f>
        <v>G</v>
      </c>
      <c r="U196" s="3">
        <v>127</v>
      </c>
      <c r="V196" s="3" t="str">
        <f>IFERROR(MID(VLOOKUP($B196,Seqs!$A:$B,2,0),W196,1),"")</f>
        <v>H</v>
      </c>
      <c r="W196" s="3">
        <v>162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R</v>
      </c>
      <c r="AC196" s="9">
        <v>170</v>
      </c>
      <c r="AD196" s="3" t="str">
        <f>IFERROR(MID(VLOOKUP($B196,Seqs!$A:$B,2,0),AE196,1),"")</f>
        <v>G</v>
      </c>
      <c r="AE196" s="3">
        <v>197</v>
      </c>
      <c r="AF196" s="3" t="str">
        <f>IFERROR(MID(VLOOKUP($B196,Seqs!$A:$B,2,0),AG196,1),"")</f>
        <v>C</v>
      </c>
      <c r="AG196" s="3">
        <v>210</v>
      </c>
      <c r="AH196" s="3" t="str">
        <f>IFERROR(MID(VLOOKUP($B196,Seqs!$A:$B,2,0),AI196,1),"")</f>
        <v>L</v>
      </c>
      <c r="AI196" s="3">
        <v>212</v>
      </c>
      <c r="AJ196" s="3" t="str">
        <f>IFERROR(MID(VLOOKUP($B196,Seqs!$A:$B,2,0),AK196,1),"")</f>
        <v>D</v>
      </c>
      <c r="AK196" s="3">
        <v>218</v>
      </c>
      <c r="AL196" s="3" t="str">
        <f>IFERROR(MID(VLOOKUP($B196,Seqs!$A:$B,2,0),AM196,1),"")</f>
        <v>V</v>
      </c>
      <c r="AM196" s="3">
        <v>256</v>
      </c>
      <c r="AN196" s="3" t="str">
        <f>IFERROR(MID(VLOOKUP($B196,Seqs!$A:$B,2,0),AO196,1),"")</f>
        <v>R</v>
      </c>
      <c r="AO196" s="3">
        <v>267</v>
      </c>
      <c r="AP196" s="3" t="str">
        <f>IFERROR(MID(VLOOKUP($B196,Seqs!$A:$B,2,0),AQ196,1),"")</f>
        <v>G</v>
      </c>
      <c r="AQ196" s="3">
        <v>300</v>
      </c>
      <c r="AR196" s="3" t="str">
        <f>IFERROR(MID(VLOOKUP($B196,Seqs!$A:$B,2,0),AS196,1),"")</f>
        <v>A</v>
      </c>
      <c r="AS196" s="3">
        <v>308</v>
      </c>
      <c r="AT196" s="3" t="str">
        <f>IFERROR(MID(VLOOKUP($B196,Seqs!$A:$B,2,0),AU196,1),"")</f>
        <v>L</v>
      </c>
      <c r="AU196" s="3">
        <v>333</v>
      </c>
      <c r="AV196" s="3" t="str">
        <f>IFERROR(MID(VLOOKUP($B196,Seqs!$A:$B,2,0),AW196,1),"")</f>
        <v>D</v>
      </c>
      <c r="AW196" s="3">
        <v>334</v>
      </c>
      <c r="AX196" s="3" t="str">
        <f>IFERROR(MID(VLOOKUP($B196,Seqs!$A:$B,2,0),AY196,1),"")</f>
        <v>F</v>
      </c>
      <c r="AY196" s="3">
        <v>346</v>
      </c>
      <c r="AZ196" s="77" t="str">
        <f>VLOOKUP(B196,Classification!A:D,2,0)</f>
        <v>A</v>
      </c>
      <c r="BA196" s="94" t="str">
        <f>VLOOKUP(B196,Classification!A:D,4,0)</f>
        <v>Opioid</v>
      </c>
      <c r="BB196" s="27" t="b">
        <f t="shared" si="670"/>
        <v>1</v>
      </c>
      <c r="BC196" s="23">
        <f t="shared" si="643"/>
        <v>250</v>
      </c>
      <c r="BD196" s="2" t="s">
        <v>1383</v>
      </c>
      <c r="BE196" s="3" t="s">
        <v>1381</v>
      </c>
      <c r="BF196" s="119">
        <v>2.9</v>
      </c>
      <c r="BG196" s="49" t="s">
        <v>1384</v>
      </c>
      <c r="BH196" s="49" t="s">
        <v>1384</v>
      </c>
      <c r="BI196" s="1"/>
      <c r="BJ196" s="70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0">
        <f t="shared" si="644"/>
        <v>57</v>
      </c>
      <c r="BW196" s="71">
        <f t="shared" si="645"/>
        <v>88</v>
      </c>
      <c r="BX196" s="72">
        <f t="shared" si="646"/>
        <v>92</v>
      </c>
      <c r="BY196" s="71">
        <f t="shared" si="647"/>
        <v>123</v>
      </c>
      <c r="BZ196" s="72">
        <f t="shared" si="648"/>
        <v>127</v>
      </c>
      <c r="CA196" s="71" t="str">
        <f t="shared" si="649"/>
        <v>-</v>
      </c>
      <c r="CB196" s="72">
        <f t="shared" si="650"/>
        <v>170</v>
      </c>
      <c r="CC196" s="71">
        <f t="shared" si="651"/>
        <v>210</v>
      </c>
      <c r="CD196" s="72">
        <f t="shared" si="652"/>
        <v>218</v>
      </c>
      <c r="CE196" s="71">
        <f t="shared" si="653"/>
        <v>267</v>
      </c>
      <c r="CF196" s="72">
        <f t="shared" si="654"/>
        <v>308</v>
      </c>
      <c r="CG196" s="71">
        <f t="shared" si="655"/>
        <v>334</v>
      </c>
      <c r="CH196" s="70">
        <f t="shared" si="656"/>
        <v>87</v>
      </c>
      <c r="CI196" s="71">
        <f t="shared" si="657"/>
        <v>91</v>
      </c>
      <c r="CJ196" s="72">
        <f t="shared" si="658"/>
        <v>122</v>
      </c>
      <c r="CK196" s="72">
        <f t="shared" si="659"/>
        <v>126</v>
      </c>
      <c r="CL196" s="72">
        <f t="shared" si="660"/>
        <v>162</v>
      </c>
      <c r="CM196" s="72" t="str">
        <f t="shared" si="661"/>
        <v>-</v>
      </c>
      <c r="CN196" s="72">
        <f t="shared" si="662"/>
        <v>197</v>
      </c>
      <c r="CO196" s="72">
        <f t="shared" si="663"/>
        <v>212</v>
      </c>
      <c r="CP196" s="72">
        <f t="shared" si="664"/>
        <v>256</v>
      </c>
      <c r="CQ196" s="72">
        <f t="shared" si="665"/>
        <v>300</v>
      </c>
      <c r="CR196" s="72">
        <f t="shared" si="666"/>
        <v>333</v>
      </c>
      <c r="CS196" s="72">
        <f t="shared" si="667"/>
        <v>346</v>
      </c>
      <c r="CT196" s="23">
        <f t="shared" si="668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s="12" customFormat="1" x14ac:dyDescent="0.2">
      <c r="A197" s="9" t="str">
        <f>CONCATENATE(B197,"_",C197)</f>
        <v>oprk_human_6B73</v>
      </c>
      <c r="B197" s="9" t="s">
        <v>336</v>
      </c>
      <c r="C197" s="9" t="s">
        <v>1476</v>
      </c>
      <c r="D197" s="9" t="str">
        <f>IFERROR(MID(VLOOKUP($B197,Seqs!$A:$B,2,0),E197,1),"")</f>
        <v>A</v>
      </c>
      <c r="E197" s="9">
        <v>57</v>
      </c>
      <c r="F197" s="9" t="str">
        <f>IFERROR(MID(VLOOKUP($B197,Seqs!$A:$B,2,0),G197,1),"")</f>
        <v>Y</v>
      </c>
      <c r="G197" s="9">
        <v>87</v>
      </c>
      <c r="H197" s="9" t="str">
        <f>IFERROR(MID(VLOOKUP($B197,Seqs!$A:$B,2,0),I197,1),"")</f>
        <v/>
      </c>
      <c r="I197" s="109" t="s">
        <v>23</v>
      </c>
      <c r="J197" s="9" t="str">
        <f>IFERROR(MID(VLOOKUP($B197,Seqs!$A:$B,2,0),K197,1),"")</f>
        <v/>
      </c>
      <c r="K197" s="109" t="s">
        <v>23</v>
      </c>
      <c r="L197" s="9" t="str">
        <f>IFERROR(MID(VLOOKUP($B197,Seqs!$A:$B,2,0),M197,1),"")</f>
        <v>T</v>
      </c>
      <c r="M197" s="9">
        <v>92</v>
      </c>
      <c r="N197" s="9" t="str">
        <f>IFERROR(MID(VLOOKUP($B197,Seqs!$A:$B,2,0),O197,1),"")</f>
        <v>N</v>
      </c>
      <c r="O197" s="9">
        <v>122</v>
      </c>
      <c r="P197" s="9" t="str">
        <f>IFERROR(MID(VLOOKUP($B197,Seqs!$A:$B,2,0),Q197,1),"")</f>
        <v>S</v>
      </c>
      <c r="Q197" s="9">
        <v>123</v>
      </c>
      <c r="R197" s="9" t="str">
        <f>IFERROR(MID(VLOOKUP($B197,Seqs!$A:$B,2,0),S197,1),"")</f>
        <v>F</v>
      </c>
      <c r="S197" s="9">
        <v>126</v>
      </c>
      <c r="T197" s="9" t="str">
        <f>IFERROR(MID(VLOOKUP($B197,Seqs!$A:$B,2,0),U197,1),"")</f>
        <v>G</v>
      </c>
      <c r="U197" s="9">
        <v>127</v>
      </c>
      <c r="V197" s="9" t="str">
        <f>IFERROR(MID(VLOOKUP($B197,Seqs!$A:$B,2,0),W197,1),"")</f>
        <v>H</v>
      </c>
      <c r="W197" s="9">
        <v>162</v>
      </c>
      <c r="X197" s="9" t="str">
        <f>IFERROR(MID(VLOOKUP($B197,Seqs!$A:$B,2,0),Y197,1),"")</f>
        <v>P</v>
      </c>
      <c r="Y197" s="9">
        <v>163</v>
      </c>
      <c r="Z197" s="9" t="str">
        <f>IFERROR(MID(VLOOKUP($B197,Seqs!$A:$B,2,0),AA197,1),"")</f>
        <v>R</v>
      </c>
      <c r="AA197" s="9">
        <v>170</v>
      </c>
      <c r="AB197" s="9" t="str">
        <f>IFERROR(MID(VLOOKUP($B197,Seqs!$A:$B,2,0),AC197,1),"")</f>
        <v>T</v>
      </c>
      <c r="AC197" s="9">
        <v>171</v>
      </c>
      <c r="AD197" s="9" t="str">
        <f>IFERROR(MID(VLOOKUP($B197,Seqs!$A:$B,2,0),AE197,1),"")</f>
        <v>G</v>
      </c>
      <c r="AE197" s="9">
        <v>197</v>
      </c>
      <c r="AF197" s="9" t="str">
        <f>IFERROR(MID(VLOOKUP($B197,Seqs!$A:$B,2,0),AG197,1),"")</f>
        <v>C</v>
      </c>
      <c r="AG197" s="9">
        <v>210</v>
      </c>
      <c r="AH197" s="9" t="str">
        <f>IFERROR(MID(VLOOKUP($B197,Seqs!$A:$B,2,0),AI197,1),"")</f>
        <v>L</v>
      </c>
      <c r="AI197" s="9">
        <v>212</v>
      </c>
      <c r="AJ197" s="9" t="str">
        <f>IFERROR(MID(VLOOKUP($B197,Seqs!$A:$B,2,0),AK197,1),"")</f>
        <v>W</v>
      </c>
      <c r="AK197" s="9">
        <v>221</v>
      </c>
      <c r="AL197" s="9" t="str">
        <f>IFERROR(MID(VLOOKUP($B197,Seqs!$A:$B,2,0),AM197,1),"")</f>
        <v>S</v>
      </c>
      <c r="AM197" s="9">
        <v>255</v>
      </c>
      <c r="AN197" s="9" t="str">
        <f>IFERROR(MID(VLOOKUP($B197,Seqs!$A:$B,2,0),AO197,1),"")</f>
        <v>S</v>
      </c>
      <c r="AO197" s="9">
        <v>262</v>
      </c>
      <c r="AP197" s="9" t="str">
        <f>IFERROR(MID(VLOOKUP($B197,Seqs!$A:$B,2,0),AQ197,1),"")</f>
        <v>G</v>
      </c>
      <c r="AQ197" s="9">
        <v>300</v>
      </c>
      <c r="AR197" s="9" t="str">
        <f>IFERROR(MID(VLOOKUP($B197,Seqs!$A:$B,2,0),AS197,1),"")</f>
        <v>S</v>
      </c>
      <c r="AS197" s="9">
        <v>305</v>
      </c>
      <c r="AT197" s="9" t="str">
        <f>IFERROR(MID(VLOOKUP($B197,Seqs!$A:$B,2,0),AU197,1),"")</f>
        <v>I</v>
      </c>
      <c r="AU197" s="9">
        <v>328</v>
      </c>
      <c r="AV197" s="9" t="str">
        <f>IFERROR(MID(VLOOKUP($B197,Seqs!$A:$B,2,0),AW197,1),"")</f>
        <v/>
      </c>
      <c r="AW197" s="9" t="s">
        <v>23</v>
      </c>
      <c r="AX197" s="9" t="str">
        <f>IFERROR(MID(VLOOKUP($B197,Seqs!$A:$B,2,0),AY197,1),"")</f>
        <v/>
      </c>
      <c r="AY197" s="9" t="s">
        <v>23</v>
      </c>
      <c r="AZ197" s="110" t="str">
        <f>VLOOKUP(B197,Classification!A:D,2,0)</f>
        <v>A</v>
      </c>
      <c r="BA197" s="98" t="str">
        <f>VLOOKUP(B197,Classification!A:D,4,0)</f>
        <v>Opioid</v>
      </c>
      <c r="BB197" s="36" t="b">
        <f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109">
        <f>_xlfn.AGGREGATE(9,6,CH197:CS197)-_xlfn.AGGREGATE(9,6,BV197:CG197)+12</f>
        <v>240</v>
      </c>
      <c r="BD197" s="40" t="s">
        <v>1382</v>
      </c>
      <c r="BE197" s="9" t="s">
        <v>1297</v>
      </c>
      <c r="BF197" s="120">
        <v>3.1</v>
      </c>
      <c r="BG197" s="51" t="s">
        <v>1</v>
      </c>
      <c r="BH197" s="51" t="s">
        <v>1</v>
      </c>
      <c r="BJ197" s="111" t="s">
        <v>1293</v>
      </c>
      <c r="BK197" s="112" t="s">
        <v>1293</v>
      </c>
      <c r="BL197" s="112" t="s">
        <v>1293</v>
      </c>
      <c r="BM197" s="112" t="s">
        <v>1293</v>
      </c>
      <c r="BN197" s="112" t="s">
        <v>1293</v>
      </c>
      <c r="BO197" s="112" t="s">
        <v>1293</v>
      </c>
      <c r="BP197" s="112" t="s">
        <v>1293</v>
      </c>
      <c r="BQ197" s="112" t="s">
        <v>1293</v>
      </c>
      <c r="BR197" s="112" t="s">
        <v>1293</v>
      </c>
      <c r="BS197" s="112" t="s">
        <v>1293</v>
      </c>
      <c r="BT197" s="112" t="s">
        <v>1293</v>
      </c>
      <c r="BU197" s="112" t="s">
        <v>1293</v>
      </c>
      <c r="BV197" s="111">
        <f>E197</f>
        <v>57</v>
      </c>
      <c r="BW197" s="113" t="str">
        <f>I197</f>
        <v>-</v>
      </c>
      <c r="BX197" s="114">
        <f>M197</f>
        <v>92</v>
      </c>
      <c r="BY197" s="113">
        <f>Q197</f>
        <v>123</v>
      </c>
      <c r="BZ197" s="114">
        <f>U197</f>
        <v>127</v>
      </c>
      <c r="CA197" s="113">
        <f>Y197</f>
        <v>163</v>
      </c>
      <c r="CB197" s="114">
        <f>AC197</f>
        <v>171</v>
      </c>
      <c r="CC197" s="113">
        <f>AG197</f>
        <v>210</v>
      </c>
      <c r="CD197" s="114">
        <f>AK197</f>
        <v>221</v>
      </c>
      <c r="CE197" s="113">
        <f>AO197</f>
        <v>262</v>
      </c>
      <c r="CF197" s="114">
        <f>AS197</f>
        <v>305</v>
      </c>
      <c r="CG197" s="113" t="str">
        <f>AW197</f>
        <v>-</v>
      </c>
      <c r="CH197" s="111">
        <f>G197</f>
        <v>87</v>
      </c>
      <c r="CI197" s="113" t="str">
        <f>K197</f>
        <v>-</v>
      </c>
      <c r="CJ197" s="114">
        <f>O197</f>
        <v>122</v>
      </c>
      <c r="CK197" s="114">
        <f>S197</f>
        <v>126</v>
      </c>
      <c r="CL197" s="114">
        <f>W197</f>
        <v>162</v>
      </c>
      <c r="CM197" s="114">
        <f>AA197</f>
        <v>170</v>
      </c>
      <c r="CN197" s="114">
        <f>AE197</f>
        <v>197</v>
      </c>
      <c r="CO197" s="114">
        <f>AI197</f>
        <v>212</v>
      </c>
      <c r="CP197" s="114">
        <f>AM197</f>
        <v>255</v>
      </c>
      <c r="CQ197" s="114">
        <f>AQ197</f>
        <v>300</v>
      </c>
      <c r="CR197" s="114">
        <f>AU197</f>
        <v>328</v>
      </c>
      <c r="CS197" s="114" t="str">
        <f>AY197</f>
        <v>-</v>
      </c>
      <c r="CT197" s="109" t="e">
        <f>M197-K197</f>
        <v>#VALUE!</v>
      </c>
    </row>
    <row r="198" spans="1:1030" x14ac:dyDescent="0.2">
      <c r="A198" s="3" t="str">
        <f t="shared" si="669"/>
        <v>oprm_mouse__wt</v>
      </c>
      <c r="B198" s="3" t="s">
        <v>918</v>
      </c>
      <c r="C198" s="3" t="s">
        <v>100</v>
      </c>
      <c r="D198" s="3" t="str">
        <f>IFERROR(MID(VLOOKUP($B198,Seqs!$A:$B,2,0),E198,1),"")</f>
        <v>M</v>
      </c>
      <c r="E198" s="3">
        <v>65</v>
      </c>
      <c r="F198" s="3" t="str">
        <f>IFERROR(MID(VLOOKUP($B198,Seqs!$A:$B,2,0),G198,1),"")</f>
        <v>Y</v>
      </c>
      <c r="G198" s="3">
        <v>96</v>
      </c>
      <c r="H198" s="3" t="str">
        <f>IFERROR(MID(VLOOKUP($B198,Seqs!$A:$B,2,0),I198,1),"")</f>
        <v>T</v>
      </c>
      <c r="I198" s="23">
        <v>97</v>
      </c>
      <c r="J198" s="3" t="str">
        <f>IFERROR(MID(VLOOKUP($B198,Seqs!$A:$B,2,0),K198,1),"")</f>
        <v>K</v>
      </c>
      <c r="K198" s="23">
        <v>100</v>
      </c>
      <c r="L198" s="3" t="str">
        <f>IFERROR(MID(VLOOKUP($B198,Seqs!$A:$B,2,0),M198,1),"")</f>
        <v>T</v>
      </c>
      <c r="M198" s="3">
        <v>101</v>
      </c>
      <c r="N198" s="3" t="str">
        <f>IFERROR(MID(VLOOKUP($B198,Seqs!$A:$B,2,0),O198,1),"")</f>
        <v>M</v>
      </c>
      <c r="O198" s="3">
        <v>130</v>
      </c>
      <c r="P198" s="3" t="str">
        <f>IFERROR(MID(VLOOKUP($B198,Seqs!$A:$B,2,0),Q198,1),"")</f>
        <v>T</v>
      </c>
      <c r="Q198" s="3">
        <v>132</v>
      </c>
      <c r="R198" s="3" t="str">
        <f>IFERROR(MID(VLOOKUP($B198,Seqs!$A:$B,2,0),S198,1),"")</f>
        <v>F</v>
      </c>
      <c r="S198" s="3">
        <v>135</v>
      </c>
      <c r="T198" s="3" t="str">
        <f>IFERROR(MID(VLOOKUP($B198,Seqs!$A:$B,2,0),U198,1),"")</f>
        <v>G</v>
      </c>
      <c r="U198" s="3">
        <v>136</v>
      </c>
      <c r="V198" s="3" t="str">
        <f>IFERROR(MID(VLOOKUP($B198,Seqs!$A:$B,2,0),W198,1),"")</f>
        <v>H</v>
      </c>
      <c r="W198" s="3">
        <v>171</v>
      </c>
      <c r="X198" s="3" t="str">
        <f>IFERROR(MID(VLOOKUP($B198,Seqs!$A:$B,2,0),Y198,1),"")</f>
        <v>P</v>
      </c>
      <c r="Y198" s="3">
        <v>172</v>
      </c>
      <c r="Z198" s="3" t="str">
        <f>IFERROR(MID(VLOOKUP($B198,Seqs!$A:$B,2,0),AA198,1),"")</f>
        <v>R</v>
      </c>
      <c r="AA198" s="3">
        <v>179</v>
      </c>
      <c r="AB198" s="3" t="str">
        <f>IFERROR(MID(VLOOKUP($B198,Seqs!$A:$B,2,0),AC198,1),"")</f>
        <v>T</v>
      </c>
      <c r="AC198" s="9">
        <v>180</v>
      </c>
      <c r="AD198" s="3" t="str">
        <f>IFERROR(MID(VLOOKUP($B198,Seqs!$A:$B,2,0),AE198,1),"")</f>
        <v>A</v>
      </c>
      <c r="AE198" s="3">
        <v>206</v>
      </c>
      <c r="AF198" s="3" t="str">
        <f>IFERROR(MID(VLOOKUP($B198,Seqs!$A:$B,2,0),AG198,1),"")</f>
        <v>C</v>
      </c>
      <c r="AG198" s="3">
        <v>217</v>
      </c>
      <c r="AH198" s="3" t="str">
        <f>IFERROR(MID(VLOOKUP($B198,Seqs!$A:$B,2,0),AI198,1),"")</f>
        <v>L</v>
      </c>
      <c r="AI198" s="3">
        <v>219</v>
      </c>
      <c r="AJ198" s="3" t="str">
        <f>IFERROR(MID(VLOOKUP($B198,Seqs!$A:$B,2,0),AK198,1),"")</f>
        <v>T</v>
      </c>
      <c r="AK198" s="3">
        <v>225</v>
      </c>
      <c r="AL198" s="3" t="str">
        <f>IFERROR(MID(VLOOKUP($B198,Seqs!$A:$B,2,0),AM198,1),"")</f>
        <v>V</v>
      </c>
      <c r="AM198" s="3">
        <v>262</v>
      </c>
      <c r="AN198" s="3" t="str">
        <f>IFERROR(MID(VLOOKUP($B198,Seqs!$A:$B,2,0),AO198,1),"")</f>
        <v>S</v>
      </c>
      <c r="AO198" s="3">
        <v>268</v>
      </c>
      <c r="AP198" s="3" t="str">
        <f>IFERROR(MID(VLOOKUP($B198,Seqs!$A:$B,2,0),AQ198,1),"")</f>
        <v>I</v>
      </c>
      <c r="AQ198" s="3">
        <v>306</v>
      </c>
      <c r="AR198" s="3" t="str">
        <f>IFERROR(MID(VLOOKUP($B198,Seqs!$A:$B,2,0),AS198,1),"")</f>
        <v>T</v>
      </c>
      <c r="AS198" s="3">
        <v>311</v>
      </c>
      <c r="AT198" s="3" t="str">
        <f>IFERROR(MID(VLOOKUP($B198,Seqs!$A:$B,2,0),AU198,1),"")</f>
        <v>L</v>
      </c>
      <c r="AU198" s="3">
        <v>339</v>
      </c>
      <c r="AV198" s="3" t="str">
        <f>IFERROR(MID(VLOOKUP($B198,Seqs!$A:$B,2,0),AW198,1),"")</f>
        <v>D</v>
      </c>
      <c r="AW198" s="3">
        <v>340</v>
      </c>
      <c r="AX198" s="3" t="str">
        <f>IFERROR(MID(VLOOKUP($B198,Seqs!$A:$B,2,0),AY198,1),"")</f>
        <v>I</v>
      </c>
      <c r="AY198" s="3">
        <v>352</v>
      </c>
      <c r="AZ198" s="77" t="str">
        <f>VLOOKUP(B198,Classification!A:D,2,0)</f>
        <v>A</v>
      </c>
      <c r="BA198" s="94" t="str">
        <f>VLOOKUP(B198,Classification!A:D,4,0)</f>
        <v>Opioid</v>
      </c>
      <c r="BB198" s="27" t="b">
        <f t="shared" si="670"/>
        <v>1</v>
      </c>
      <c r="BC198" s="23">
        <f t="shared" si="643"/>
        <v>263</v>
      </c>
      <c r="BD198" s="56" t="s">
        <v>1379</v>
      </c>
      <c r="BE198" s="3" t="s">
        <v>23</v>
      </c>
      <c r="BF198" s="119" t="s">
        <v>23</v>
      </c>
      <c r="BG198" s="49" t="s">
        <v>1379</v>
      </c>
      <c r="BH198" s="49" t="s">
        <v>1384</v>
      </c>
      <c r="BI198" s="1"/>
      <c r="BJ198" s="70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0">
        <f t="shared" si="644"/>
        <v>65</v>
      </c>
      <c r="BW198" s="71">
        <f t="shared" si="645"/>
        <v>97</v>
      </c>
      <c r="BX198" s="72">
        <f t="shared" si="646"/>
        <v>101</v>
      </c>
      <c r="BY198" s="71">
        <f t="shared" si="647"/>
        <v>132</v>
      </c>
      <c r="BZ198" s="72">
        <f t="shared" si="648"/>
        <v>136</v>
      </c>
      <c r="CA198" s="71">
        <f t="shared" si="649"/>
        <v>172</v>
      </c>
      <c r="CB198" s="72">
        <f t="shared" si="650"/>
        <v>180</v>
      </c>
      <c r="CC198" s="71">
        <f t="shared" si="651"/>
        <v>217</v>
      </c>
      <c r="CD198" s="72">
        <f t="shared" si="652"/>
        <v>225</v>
      </c>
      <c r="CE198" s="71">
        <f t="shared" si="653"/>
        <v>268</v>
      </c>
      <c r="CF198" s="72">
        <f t="shared" si="654"/>
        <v>311</v>
      </c>
      <c r="CG198" s="71">
        <f t="shared" si="655"/>
        <v>340</v>
      </c>
      <c r="CH198" s="70">
        <f t="shared" si="656"/>
        <v>96</v>
      </c>
      <c r="CI198" s="71">
        <f t="shared" si="657"/>
        <v>100</v>
      </c>
      <c r="CJ198" s="72">
        <f t="shared" si="658"/>
        <v>130</v>
      </c>
      <c r="CK198" s="72">
        <f t="shared" si="659"/>
        <v>135</v>
      </c>
      <c r="CL198" s="72">
        <f t="shared" si="660"/>
        <v>171</v>
      </c>
      <c r="CM198" s="72">
        <f t="shared" si="661"/>
        <v>179</v>
      </c>
      <c r="CN198" s="72">
        <f t="shared" si="662"/>
        <v>206</v>
      </c>
      <c r="CO198" s="72">
        <f t="shared" si="663"/>
        <v>219</v>
      </c>
      <c r="CP198" s="72">
        <f t="shared" si="664"/>
        <v>262</v>
      </c>
      <c r="CQ198" s="72">
        <f t="shared" si="665"/>
        <v>306</v>
      </c>
      <c r="CR198" s="72">
        <f t="shared" si="666"/>
        <v>339</v>
      </c>
      <c r="CS198" s="72">
        <f t="shared" si="667"/>
        <v>352</v>
      </c>
      <c r="CT198" s="23">
        <f t="shared" si="668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669"/>
        <v>oprm_mouse_4DKL</v>
      </c>
      <c r="B199" s="3" t="s">
        <v>918</v>
      </c>
      <c r="C199" s="3" t="s">
        <v>65</v>
      </c>
      <c r="D199" s="3" t="str">
        <f>IFERROR(MID(VLOOKUP($B199,Seqs!$A:$B,2,0),E199,1),"")</f>
        <v>M</v>
      </c>
      <c r="E199" s="3">
        <v>65</v>
      </c>
      <c r="F199" s="3" t="str">
        <f>IFERROR(MID(VLOOKUP($B199,Seqs!$A:$B,2,0),G199,1),"")</f>
        <v>Y</v>
      </c>
      <c r="G199" s="3">
        <v>96</v>
      </c>
      <c r="H199" s="3" t="str">
        <f>IFERROR(MID(VLOOKUP($B199,Seqs!$A:$B,2,0),I199,1),"")</f>
        <v>T</v>
      </c>
      <c r="I199" s="23">
        <v>97</v>
      </c>
      <c r="J199" s="3" t="str">
        <f>IFERROR(MID(VLOOKUP($B199,Seqs!$A:$B,2,0),K199,1),"")</f>
        <v>K</v>
      </c>
      <c r="K199" s="23">
        <v>100</v>
      </c>
      <c r="L199" s="3" t="str">
        <f>IFERROR(MID(VLOOKUP($B199,Seqs!$A:$B,2,0),M199,1),"")</f>
        <v>T</v>
      </c>
      <c r="M199" s="3">
        <v>101</v>
      </c>
      <c r="N199" s="3" t="str">
        <f>IFERROR(MID(VLOOKUP($B199,Seqs!$A:$B,2,0),O199,1),"")</f>
        <v>M</v>
      </c>
      <c r="O199" s="3">
        <v>130</v>
      </c>
      <c r="P199" s="3" t="str">
        <f>IFERROR(MID(VLOOKUP($B199,Seqs!$A:$B,2,0),Q199,1),"")</f>
        <v>T</v>
      </c>
      <c r="Q199" s="3">
        <v>132</v>
      </c>
      <c r="R199" s="3" t="str">
        <f>IFERROR(MID(VLOOKUP($B199,Seqs!$A:$B,2,0),S199,1),"")</f>
        <v>F</v>
      </c>
      <c r="S199" s="3">
        <v>135</v>
      </c>
      <c r="T199" s="3" t="str">
        <f>IFERROR(MID(VLOOKUP($B199,Seqs!$A:$B,2,0),U199,1),"")</f>
        <v>G</v>
      </c>
      <c r="U199" s="3">
        <v>136</v>
      </c>
      <c r="V199" s="3" t="str">
        <f>IFERROR(MID(VLOOKUP($B199,Seqs!$A:$B,2,0),W199,1),"")</f>
        <v>H</v>
      </c>
      <c r="W199" s="3">
        <v>171</v>
      </c>
      <c r="X199" s="3" t="str">
        <f>IFERROR(MID(VLOOKUP($B199,Seqs!$A:$B,2,0),Y199,1),"")</f>
        <v>P</v>
      </c>
      <c r="Y199" s="3">
        <v>172</v>
      </c>
      <c r="Z199" s="3" t="str">
        <f>IFERROR(MID(VLOOKUP($B199,Seqs!$A:$B,2,0),AA199,1),"")</f>
        <v>R</v>
      </c>
      <c r="AA199" s="3">
        <v>179</v>
      </c>
      <c r="AB199" s="3" t="str">
        <f>IFERROR(MID(VLOOKUP($B199,Seqs!$A:$B,2,0),AC199,1),"")</f>
        <v>T</v>
      </c>
      <c r="AC199" s="9">
        <v>180</v>
      </c>
      <c r="AD199" s="3" t="str">
        <f>IFERROR(MID(VLOOKUP($B199,Seqs!$A:$B,2,0),AE199,1),"")</f>
        <v>A</v>
      </c>
      <c r="AE199" s="3">
        <v>206</v>
      </c>
      <c r="AF199" s="3" t="str">
        <f>IFERROR(MID(VLOOKUP($B199,Seqs!$A:$B,2,0),AG199,1),"")</f>
        <v>C</v>
      </c>
      <c r="AG199" s="3">
        <v>217</v>
      </c>
      <c r="AH199" s="3" t="str">
        <f>IFERROR(MID(VLOOKUP($B199,Seqs!$A:$B,2,0),AI199,1),"")</f>
        <v>L</v>
      </c>
      <c r="AI199" s="3">
        <v>219</v>
      </c>
      <c r="AJ199" s="3" t="str">
        <f>IFERROR(MID(VLOOKUP($B199,Seqs!$A:$B,2,0),AK199,1),"")</f>
        <v>T</v>
      </c>
      <c r="AK199" s="3">
        <v>225</v>
      </c>
      <c r="AL199" s="3" t="str">
        <f>IFERROR(MID(VLOOKUP($B199,Seqs!$A:$B,2,0),AM199,1),"")</f>
        <v>L</v>
      </c>
      <c r="AM199" s="3">
        <v>257</v>
      </c>
      <c r="AN199" s="3" t="str">
        <f>IFERROR(MID(VLOOKUP($B199,Seqs!$A:$B,2,0),AO199,1),"")</f>
        <v>N</v>
      </c>
      <c r="AO199" s="3">
        <v>274</v>
      </c>
      <c r="AP199" s="3" t="str">
        <f>IFERROR(MID(VLOOKUP($B199,Seqs!$A:$B,2,0),AQ199,1),"")</f>
        <v>I</v>
      </c>
      <c r="AQ199" s="3">
        <v>306</v>
      </c>
      <c r="AR199" s="3" t="str">
        <f>IFERROR(MID(VLOOKUP($B199,Seqs!$A:$B,2,0),AS199,1),"")</f>
        <v>T</v>
      </c>
      <c r="AS199" s="3">
        <v>311</v>
      </c>
      <c r="AT199" s="3" t="str">
        <f>IFERROR(MID(VLOOKUP($B199,Seqs!$A:$B,2,0),AU199,1),"")</f>
        <v>L</v>
      </c>
      <c r="AU199" s="3">
        <v>339</v>
      </c>
      <c r="AV199" s="3" t="str">
        <f>IFERROR(MID(VLOOKUP($B199,Seqs!$A:$B,2,0),AW199,1),"")</f>
        <v>D</v>
      </c>
      <c r="AW199" s="3">
        <v>340</v>
      </c>
      <c r="AX199" s="3" t="str">
        <f>IFERROR(MID(VLOOKUP($B199,Seqs!$A:$B,2,0),AY199,1),"")</f>
        <v>I</v>
      </c>
      <c r="AY199" s="3">
        <v>352</v>
      </c>
      <c r="AZ199" s="77" t="str">
        <f>VLOOKUP(B199,Classification!A:D,2,0)</f>
        <v>A</v>
      </c>
      <c r="BA199" s="94" t="str">
        <f>VLOOKUP(B199,Classification!A:D,4,0)</f>
        <v>Opioid</v>
      </c>
      <c r="BB199" s="27" t="b">
        <f t="shared" si="670"/>
        <v>1</v>
      </c>
      <c r="BC199" s="23">
        <f t="shared" si="643"/>
        <v>252</v>
      </c>
      <c r="BD199" s="2" t="s">
        <v>1383</v>
      </c>
      <c r="BE199" s="3" t="s">
        <v>1381</v>
      </c>
      <c r="BF199" s="119">
        <v>2.8</v>
      </c>
      <c r="BG199" s="49" t="s">
        <v>1384</v>
      </c>
      <c r="BH199" s="49" t="s">
        <v>1384</v>
      </c>
      <c r="BI199" s="1"/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644"/>
        <v>65</v>
      </c>
      <c r="BW199" s="71">
        <f t="shared" si="645"/>
        <v>97</v>
      </c>
      <c r="BX199" s="72">
        <f t="shared" si="646"/>
        <v>101</v>
      </c>
      <c r="BY199" s="71">
        <f t="shared" si="647"/>
        <v>132</v>
      </c>
      <c r="BZ199" s="72">
        <f t="shared" si="648"/>
        <v>136</v>
      </c>
      <c r="CA199" s="71">
        <f t="shared" si="649"/>
        <v>172</v>
      </c>
      <c r="CB199" s="72">
        <f t="shared" si="650"/>
        <v>180</v>
      </c>
      <c r="CC199" s="71">
        <f t="shared" si="651"/>
        <v>217</v>
      </c>
      <c r="CD199" s="72">
        <f t="shared" si="652"/>
        <v>225</v>
      </c>
      <c r="CE199" s="71">
        <f t="shared" si="653"/>
        <v>274</v>
      </c>
      <c r="CF199" s="72">
        <f t="shared" si="654"/>
        <v>311</v>
      </c>
      <c r="CG199" s="71">
        <f t="shared" si="655"/>
        <v>340</v>
      </c>
      <c r="CH199" s="70">
        <f t="shared" si="656"/>
        <v>96</v>
      </c>
      <c r="CI199" s="71">
        <f t="shared" si="657"/>
        <v>100</v>
      </c>
      <c r="CJ199" s="72">
        <f t="shared" si="658"/>
        <v>130</v>
      </c>
      <c r="CK199" s="72">
        <f t="shared" si="659"/>
        <v>135</v>
      </c>
      <c r="CL199" s="72">
        <f t="shared" si="660"/>
        <v>171</v>
      </c>
      <c r="CM199" s="72">
        <f t="shared" si="661"/>
        <v>179</v>
      </c>
      <c r="CN199" s="72">
        <f t="shared" si="662"/>
        <v>206</v>
      </c>
      <c r="CO199" s="72">
        <f t="shared" si="663"/>
        <v>219</v>
      </c>
      <c r="CP199" s="72">
        <f t="shared" si="664"/>
        <v>257</v>
      </c>
      <c r="CQ199" s="72">
        <f t="shared" si="665"/>
        <v>306</v>
      </c>
      <c r="CR199" s="72">
        <f t="shared" si="666"/>
        <v>339</v>
      </c>
      <c r="CS199" s="72">
        <f t="shared" si="667"/>
        <v>352</v>
      </c>
      <c r="CT199" s="23">
        <f t="shared" si="668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30" x14ac:dyDescent="0.2">
      <c r="A200" s="3" t="str">
        <f t="shared" si="669"/>
        <v>oprm_mouse_5C1M</v>
      </c>
      <c r="B200" s="3" t="s">
        <v>918</v>
      </c>
      <c r="C200" s="3" t="s">
        <v>84</v>
      </c>
      <c r="D200" s="3" t="str">
        <f>IFERROR(MID(VLOOKUP($B200,Seqs!$A:$B,2,0),E200,1),"")</f>
        <v>M</v>
      </c>
      <c r="E200" s="3">
        <v>65</v>
      </c>
      <c r="F200" s="3" t="str">
        <f>IFERROR(MID(VLOOKUP($B200,Seqs!$A:$B,2,0),G200,1),"")</f>
        <v>Y</v>
      </c>
      <c r="G200" s="3">
        <v>96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T</v>
      </c>
      <c r="M200" s="3">
        <v>101</v>
      </c>
      <c r="N200" s="3" t="str">
        <f>IFERROR(MID(VLOOKUP($B200,Seqs!$A:$B,2,0),O200,1),"")</f>
        <v>M</v>
      </c>
      <c r="O200" s="3">
        <v>130</v>
      </c>
      <c r="P200" s="3" t="str">
        <f>IFERROR(MID(VLOOKUP($B200,Seqs!$A:$B,2,0),Q200,1),"")</f>
        <v>T</v>
      </c>
      <c r="Q200" s="3">
        <v>132</v>
      </c>
      <c r="R200" s="3" t="str">
        <f>IFERROR(MID(VLOOKUP($B200,Seqs!$A:$B,2,0),S200,1),"")</f>
        <v>F</v>
      </c>
      <c r="S200" s="3">
        <v>135</v>
      </c>
      <c r="T200" s="3" t="str">
        <f>IFERROR(MID(VLOOKUP($B200,Seqs!$A:$B,2,0),U200,1),"")</f>
        <v>G</v>
      </c>
      <c r="U200" s="3">
        <v>136</v>
      </c>
      <c r="V200" s="3" t="str">
        <f>IFERROR(MID(VLOOKUP($B200,Seqs!$A:$B,2,0),W200,1),"")</f>
        <v>H</v>
      </c>
      <c r="W200" s="3">
        <v>171</v>
      </c>
      <c r="X200" s="3" t="str">
        <f>IFERROR(MID(VLOOKUP($B200,Seqs!$A:$B,2,0),Y200,1),"")</f>
        <v>P</v>
      </c>
      <c r="Y200" s="3">
        <v>172</v>
      </c>
      <c r="Z200" s="3" t="str">
        <f>IFERROR(MID(VLOOKUP($B200,Seqs!$A:$B,2,0),AA200,1),"")</f>
        <v>R</v>
      </c>
      <c r="AA200" s="3">
        <v>179</v>
      </c>
      <c r="AB200" s="3" t="str">
        <f>IFERROR(MID(VLOOKUP($B200,Seqs!$A:$B,2,0),AC200,1),"")</f>
        <v>T</v>
      </c>
      <c r="AC200" s="9">
        <v>180</v>
      </c>
      <c r="AD200" s="3" t="str">
        <f>IFERROR(MID(VLOOKUP($B200,Seqs!$A:$B,2,0),AE200,1),"")</f>
        <v>A</v>
      </c>
      <c r="AE200" s="3">
        <v>206</v>
      </c>
      <c r="AF200" s="3" t="str">
        <f>IFERROR(MID(VLOOKUP($B200,Seqs!$A:$B,2,0),AG200,1),"")</f>
        <v>C</v>
      </c>
      <c r="AG200" s="3">
        <v>217</v>
      </c>
      <c r="AH200" s="3" t="str">
        <f>IFERROR(MID(VLOOKUP($B200,Seqs!$A:$B,2,0),AI200,1),"")</f>
        <v>L</v>
      </c>
      <c r="AI200" s="3">
        <v>219</v>
      </c>
      <c r="AJ200" s="3" t="str">
        <f>IFERROR(MID(VLOOKUP($B200,Seqs!$A:$B,2,0),AK200,1),"")</f>
        <v>T</v>
      </c>
      <c r="AK200" s="3">
        <v>225</v>
      </c>
      <c r="AL200" s="3" t="str">
        <f>IFERROR(MID(VLOOKUP($B200,Seqs!$A:$B,2,0),AM200,1),"")</f>
        <v>V</v>
      </c>
      <c r="AM200" s="3">
        <v>262</v>
      </c>
      <c r="AN200" s="3" t="str">
        <f>IFERROR(MID(VLOOKUP($B200,Seqs!$A:$B,2,0),AO200,1),"")</f>
        <v>S</v>
      </c>
      <c r="AO200" s="3">
        <v>268</v>
      </c>
      <c r="AP200" s="3" t="str">
        <f>IFERROR(MID(VLOOKUP($B200,Seqs!$A:$B,2,0),AQ200,1),"")</f>
        <v>I</v>
      </c>
      <c r="AQ200" s="3">
        <v>306</v>
      </c>
      <c r="AR200" s="3" t="str">
        <f>IFERROR(MID(VLOOKUP($B200,Seqs!$A:$B,2,0),AS200,1),"")</f>
        <v>T</v>
      </c>
      <c r="AS200" s="3">
        <v>311</v>
      </c>
      <c r="AT200" s="3" t="str">
        <f>IFERROR(MID(VLOOKUP($B200,Seqs!$A:$B,2,0),AU200,1),"")</f>
        <v>P</v>
      </c>
      <c r="AU200" s="3">
        <v>333</v>
      </c>
      <c r="AV200" s="3" t="str">
        <f>IFERROR(MID(VLOOKUP($B200,Seqs!$A:$B,2,0),AW200,1),"")</f>
        <v/>
      </c>
      <c r="AW200" s="3" t="s">
        <v>23</v>
      </c>
      <c r="AX200" s="3" t="str">
        <f>IFERROR(MID(VLOOKUP($B200,Seqs!$A:$B,2,0),AY200,1),"")</f>
        <v/>
      </c>
      <c r="AY200" s="3" t="s">
        <v>23</v>
      </c>
      <c r="AZ200" s="77" t="str">
        <f>VLOOKUP(B200,Classification!A:D,2,0)</f>
        <v>A</v>
      </c>
      <c r="BA200" s="94" t="str">
        <f>VLOOKUP(B200,Classification!A:D,4,0)</f>
        <v>Opioid</v>
      </c>
      <c r="BB200" s="27" t="b">
        <f t="shared" si="670"/>
        <v>1</v>
      </c>
      <c r="BC200" s="23">
        <f t="shared" si="643"/>
        <v>242</v>
      </c>
      <c r="BD200" s="5" t="s">
        <v>1382</v>
      </c>
      <c r="BE200" s="3" t="s">
        <v>1297</v>
      </c>
      <c r="BF200" s="119">
        <v>2.1</v>
      </c>
      <c r="BG200" s="49" t="s">
        <v>1384</v>
      </c>
      <c r="BH200" s="49" t="s">
        <v>1384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644"/>
        <v>65</v>
      </c>
      <c r="BW200" s="71" t="str">
        <f t="shared" si="645"/>
        <v>-</v>
      </c>
      <c r="BX200" s="72">
        <f t="shared" si="646"/>
        <v>101</v>
      </c>
      <c r="BY200" s="71">
        <f t="shared" si="647"/>
        <v>132</v>
      </c>
      <c r="BZ200" s="72">
        <f t="shared" si="648"/>
        <v>136</v>
      </c>
      <c r="CA200" s="71">
        <f t="shared" si="649"/>
        <v>172</v>
      </c>
      <c r="CB200" s="72">
        <f t="shared" si="650"/>
        <v>180</v>
      </c>
      <c r="CC200" s="71">
        <f t="shared" si="651"/>
        <v>217</v>
      </c>
      <c r="CD200" s="72">
        <f t="shared" si="652"/>
        <v>225</v>
      </c>
      <c r="CE200" s="71">
        <f t="shared" si="653"/>
        <v>268</v>
      </c>
      <c r="CF200" s="72">
        <f t="shared" si="654"/>
        <v>311</v>
      </c>
      <c r="CG200" s="71" t="str">
        <f t="shared" si="655"/>
        <v>-</v>
      </c>
      <c r="CH200" s="70">
        <f t="shared" si="656"/>
        <v>96</v>
      </c>
      <c r="CI200" s="71" t="str">
        <f t="shared" si="657"/>
        <v>-</v>
      </c>
      <c r="CJ200" s="72">
        <f t="shared" si="658"/>
        <v>130</v>
      </c>
      <c r="CK200" s="72">
        <f t="shared" si="659"/>
        <v>135</v>
      </c>
      <c r="CL200" s="72">
        <f t="shared" si="660"/>
        <v>171</v>
      </c>
      <c r="CM200" s="72">
        <f t="shared" si="661"/>
        <v>179</v>
      </c>
      <c r="CN200" s="72">
        <f t="shared" si="662"/>
        <v>206</v>
      </c>
      <c r="CO200" s="72">
        <f t="shared" si="663"/>
        <v>219</v>
      </c>
      <c r="CP200" s="72">
        <f t="shared" si="664"/>
        <v>262</v>
      </c>
      <c r="CQ200" s="72">
        <f t="shared" si="665"/>
        <v>306</v>
      </c>
      <c r="CR200" s="72">
        <f t="shared" si="666"/>
        <v>333</v>
      </c>
      <c r="CS200" s="72" t="str">
        <f t="shared" si="667"/>
        <v>-</v>
      </c>
      <c r="CT200" s="23" t="e">
        <f t="shared" si="668"/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s="12" customFormat="1" x14ac:dyDescent="0.2">
      <c r="A201" s="9" t="str">
        <f>CONCATENATE(B201,"_",C201)</f>
        <v>oprm_mouse_6DDE</v>
      </c>
      <c r="B201" s="9" t="s">
        <v>918</v>
      </c>
      <c r="C201" s="9" t="s">
        <v>1516</v>
      </c>
      <c r="D201" s="9" t="str">
        <f>IFERROR(MID(VLOOKUP($B201,Seqs!$A:$B,2,0),E201,1),"")</f>
        <v>T</v>
      </c>
      <c r="E201" s="9">
        <v>67</v>
      </c>
      <c r="F201" s="9" t="str">
        <f>IFERROR(MID(VLOOKUP($B201,Seqs!$A:$B,2,0),G201,1),"")</f>
        <v>K</v>
      </c>
      <c r="G201" s="9">
        <v>98</v>
      </c>
      <c r="H201" s="9" t="str">
        <f>IFERROR(MID(VLOOKUP($B201,Seqs!$A:$B,2,0),I201,1),"")</f>
        <v/>
      </c>
      <c r="I201" s="109" t="s">
        <v>23</v>
      </c>
      <c r="J201" s="9" t="str">
        <f>IFERROR(MID(VLOOKUP($B201,Seqs!$A:$B,2,0),K201,1),"")</f>
        <v/>
      </c>
      <c r="K201" s="109" t="s">
        <v>23</v>
      </c>
      <c r="L201" s="9" t="str">
        <f>IFERROR(MID(VLOOKUP($B201,Seqs!$A:$B,2,0),M201,1),"")</f>
        <v>A</v>
      </c>
      <c r="M201" s="9">
        <v>102</v>
      </c>
      <c r="N201" s="9" t="str">
        <f>IFERROR(MID(VLOOKUP($B201,Seqs!$A:$B,2,0),O201,1),"")</f>
        <v>G</v>
      </c>
      <c r="O201" s="9">
        <v>131</v>
      </c>
      <c r="P201" s="9" t="str">
        <f>IFERROR(MID(VLOOKUP($B201,Seqs!$A:$B,2,0),Q201,1),"")</f>
        <v>T</v>
      </c>
      <c r="Q201" s="9">
        <v>132</v>
      </c>
      <c r="R201" s="9" t="str">
        <f>IFERROR(MID(VLOOKUP($B201,Seqs!$A:$B,2,0),S201,1),"")</f>
        <v>F</v>
      </c>
      <c r="S201" s="9">
        <v>135</v>
      </c>
      <c r="T201" s="9" t="str">
        <f>IFERROR(MID(VLOOKUP($B201,Seqs!$A:$B,2,0),U201,1),"")</f>
        <v>G</v>
      </c>
      <c r="U201" s="9">
        <v>136</v>
      </c>
      <c r="V201" s="9" t="str">
        <f>IFERROR(MID(VLOOKUP($B201,Seqs!$A:$B,2,0),W201,1),"")</f>
        <v>H</v>
      </c>
      <c r="W201" s="9">
        <v>171</v>
      </c>
      <c r="X201" s="9" t="str">
        <f>IFERROR(MID(VLOOKUP($B201,Seqs!$A:$B,2,0),Y201,1),"")</f>
        <v>P</v>
      </c>
      <c r="Y201" s="9">
        <v>172</v>
      </c>
      <c r="Z201" s="9" t="str">
        <f>IFERROR(MID(VLOOKUP($B201,Seqs!$A:$B,2,0),AA201,1),"")</f>
        <v>R</v>
      </c>
      <c r="AA201" s="9">
        <v>179</v>
      </c>
      <c r="AB201" s="9" t="str">
        <f>IFERROR(MID(VLOOKUP($B201,Seqs!$A:$B,2,0),AC201,1),"")</f>
        <v>T</v>
      </c>
      <c r="AC201" s="9">
        <v>180</v>
      </c>
      <c r="AD201" s="9" t="str">
        <f>IFERROR(MID(VLOOKUP($B201,Seqs!$A:$B,2,0),AE201,1),"")</f>
        <v>F</v>
      </c>
      <c r="AE201" s="9">
        <v>204</v>
      </c>
      <c r="AF201" s="9" t="str">
        <f>IFERROR(MID(VLOOKUP($B201,Seqs!$A:$B,2,0),AG201,1),"")</f>
        <v>C</v>
      </c>
      <c r="AG201" s="9">
        <v>217</v>
      </c>
      <c r="AH201" s="9" t="str">
        <f>IFERROR(MID(VLOOKUP($B201,Seqs!$A:$B,2,0),AI201,1),"")</f>
        <v>L</v>
      </c>
      <c r="AI201" s="9">
        <v>219</v>
      </c>
      <c r="AJ201" s="9" t="str">
        <f>IFERROR(MID(VLOOKUP($B201,Seqs!$A:$B,2,0),AK201,1),"")</f>
        <v>Y</v>
      </c>
      <c r="AK201" s="9">
        <v>227</v>
      </c>
      <c r="AL201" s="9" t="str">
        <f>IFERROR(MID(VLOOKUP($B201,Seqs!$A:$B,2,0),AM201,1),"")</f>
        <v>V</v>
      </c>
      <c r="AM201" s="9">
        <v>262</v>
      </c>
      <c r="AN201" s="9" t="str">
        <f>IFERROR(MID(VLOOKUP($B201,Seqs!$A:$B,2,0),AO201,1),"")</f>
        <v>S</v>
      </c>
      <c r="AO201" s="9">
        <v>268</v>
      </c>
      <c r="AP201" s="9" t="str">
        <f>IFERROR(MID(VLOOKUP($B201,Seqs!$A:$B,2,0),AQ201,1),"")</f>
        <v>I</v>
      </c>
      <c r="AQ201" s="9">
        <v>306</v>
      </c>
      <c r="AR201" s="9" t="str">
        <f>IFERROR(MID(VLOOKUP($B201,Seqs!$A:$B,2,0),AS201,1),"")</f>
        <v>F</v>
      </c>
      <c r="AS201" s="9">
        <v>313</v>
      </c>
      <c r="AT201" s="9" t="str">
        <f>IFERROR(MID(VLOOKUP($B201,Seqs!$A:$B,2,0),AU201,1),"")</f>
        <v>Y</v>
      </c>
      <c r="AU201" s="9">
        <v>336</v>
      </c>
      <c r="AV201" s="9" t="str">
        <f>IFERROR(MID(VLOOKUP($B201,Seqs!$A:$B,2,0),AW201,1),"")</f>
        <v/>
      </c>
      <c r="AW201" s="9" t="s">
        <v>23</v>
      </c>
      <c r="AX201" s="9" t="str">
        <f>IFERROR(MID(VLOOKUP($B201,Seqs!$A:$B,2,0),AY201,1),"")</f>
        <v/>
      </c>
      <c r="AY201" s="9" t="s">
        <v>23</v>
      </c>
      <c r="AZ201" s="110" t="str">
        <f>VLOOKUP(B201,Classification!A:D,2,0)</f>
        <v>A</v>
      </c>
      <c r="BA201" s="98" t="str">
        <f>VLOOKUP(B201,Classification!A:D,4,0)</f>
        <v>Opioid</v>
      </c>
      <c r="BB201" s="36" t="b">
        <f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109">
        <f>_xlfn.AGGREGATE(9,6,CH201:CS201)-_xlfn.AGGREGATE(9,6,BV201:CG201)+12</f>
        <v>239</v>
      </c>
      <c r="BD201" s="13" t="s">
        <v>23</v>
      </c>
      <c r="BE201" s="9" t="s">
        <v>1297</v>
      </c>
      <c r="BF201" s="120">
        <v>3.5</v>
      </c>
      <c r="BG201" s="51" t="s">
        <v>1433</v>
      </c>
      <c r="BH201" s="51" t="s">
        <v>1433</v>
      </c>
      <c r="BJ201" s="111" t="s">
        <v>1293</v>
      </c>
      <c r="BK201" s="112" t="s">
        <v>1293</v>
      </c>
      <c r="BL201" s="112" t="s">
        <v>1293</v>
      </c>
      <c r="BM201" s="112" t="s">
        <v>1293</v>
      </c>
      <c r="BN201" s="112" t="s">
        <v>1293</v>
      </c>
      <c r="BO201" s="112" t="s">
        <v>1293</v>
      </c>
      <c r="BP201" s="112" t="s">
        <v>1293</v>
      </c>
      <c r="BQ201" s="112" t="s">
        <v>1293</v>
      </c>
      <c r="BR201" s="112" t="s">
        <v>1293</v>
      </c>
      <c r="BS201" s="112" t="s">
        <v>1293</v>
      </c>
      <c r="BT201" s="112" t="s">
        <v>1293</v>
      </c>
      <c r="BU201" s="112" t="s">
        <v>1293</v>
      </c>
      <c r="BV201" s="111">
        <f>E201</f>
        <v>67</v>
      </c>
      <c r="BW201" s="113" t="str">
        <f>I201</f>
        <v>-</v>
      </c>
      <c r="BX201" s="114">
        <f>M201</f>
        <v>102</v>
      </c>
      <c r="BY201" s="113">
        <f>Q201</f>
        <v>132</v>
      </c>
      <c r="BZ201" s="114">
        <f>U201</f>
        <v>136</v>
      </c>
      <c r="CA201" s="113">
        <f>Y201</f>
        <v>172</v>
      </c>
      <c r="CB201" s="114">
        <f>AC201</f>
        <v>180</v>
      </c>
      <c r="CC201" s="113">
        <f>AG201</f>
        <v>217</v>
      </c>
      <c r="CD201" s="114">
        <f>AK201</f>
        <v>227</v>
      </c>
      <c r="CE201" s="113">
        <f>AO201</f>
        <v>268</v>
      </c>
      <c r="CF201" s="114">
        <f>AS201</f>
        <v>313</v>
      </c>
      <c r="CG201" s="113" t="str">
        <f>AW201</f>
        <v>-</v>
      </c>
      <c r="CH201" s="111">
        <f>G201</f>
        <v>98</v>
      </c>
      <c r="CI201" s="113" t="str">
        <f>K201</f>
        <v>-</v>
      </c>
      <c r="CJ201" s="114">
        <f>O201</f>
        <v>131</v>
      </c>
      <c r="CK201" s="114">
        <f>S201</f>
        <v>135</v>
      </c>
      <c r="CL201" s="114">
        <f>W201</f>
        <v>171</v>
      </c>
      <c r="CM201" s="114">
        <f>AA201</f>
        <v>179</v>
      </c>
      <c r="CN201" s="114">
        <f>AE201</f>
        <v>204</v>
      </c>
      <c r="CO201" s="114">
        <f>AI201</f>
        <v>219</v>
      </c>
      <c r="CP201" s="114">
        <f>AM201</f>
        <v>262</v>
      </c>
      <c r="CQ201" s="114">
        <f>AQ201</f>
        <v>306</v>
      </c>
      <c r="CR201" s="114">
        <f>AU201</f>
        <v>336</v>
      </c>
      <c r="CS201" s="114" t="str">
        <f>AY201</f>
        <v>-</v>
      </c>
      <c r="CT201" s="109" t="e">
        <f>M201-K201</f>
        <v>#VALUE!</v>
      </c>
    </row>
    <row r="202" spans="1:1030" s="12" customFormat="1" x14ac:dyDescent="0.2">
      <c r="A202" s="9" t="str">
        <f>CONCATENATE(B202,"_",C202)</f>
        <v>oprm_mouse_6DDF</v>
      </c>
      <c r="B202" s="9" t="s">
        <v>918</v>
      </c>
      <c r="C202" s="9" t="s">
        <v>1517</v>
      </c>
      <c r="D202" s="9" t="str">
        <f>IFERROR(MID(VLOOKUP($B202,Seqs!$A:$B,2,0),E202,1),"")</f>
        <v>T</v>
      </c>
      <c r="E202" s="9">
        <v>67</v>
      </c>
      <c r="F202" s="9" t="str">
        <f>IFERROR(MID(VLOOKUP($B202,Seqs!$A:$B,2,0),G202,1),"")</f>
        <v>K</v>
      </c>
      <c r="G202" s="9">
        <v>98</v>
      </c>
      <c r="H202" s="9" t="str">
        <f>IFERROR(MID(VLOOKUP($B202,Seqs!$A:$B,2,0),I202,1),"")</f>
        <v/>
      </c>
      <c r="I202" s="109" t="s">
        <v>23</v>
      </c>
      <c r="J202" s="9" t="str">
        <f>IFERROR(MID(VLOOKUP($B202,Seqs!$A:$B,2,0),K202,1),"")</f>
        <v/>
      </c>
      <c r="K202" s="109" t="s">
        <v>23</v>
      </c>
      <c r="L202" s="9" t="str">
        <f>IFERROR(MID(VLOOKUP($B202,Seqs!$A:$B,2,0),M202,1),"")</f>
        <v>A</v>
      </c>
      <c r="M202" s="9">
        <v>102</v>
      </c>
      <c r="N202" s="9" t="str">
        <f>IFERROR(MID(VLOOKUP($B202,Seqs!$A:$B,2,0),O202,1),"")</f>
        <v>G</v>
      </c>
      <c r="O202" s="9">
        <v>131</v>
      </c>
      <c r="P202" s="9" t="str">
        <f>IFERROR(MID(VLOOKUP($B202,Seqs!$A:$B,2,0),Q202,1),"")</f>
        <v>T</v>
      </c>
      <c r="Q202" s="9">
        <v>132</v>
      </c>
      <c r="R202" s="9" t="str">
        <f>IFERROR(MID(VLOOKUP($B202,Seqs!$A:$B,2,0),S202,1),"")</f>
        <v>F</v>
      </c>
      <c r="S202" s="9">
        <v>135</v>
      </c>
      <c r="T202" s="9" t="str">
        <f>IFERROR(MID(VLOOKUP($B202,Seqs!$A:$B,2,0),U202,1),"")</f>
        <v>G</v>
      </c>
      <c r="U202" s="9">
        <v>136</v>
      </c>
      <c r="V202" s="9" t="str">
        <f>IFERROR(MID(VLOOKUP($B202,Seqs!$A:$B,2,0),W202,1),"")</f>
        <v>H</v>
      </c>
      <c r="W202" s="9">
        <v>171</v>
      </c>
      <c r="X202" s="9" t="str">
        <f>IFERROR(MID(VLOOKUP($B202,Seqs!$A:$B,2,0),Y202,1),"")</f>
        <v>P</v>
      </c>
      <c r="Y202" s="9">
        <v>172</v>
      </c>
      <c r="Z202" s="9" t="str">
        <f>IFERROR(MID(VLOOKUP($B202,Seqs!$A:$B,2,0),AA202,1),"")</f>
        <v>R</v>
      </c>
      <c r="AA202" s="9">
        <v>179</v>
      </c>
      <c r="AB202" s="9" t="str">
        <f>IFERROR(MID(VLOOKUP($B202,Seqs!$A:$B,2,0),AC202,1),"")</f>
        <v>T</v>
      </c>
      <c r="AC202" s="9">
        <v>180</v>
      </c>
      <c r="AD202" s="9" t="str">
        <f>IFERROR(MID(VLOOKUP($B202,Seqs!$A:$B,2,0),AE202,1),"")</f>
        <v>F</v>
      </c>
      <c r="AE202" s="9">
        <v>204</v>
      </c>
      <c r="AF202" s="9" t="str">
        <f>IFERROR(MID(VLOOKUP($B202,Seqs!$A:$B,2,0),AG202,1),"")</f>
        <v>C</v>
      </c>
      <c r="AG202" s="9">
        <v>217</v>
      </c>
      <c r="AH202" s="9" t="str">
        <f>IFERROR(MID(VLOOKUP($B202,Seqs!$A:$B,2,0),AI202,1),"")</f>
        <v>L</v>
      </c>
      <c r="AI202" s="9">
        <v>219</v>
      </c>
      <c r="AJ202" s="9" t="str">
        <f>IFERROR(MID(VLOOKUP($B202,Seqs!$A:$B,2,0),AK202,1),"")</f>
        <v>Y</v>
      </c>
      <c r="AK202" s="9">
        <v>227</v>
      </c>
      <c r="AL202" s="9" t="str">
        <f>IFERROR(MID(VLOOKUP($B202,Seqs!$A:$B,2,0),AM202,1),"")</f>
        <v>V</v>
      </c>
      <c r="AM202" s="9">
        <v>262</v>
      </c>
      <c r="AN202" s="9" t="str">
        <f>IFERROR(MID(VLOOKUP($B202,Seqs!$A:$B,2,0),AO202,1),"")</f>
        <v>S</v>
      </c>
      <c r="AO202" s="9">
        <v>268</v>
      </c>
      <c r="AP202" s="9" t="str">
        <f>IFERROR(MID(VLOOKUP($B202,Seqs!$A:$B,2,0),AQ202,1),"")</f>
        <v>I</v>
      </c>
      <c r="AQ202" s="9">
        <v>306</v>
      </c>
      <c r="AR202" s="9" t="str">
        <f>IFERROR(MID(VLOOKUP($B202,Seqs!$A:$B,2,0),AS202,1),"")</f>
        <v>F</v>
      </c>
      <c r="AS202" s="9">
        <v>313</v>
      </c>
      <c r="AT202" s="9" t="str">
        <f>IFERROR(MID(VLOOKUP($B202,Seqs!$A:$B,2,0),AU202,1),"")</f>
        <v>Y</v>
      </c>
      <c r="AU202" s="9">
        <v>336</v>
      </c>
      <c r="AV202" s="9" t="str">
        <f>IFERROR(MID(VLOOKUP($B202,Seqs!$A:$B,2,0),AW202,1),"")</f>
        <v/>
      </c>
      <c r="AW202" s="9" t="s">
        <v>23</v>
      </c>
      <c r="AX202" s="9" t="str">
        <f>IFERROR(MID(VLOOKUP($B202,Seqs!$A:$B,2,0),AY202,1),"")</f>
        <v/>
      </c>
      <c r="AY202" s="9" t="s">
        <v>23</v>
      </c>
      <c r="AZ202" s="110" t="str">
        <f>VLOOKUP(B202,Classification!A:D,2,0)</f>
        <v>A</v>
      </c>
      <c r="BA202" s="98" t="str">
        <f>VLOOKUP(B202,Classification!A:D,4,0)</f>
        <v>Opioid</v>
      </c>
      <c r="BB202" s="36" t="b">
        <f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109">
        <f>_xlfn.AGGREGATE(9,6,CH202:CS202)-_xlfn.AGGREGATE(9,6,BV202:CG202)+12</f>
        <v>239</v>
      </c>
      <c r="BD202" s="13" t="s">
        <v>23</v>
      </c>
      <c r="BE202" s="9" t="s">
        <v>1297</v>
      </c>
      <c r="BF202" s="120">
        <v>4.5</v>
      </c>
      <c r="BG202" s="51" t="s">
        <v>1433</v>
      </c>
      <c r="BH202" s="51" t="s">
        <v>1433</v>
      </c>
      <c r="BJ202" s="111" t="s">
        <v>1293</v>
      </c>
      <c r="BK202" s="112" t="s">
        <v>1293</v>
      </c>
      <c r="BL202" s="112" t="s">
        <v>1293</v>
      </c>
      <c r="BM202" s="112" t="s">
        <v>1293</v>
      </c>
      <c r="BN202" s="112" t="s">
        <v>1293</v>
      </c>
      <c r="BO202" s="112" t="s">
        <v>1293</v>
      </c>
      <c r="BP202" s="112" t="s">
        <v>1293</v>
      </c>
      <c r="BQ202" s="112" t="s">
        <v>1293</v>
      </c>
      <c r="BR202" s="112" t="s">
        <v>1293</v>
      </c>
      <c r="BS202" s="112" t="s">
        <v>1293</v>
      </c>
      <c r="BT202" s="112" t="s">
        <v>1293</v>
      </c>
      <c r="BU202" s="112" t="s">
        <v>1293</v>
      </c>
      <c r="BV202" s="111">
        <f>E202</f>
        <v>67</v>
      </c>
      <c r="BW202" s="113" t="str">
        <f>I202</f>
        <v>-</v>
      </c>
      <c r="BX202" s="114">
        <f>M202</f>
        <v>102</v>
      </c>
      <c r="BY202" s="113">
        <f>Q202</f>
        <v>132</v>
      </c>
      <c r="BZ202" s="114">
        <f>U202</f>
        <v>136</v>
      </c>
      <c r="CA202" s="113">
        <f>Y202</f>
        <v>172</v>
      </c>
      <c r="CB202" s="114">
        <f>AC202</f>
        <v>180</v>
      </c>
      <c r="CC202" s="113">
        <f>AG202</f>
        <v>217</v>
      </c>
      <c r="CD202" s="114">
        <f>AK202</f>
        <v>227</v>
      </c>
      <c r="CE202" s="113">
        <f>AO202</f>
        <v>268</v>
      </c>
      <c r="CF202" s="114">
        <f>AS202</f>
        <v>313</v>
      </c>
      <c r="CG202" s="113" t="str">
        <f>AW202</f>
        <v>-</v>
      </c>
      <c r="CH202" s="111">
        <f>G202</f>
        <v>98</v>
      </c>
      <c r="CI202" s="113" t="str">
        <f>K202</f>
        <v>-</v>
      </c>
      <c r="CJ202" s="114">
        <f>O202</f>
        <v>131</v>
      </c>
      <c r="CK202" s="114">
        <f>S202</f>
        <v>135</v>
      </c>
      <c r="CL202" s="114">
        <f>W202</f>
        <v>171</v>
      </c>
      <c r="CM202" s="114">
        <f>AA202</f>
        <v>179</v>
      </c>
      <c r="CN202" s="114">
        <f>AE202</f>
        <v>204</v>
      </c>
      <c r="CO202" s="114">
        <f>AI202</f>
        <v>219</v>
      </c>
      <c r="CP202" s="114">
        <f>AM202</f>
        <v>262</v>
      </c>
      <c r="CQ202" s="114">
        <f>AQ202</f>
        <v>306</v>
      </c>
      <c r="CR202" s="114">
        <f>AU202</f>
        <v>336</v>
      </c>
      <c r="CS202" s="114" t="str">
        <f>AY202</f>
        <v>-</v>
      </c>
      <c r="CT202" s="109" t="e">
        <f>M202-K202</f>
        <v>#VALUE!</v>
      </c>
    </row>
    <row r="203" spans="1:1030" x14ac:dyDescent="0.2">
      <c r="A203" s="3" t="str">
        <f t="shared" si="669"/>
        <v>oprx_human__wt</v>
      </c>
      <c r="B203" s="3" t="s">
        <v>1174</v>
      </c>
      <c r="C203" s="3" t="s">
        <v>100</v>
      </c>
      <c r="D203" s="3" t="str">
        <f>IFERROR(MID(VLOOKUP($B203,Seqs!$A:$B,2,0),E203,1),"")</f>
        <v>L</v>
      </c>
      <c r="E203" s="3">
        <v>48</v>
      </c>
      <c r="F203" s="3" t="str">
        <f>IFERROR(MID(VLOOKUP($B203,Seqs!$A:$B,2,0),G203,1),"")</f>
        <v>H</v>
      </c>
      <c r="G203" s="3">
        <v>79</v>
      </c>
      <c r="H203" s="3" t="str">
        <f>IFERROR(MID(VLOOKUP($B203,Seqs!$A:$B,2,0),I203,1),"")</f>
        <v>T</v>
      </c>
      <c r="I203" s="23">
        <v>80</v>
      </c>
      <c r="J203" s="3" t="str">
        <f>IFERROR(MID(VLOOKUP($B203,Seqs!$A:$B,2,0),K203,1),"")</f>
        <v>K</v>
      </c>
      <c r="K203" s="23">
        <v>83</v>
      </c>
      <c r="L203" s="3" t="str">
        <f>IFERROR(MID(VLOOKUP($B203,Seqs!$A:$B,2,0),M203,1),"")</f>
        <v>T</v>
      </c>
      <c r="M203" s="3">
        <v>84</v>
      </c>
      <c r="N203" s="3" t="str">
        <f>IFERROR(MID(VLOOKUP($B203,Seqs!$A:$B,2,0),O203,1),"")</f>
        <v>L</v>
      </c>
      <c r="O203" s="3">
        <v>113</v>
      </c>
      <c r="P203" s="3" t="str">
        <f>IFERROR(MID(VLOOKUP($B203,Seqs!$A:$B,2,0),Q203,1),"")</f>
        <v>F</v>
      </c>
      <c r="Q203" s="3">
        <v>115</v>
      </c>
      <c r="R203" s="3" t="str">
        <f>IFERROR(MID(VLOOKUP($B203,Seqs!$A:$B,2,0),S203,1),"")</f>
        <v>F</v>
      </c>
      <c r="S203" s="3">
        <v>118</v>
      </c>
      <c r="T203" s="3" t="str">
        <f>IFERROR(MID(VLOOKUP($B203,Seqs!$A:$B,2,0),U203,1),"")</f>
        <v>G</v>
      </c>
      <c r="U203" s="3">
        <v>119</v>
      </c>
      <c r="V203" s="3" t="str">
        <f>IFERROR(MID(VLOOKUP($B203,Seqs!$A:$B,2,0),W203,1),"")</f>
        <v>H</v>
      </c>
      <c r="W203" s="3">
        <v>154</v>
      </c>
      <c r="X203" s="3" t="str">
        <f>IFERROR(MID(VLOOKUP($B203,Seqs!$A:$B,2,0),Y203,1),"")</f>
        <v>P</v>
      </c>
      <c r="Y203" s="3">
        <v>155</v>
      </c>
      <c r="Z203" s="3" t="str">
        <f>IFERROR(MID(VLOOKUP($B203,Seqs!$A:$B,2,0),AA203,1),"")</f>
        <v>R</v>
      </c>
      <c r="AA203" s="3">
        <v>162</v>
      </c>
      <c r="AB203" s="3" t="str">
        <f>IFERROR(MID(VLOOKUP($B203,Seqs!$A:$B,2,0),AC203,1),"")</f>
        <v>T</v>
      </c>
      <c r="AC203" s="9">
        <v>163</v>
      </c>
      <c r="AD203" s="3" t="str">
        <f>IFERROR(MID(VLOOKUP($B203,Seqs!$A:$B,2,0),AE203,1),"")</f>
        <v>G</v>
      </c>
      <c r="AE203" s="3">
        <v>189</v>
      </c>
      <c r="AF203" s="3" t="str">
        <f>IFERROR(MID(VLOOKUP($B203,Seqs!$A:$B,2,0),AG203,1),"")</f>
        <v>C</v>
      </c>
      <c r="AG203" s="3">
        <v>200</v>
      </c>
      <c r="AH203" s="3" t="str">
        <f>IFERROR(MID(VLOOKUP($B203,Seqs!$A:$B,2,0),AI203,1),"")</f>
        <v>V</v>
      </c>
      <c r="AI203" s="3">
        <v>202</v>
      </c>
      <c r="AJ203" s="3" t="str">
        <f>IFERROR(MID(VLOOKUP($B203,Seqs!$A:$B,2,0),AK203,1),"")</f>
        <v>Q</v>
      </c>
      <c r="AK203" s="3">
        <v>208</v>
      </c>
      <c r="AL203" s="3" t="str">
        <f>IFERROR(MID(VLOOKUP($B203,Seqs!$A:$B,2,0),AM203,1),"")</f>
        <v>V</v>
      </c>
      <c r="AM203" s="3">
        <v>245</v>
      </c>
      <c r="AN203" s="3" t="str">
        <f>IFERROR(MID(VLOOKUP($B203,Seqs!$A:$B,2,0),AO203,1),"")</f>
        <v>S</v>
      </c>
      <c r="AO203" s="3">
        <v>251</v>
      </c>
      <c r="AP203" s="3" t="str">
        <f>IFERROR(MID(VLOOKUP($B203,Seqs!$A:$B,2,0),AQ203,1),"")</f>
        <v>G</v>
      </c>
      <c r="AQ203" s="3">
        <v>289</v>
      </c>
      <c r="AR203" s="3" t="str">
        <f>IFERROR(MID(VLOOKUP($B203,Seqs!$A:$B,2,0),AS203,1),"")</f>
        <v>S</v>
      </c>
      <c r="AS203" s="3">
        <v>294</v>
      </c>
      <c r="AT203" s="3" t="str">
        <f>IFERROR(MID(VLOOKUP($B203,Seqs!$A:$B,2,0),AU203,1),"")</f>
        <v>L</v>
      </c>
      <c r="AU203" s="3">
        <v>322</v>
      </c>
      <c r="AV203" s="3" t="str">
        <f>IFERROR(MID(VLOOKUP($B203,Seqs!$A:$B,2,0),AW203,1),"")</f>
        <v>D</v>
      </c>
      <c r="AW203" s="3">
        <v>323</v>
      </c>
      <c r="AX203" s="3" t="str">
        <f>IFERROR(MID(VLOOKUP($B203,Seqs!$A:$B,2,0),AY203,1),"")</f>
        <v>C</v>
      </c>
      <c r="AY203" s="3">
        <v>335</v>
      </c>
      <c r="AZ203" s="77" t="str">
        <f>VLOOKUP(B203,Classification!A:D,2,0)</f>
        <v>A</v>
      </c>
      <c r="BA203" s="94" t="str">
        <f>VLOOKUP(B203,Classification!A:D,4,0)</f>
        <v>Opioid</v>
      </c>
      <c r="BB203" s="27" t="b">
        <f t="shared" si="670"/>
        <v>1</v>
      </c>
      <c r="BC203" s="23">
        <f t="shared" si="643"/>
        <v>263</v>
      </c>
      <c r="BD203" s="56" t="s">
        <v>1379</v>
      </c>
      <c r="BE203" s="3" t="s">
        <v>23</v>
      </c>
      <c r="BF203" s="119" t="s">
        <v>23</v>
      </c>
      <c r="BG203" s="49" t="s">
        <v>1379</v>
      </c>
      <c r="BH203" s="49" t="s">
        <v>1384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644"/>
        <v>48</v>
      </c>
      <c r="BW203" s="71">
        <f t="shared" si="645"/>
        <v>80</v>
      </c>
      <c r="BX203" s="72">
        <f t="shared" si="646"/>
        <v>84</v>
      </c>
      <c r="BY203" s="71">
        <f t="shared" si="647"/>
        <v>115</v>
      </c>
      <c r="BZ203" s="72">
        <f t="shared" si="648"/>
        <v>119</v>
      </c>
      <c r="CA203" s="71">
        <f t="shared" si="649"/>
        <v>155</v>
      </c>
      <c r="CB203" s="72">
        <f t="shared" si="650"/>
        <v>163</v>
      </c>
      <c r="CC203" s="71">
        <f t="shared" si="651"/>
        <v>200</v>
      </c>
      <c r="CD203" s="72">
        <f t="shared" si="652"/>
        <v>208</v>
      </c>
      <c r="CE203" s="71">
        <f t="shared" si="653"/>
        <v>251</v>
      </c>
      <c r="CF203" s="72">
        <f t="shared" si="654"/>
        <v>294</v>
      </c>
      <c r="CG203" s="71">
        <f t="shared" si="655"/>
        <v>323</v>
      </c>
      <c r="CH203" s="70">
        <f t="shared" si="656"/>
        <v>79</v>
      </c>
      <c r="CI203" s="71">
        <f t="shared" si="657"/>
        <v>83</v>
      </c>
      <c r="CJ203" s="72">
        <f t="shared" si="658"/>
        <v>113</v>
      </c>
      <c r="CK203" s="72">
        <f t="shared" si="659"/>
        <v>118</v>
      </c>
      <c r="CL203" s="72">
        <f t="shared" si="660"/>
        <v>154</v>
      </c>
      <c r="CM203" s="72">
        <f t="shared" si="661"/>
        <v>162</v>
      </c>
      <c r="CN203" s="72">
        <f t="shared" si="662"/>
        <v>189</v>
      </c>
      <c r="CO203" s="72">
        <f t="shared" si="663"/>
        <v>202</v>
      </c>
      <c r="CP203" s="72">
        <f t="shared" si="664"/>
        <v>245</v>
      </c>
      <c r="CQ203" s="72">
        <f t="shared" si="665"/>
        <v>289</v>
      </c>
      <c r="CR203" s="72">
        <f t="shared" si="666"/>
        <v>322</v>
      </c>
      <c r="CS203" s="72">
        <f t="shared" si="667"/>
        <v>335</v>
      </c>
      <c r="CT203" s="23">
        <f t="shared" si="668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si="669"/>
        <v>oprx_human_4EA3</v>
      </c>
      <c r="B204" s="3" t="s">
        <v>1174</v>
      </c>
      <c r="C204" s="3" t="s">
        <v>67</v>
      </c>
      <c r="D204" s="3" t="str">
        <f>IFERROR(MID(VLOOKUP($B204,Seqs!$A:$B,2,0),E204,1),"")</f>
        <v>L</v>
      </c>
      <c r="E204" s="3">
        <v>48</v>
      </c>
      <c r="F204" s="3" t="str">
        <f>IFERROR(MID(VLOOKUP($B204,Seqs!$A:$B,2,0),G204,1),"")</f>
        <v>H</v>
      </c>
      <c r="G204" s="3">
        <v>79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T</v>
      </c>
      <c r="M204" s="3">
        <v>84</v>
      </c>
      <c r="N204" s="3" t="str">
        <f>IFERROR(MID(VLOOKUP($B204,Seqs!$A:$B,2,0),O204,1),"")</f>
        <v>L</v>
      </c>
      <c r="O204" s="3">
        <v>113</v>
      </c>
      <c r="P204" s="3" t="str">
        <f>IFERROR(MID(VLOOKUP($B204,Seqs!$A:$B,2,0),Q204,1),"")</f>
        <v>F</v>
      </c>
      <c r="Q204" s="3">
        <v>115</v>
      </c>
      <c r="R204" s="3" t="str">
        <f>IFERROR(MID(VLOOKUP($B204,Seqs!$A:$B,2,0),S204,1),"")</f>
        <v>F</v>
      </c>
      <c r="S204" s="3">
        <v>118</v>
      </c>
      <c r="T204" s="3" t="str">
        <f>IFERROR(MID(VLOOKUP($B204,Seqs!$A:$B,2,0),U204,1),"")</f>
        <v>G</v>
      </c>
      <c r="U204" s="3">
        <v>119</v>
      </c>
      <c r="V204" s="3" t="str">
        <f>IFERROR(MID(VLOOKUP($B204,Seqs!$A:$B,2,0),W204,1),"")</f>
        <v>H</v>
      </c>
      <c r="W204" s="3">
        <v>154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T</v>
      </c>
      <c r="AC204" s="9">
        <v>163</v>
      </c>
      <c r="AD204" s="3" t="str">
        <f>IFERROR(MID(VLOOKUP($B204,Seqs!$A:$B,2,0),AE204,1),"")</f>
        <v>G</v>
      </c>
      <c r="AE204" s="3">
        <v>189</v>
      </c>
      <c r="AF204" s="3" t="str">
        <f>IFERROR(MID(VLOOKUP($B204,Seqs!$A:$B,2,0),AG204,1),"")</f>
        <v>C</v>
      </c>
      <c r="AG204" s="3">
        <v>200</v>
      </c>
      <c r="AH204" s="3" t="str">
        <f>IFERROR(MID(VLOOKUP($B204,Seqs!$A:$B,2,0),AI204,1),"")</f>
        <v>V</v>
      </c>
      <c r="AI204" s="3">
        <v>202</v>
      </c>
      <c r="AJ204" s="3" t="str">
        <f>IFERROR(MID(VLOOKUP($B204,Seqs!$A:$B,2,0),AK204,1),"")</f>
        <v>Q</v>
      </c>
      <c r="AK204" s="3">
        <v>208</v>
      </c>
      <c r="AL204" s="3" t="str">
        <f>IFERROR(MID(VLOOKUP($B204,Seqs!$A:$B,2,0),AM204,1),"")</f>
        <v>L</v>
      </c>
      <c r="AM204" s="3">
        <v>242</v>
      </c>
      <c r="AN204" s="3" t="str">
        <f>IFERROR(MID(VLOOKUP($B204,Seqs!$A:$B,2,0),AO204,1),"")</f>
        <v>S</v>
      </c>
      <c r="AO204" s="3">
        <v>251</v>
      </c>
      <c r="AP204" s="3" t="str">
        <f>IFERROR(MID(VLOOKUP($B204,Seqs!$A:$B,2,0),AQ204,1),"")</f>
        <v>G</v>
      </c>
      <c r="AQ204" s="3">
        <v>289</v>
      </c>
      <c r="AR204" s="3" t="str">
        <f>IFERROR(MID(VLOOKUP($B204,Seqs!$A:$B,2,0),AS204,1),"")</f>
        <v>S</v>
      </c>
      <c r="AS204" s="3">
        <v>294</v>
      </c>
      <c r="AT204" s="3" t="str">
        <f>IFERROR(MID(VLOOKUP($B204,Seqs!$A:$B,2,0),AU204,1),"")</f>
        <v>L</v>
      </c>
      <c r="AU204" s="3">
        <v>322</v>
      </c>
      <c r="AV204" s="3" t="str">
        <f>IFERROR(MID(VLOOKUP($B204,Seqs!$A:$B,2,0),AW204,1),"")</f>
        <v>D</v>
      </c>
      <c r="AW204" s="3">
        <v>323</v>
      </c>
      <c r="AX204" s="3" t="str">
        <f>IFERROR(MID(VLOOKUP($B204,Seqs!$A:$B,2,0),AY204,1),"")</f>
        <v>R</v>
      </c>
      <c r="AY204" s="3">
        <v>331</v>
      </c>
      <c r="AZ204" s="77" t="str">
        <f>VLOOKUP(B204,Classification!A:D,2,0)</f>
        <v>A</v>
      </c>
      <c r="BA204" s="94" t="str">
        <f>VLOOKUP(B204,Classification!A:D,4,0)</f>
        <v>Opioid</v>
      </c>
      <c r="BB204" s="27" t="b">
        <f t="shared" si="670"/>
        <v>1</v>
      </c>
      <c r="BC204" s="23">
        <f t="shared" si="643"/>
        <v>246</v>
      </c>
      <c r="BD204" s="5" t="s">
        <v>23</v>
      </c>
      <c r="BE204" s="3" t="s">
        <v>1381</v>
      </c>
      <c r="BF204" s="119">
        <v>3.01</v>
      </c>
      <c r="BG204" s="49" t="s">
        <v>1384</v>
      </c>
      <c r="BH204" s="49" t="s">
        <v>1384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644"/>
        <v>48</v>
      </c>
      <c r="BW204" s="71" t="str">
        <f t="shared" si="645"/>
        <v>-</v>
      </c>
      <c r="BX204" s="72">
        <f t="shared" si="646"/>
        <v>84</v>
      </c>
      <c r="BY204" s="71">
        <f t="shared" si="647"/>
        <v>115</v>
      </c>
      <c r="BZ204" s="72">
        <f t="shared" si="648"/>
        <v>119</v>
      </c>
      <c r="CA204" s="71" t="str">
        <f t="shared" si="649"/>
        <v>-</v>
      </c>
      <c r="CB204" s="72">
        <f t="shared" si="650"/>
        <v>163</v>
      </c>
      <c r="CC204" s="71">
        <f t="shared" si="651"/>
        <v>200</v>
      </c>
      <c r="CD204" s="72">
        <f t="shared" si="652"/>
        <v>208</v>
      </c>
      <c r="CE204" s="71">
        <f t="shared" si="653"/>
        <v>251</v>
      </c>
      <c r="CF204" s="72">
        <f t="shared" si="654"/>
        <v>294</v>
      </c>
      <c r="CG204" s="71">
        <f t="shared" si="655"/>
        <v>323</v>
      </c>
      <c r="CH204" s="70">
        <f t="shared" si="656"/>
        <v>79</v>
      </c>
      <c r="CI204" s="71" t="str">
        <f t="shared" si="657"/>
        <v>-</v>
      </c>
      <c r="CJ204" s="72">
        <f t="shared" si="658"/>
        <v>113</v>
      </c>
      <c r="CK204" s="72">
        <f t="shared" si="659"/>
        <v>118</v>
      </c>
      <c r="CL204" s="72">
        <f t="shared" si="660"/>
        <v>154</v>
      </c>
      <c r="CM204" s="72" t="str">
        <f t="shared" si="661"/>
        <v>-</v>
      </c>
      <c r="CN204" s="72">
        <f t="shared" si="662"/>
        <v>189</v>
      </c>
      <c r="CO204" s="72">
        <f t="shared" si="663"/>
        <v>202</v>
      </c>
      <c r="CP204" s="72">
        <f t="shared" si="664"/>
        <v>242</v>
      </c>
      <c r="CQ204" s="72">
        <f t="shared" si="665"/>
        <v>289</v>
      </c>
      <c r="CR204" s="72">
        <f t="shared" si="666"/>
        <v>322</v>
      </c>
      <c r="CS204" s="72">
        <f t="shared" si="667"/>
        <v>331</v>
      </c>
      <c r="CT204" s="23" t="e">
        <f t="shared" si="668"/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si="669"/>
        <v>oprx_human_5DHG</v>
      </c>
      <c r="B205" s="3" t="s">
        <v>1174</v>
      </c>
      <c r="C205" s="3" t="s">
        <v>1361</v>
      </c>
      <c r="D205" s="3" t="str">
        <f>IFERROR(MID(VLOOKUP($B205,Seqs!$A:$B,2,0),E205,1),"")</f>
        <v>L</v>
      </c>
      <c r="E205" s="3">
        <v>48</v>
      </c>
      <c r="F205" s="3" t="str">
        <f>IFERROR(MID(VLOOKUP($B205,Seqs!$A:$B,2,0),G205,1),"")</f>
        <v>H</v>
      </c>
      <c r="G205" s="3">
        <v>79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84</v>
      </c>
      <c r="N205" s="3" t="str">
        <f>IFERROR(MID(VLOOKUP($B205,Seqs!$A:$B,2,0),O205,1),"")</f>
        <v>L</v>
      </c>
      <c r="O205" s="3">
        <v>113</v>
      </c>
      <c r="P205" s="3" t="str">
        <f>IFERROR(MID(VLOOKUP($B205,Seqs!$A:$B,2,0),Q205,1),"")</f>
        <v>F</v>
      </c>
      <c r="Q205" s="3">
        <v>115</v>
      </c>
      <c r="R205" s="3" t="str">
        <f>IFERROR(MID(VLOOKUP($B205,Seqs!$A:$B,2,0),S205,1),"")</f>
        <v>F</v>
      </c>
      <c r="S205" s="3">
        <v>118</v>
      </c>
      <c r="T205" s="3" t="str">
        <f>IFERROR(MID(VLOOKUP($B205,Seqs!$A:$B,2,0),U205,1),"")</f>
        <v>G</v>
      </c>
      <c r="U205" s="3">
        <v>119</v>
      </c>
      <c r="V205" s="3" t="str">
        <f>IFERROR(MID(VLOOKUP($B205,Seqs!$A:$B,2,0),W205,1),"")</f>
        <v>H</v>
      </c>
      <c r="W205" s="3">
        <v>154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T</v>
      </c>
      <c r="AC205" s="9">
        <v>163</v>
      </c>
      <c r="AD205" s="3" t="str">
        <f>IFERROR(MID(VLOOKUP($B205,Seqs!$A:$B,2,0),AE205,1),"")</f>
        <v>G</v>
      </c>
      <c r="AE205" s="3">
        <v>189</v>
      </c>
      <c r="AF205" s="3" t="str">
        <f>IFERROR(MID(VLOOKUP($B205,Seqs!$A:$B,2,0),AG205,1),"")</f>
        <v>C</v>
      </c>
      <c r="AG205" s="3">
        <v>200</v>
      </c>
      <c r="AH205" s="3" t="str">
        <f>IFERROR(MID(VLOOKUP($B205,Seqs!$A:$B,2,0),AI205,1),"")</f>
        <v>V</v>
      </c>
      <c r="AI205" s="3">
        <v>202</v>
      </c>
      <c r="AJ205" s="3" t="str">
        <f>IFERROR(MID(VLOOKUP($B205,Seqs!$A:$B,2,0),AK205,1),"")</f>
        <v>Q</v>
      </c>
      <c r="AK205" s="3">
        <v>208</v>
      </c>
      <c r="AL205" s="3" t="str">
        <f>IFERROR(MID(VLOOKUP($B205,Seqs!$A:$B,2,0),AM205,1),"")</f>
        <v>L</v>
      </c>
      <c r="AM205" s="3">
        <v>242</v>
      </c>
      <c r="AN205" s="3" t="str">
        <f>IFERROR(MID(VLOOKUP($B205,Seqs!$A:$B,2,0),AO205,1),"")</f>
        <v>S</v>
      </c>
      <c r="AO205" s="3">
        <v>251</v>
      </c>
      <c r="AP205" s="3" t="str">
        <f>IFERROR(MID(VLOOKUP($B205,Seqs!$A:$B,2,0),AQ205,1),"")</f>
        <v>G</v>
      </c>
      <c r="AQ205" s="3">
        <v>289</v>
      </c>
      <c r="AR205" s="3" t="str">
        <f>IFERROR(MID(VLOOKUP($B205,Seqs!$A:$B,2,0),AS205,1),"")</f>
        <v>S</v>
      </c>
      <c r="AS205" s="3">
        <v>294</v>
      </c>
      <c r="AT205" s="3" t="str">
        <f>IFERROR(MID(VLOOKUP($B205,Seqs!$A:$B,2,0),AU205,1),"")</f>
        <v>L</v>
      </c>
      <c r="AU205" s="3">
        <v>322</v>
      </c>
      <c r="AV205" s="3" t="str">
        <f>IFERROR(MID(VLOOKUP($B205,Seqs!$A:$B,2,0),AW205,1),"")</f>
        <v>D</v>
      </c>
      <c r="AW205" s="3">
        <v>323</v>
      </c>
      <c r="AX205" s="3" t="str">
        <f>IFERROR(MID(VLOOKUP($B205,Seqs!$A:$B,2,0),AY205,1),"")</f>
        <v>F</v>
      </c>
      <c r="AY205" s="3">
        <v>333</v>
      </c>
      <c r="AZ205" s="77" t="str">
        <f>VLOOKUP(B205,Classification!A:D,2,0)</f>
        <v>A</v>
      </c>
      <c r="BA205" s="94" t="str">
        <f>VLOOKUP(B205,Classification!A:D,4,0)</f>
        <v>Opioid</v>
      </c>
      <c r="BB205" s="27" t="b">
        <f t="shared" si="670"/>
        <v>1</v>
      </c>
      <c r="BC205" s="23">
        <f t="shared" si="643"/>
        <v>248</v>
      </c>
      <c r="BD205" s="16" t="s">
        <v>1383</v>
      </c>
      <c r="BE205" s="3" t="s">
        <v>1381</v>
      </c>
      <c r="BF205" s="119">
        <v>3</v>
      </c>
      <c r="BG205" s="49" t="s">
        <v>1287</v>
      </c>
      <c r="BH205" s="49" t="s">
        <v>1384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644"/>
        <v>48</v>
      </c>
      <c r="BW205" s="71" t="str">
        <f t="shared" si="645"/>
        <v>-</v>
      </c>
      <c r="BX205" s="72">
        <f t="shared" si="646"/>
        <v>84</v>
      </c>
      <c r="BY205" s="71">
        <f t="shared" si="647"/>
        <v>115</v>
      </c>
      <c r="BZ205" s="72">
        <f t="shared" si="648"/>
        <v>119</v>
      </c>
      <c r="CA205" s="71" t="str">
        <f t="shared" si="649"/>
        <v>-</v>
      </c>
      <c r="CB205" s="72">
        <f t="shared" si="650"/>
        <v>163</v>
      </c>
      <c r="CC205" s="71">
        <f t="shared" si="651"/>
        <v>200</v>
      </c>
      <c r="CD205" s="72">
        <f t="shared" si="652"/>
        <v>208</v>
      </c>
      <c r="CE205" s="71">
        <f t="shared" si="653"/>
        <v>251</v>
      </c>
      <c r="CF205" s="72">
        <f t="shared" si="654"/>
        <v>294</v>
      </c>
      <c r="CG205" s="71">
        <f t="shared" si="655"/>
        <v>323</v>
      </c>
      <c r="CH205" s="70">
        <f t="shared" si="656"/>
        <v>79</v>
      </c>
      <c r="CI205" s="71" t="str">
        <f t="shared" si="657"/>
        <v>-</v>
      </c>
      <c r="CJ205" s="72">
        <f t="shared" si="658"/>
        <v>113</v>
      </c>
      <c r="CK205" s="72">
        <f t="shared" si="659"/>
        <v>118</v>
      </c>
      <c r="CL205" s="72">
        <f t="shared" si="660"/>
        <v>154</v>
      </c>
      <c r="CM205" s="72" t="str">
        <f t="shared" si="661"/>
        <v>-</v>
      </c>
      <c r="CN205" s="72">
        <f t="shared" si="662"/>
        <v>189</v>
      </c>
      <c r="CO205" s="72">
        <f t="shared" si="663"/>
        <v>202</v>
      </c>
      <c r="CP205" s="72">
        <f t="shared" si="664"/>
        <v>242</v>
      </c>
      <c r="CQ205" s="72">
        <f t="shared" si="665"/>
        <v>289</v>
      </c>
      <c r="CR205" s="72">
        <f t="shared" si="666"/>
        <v>322</v>
      </c>
      <c r="CS205" s="72">
        <f t="shared" si="667"/>
        <v>333</v>
      </c>
      <c r="CT205" s="23" t="e">
        <f t="shared" si="668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si="669"/>
        <v>oprx_human_5DHH</v>
      </c>
      <c r="B206" s="3" t="s">
        <v>1174</v>
      </c>
      <c r="C206" s="3" t="s">
        <v>1362</v>
      </c>
      <c r="D206" s="3" t="str">
        <f>IFERROR(MID(VLOOKUP($B206,Seqs!$A:$B,2,0),E206,1),"")</f>
        <v>L</v>
      </c>
      <c r="E206" s="3">
        <v>48</v>
      </c>
      <c r="F206" s="3" t="str">
        <f>IFERROR(MID(VLOOKUP($B206,Seqs!$A:$B,2,0),G206,1),"")</f>
        <v>H</v>
      </c>
      <c r="G206" s="3">
        <v>79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T</v>
      </c>
      <c r="M206" s="3">
        <v>84</v>
      </c>
      <c r="N206" s="3" t="str">
        <f>IFERROR(MID(VLOOKUP($B206,Seqs!$A:$B,2,0),O206,1),"")</f>
        <v>L</v>
      </c>
      <c r="O206" s="3">
        <v>113</v>
      </c>
      <c r="P206" s="3" t="str">
        <f>IFERROR(MID(VLOOKUP($B206,Seqs!$A:$B,2,0),Q206,1),"")</f>
        <v>F</v>
      </c>
      <c r="Q206" s="3">
        <v>115</v>
      </c>
      <c r="R206" s="3" t="str">
        <f>IFERROR(MID(VLOOKUP($B206,Seqs!$A:$B,2,0),S206,1),"")</f>
        <v>F</v>
      </c>
      <c r="S206" s="3">
        <v>118</v>
      </c>
      <c r="T206" s="3" t="str">
        <f>IFERROR(MID(VLOOKUP($B206,Seqs!$A:$B,2,0),U206,1),"")</f>
        <v>G</v>
      </c>
      <c r="U206" s="3">
        <v>119</v>
      </c>
      <c r="V206" s="3" t="str">
        <f>IFERROR(MID(VLOOKUP($B206,Seqs!$A:$B,2,0),W206,1),"")</f>
        <v>H</v>
      </c>
      <c r="W206" s="3">
        <v>154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T</v>
      </c>
      <c r="AC206" s="9">
        <v>163</v>
      </c>
      <c r="AD206" s="3" t="str">
        <f>IFERROR(MID(VLOOKUP($B206,Seqs!$A:$B,2,0),AE206,1),"")</f>
        <v>G</v>
      </c>
      <c r="AE206" s="3">
        <v>189</v>
      </c>
      <c r="AF206" s="3" t="str">
        <f>IFERROR(MID(VLOOKUP($B206,Seqs!$A:$B,2,0),AG206,1),"")</f>
        <v>C</v>
      </c>
      <c r="AG206" s="3">
        <v>200</v>
      </c>
      <c r="AH206" s="3" t="str">
        <f>IFERROR(MID(VLOOKUP($B206,Seqs!$A:$B,2,0),AI206,1),"")</f>
        <v>V</v>
      </c>
      <c r="AI206" s="3">
        <v>202</v>
      </c>
      <c r="AJ206" s="3" t="str">
        <f>IFERROR(MID(VLOOKUP($B206,Seqs!$A:$B,2,0),AK206,1),"")</f>
        <v>Q</v>
      </c>
      <c r="AK206" s="3">
        <v>208</v>
      </c>
      <c r="AL206" s="3" t="str">
        <f>IFERROR(MID(VLOOKUP($B206,Seqs!$A:$B,2,0),AM206,1),"")</f>
        <v>L</v>
      </c>
      <c r="AM206" s="3">
        <v>242</v>
      </c>
      <c r="AN206" s="3" t="str">
        <f>IFERROR(MID(VLOOKUP($B206,Seqs!$A:$B,2,0),AO206,1),"")</f>
        <v>S</v>
      </c>
      <c r="AO206" s="3">
        <v>251</v>
      </c>
      <c r="AP206" s="3" t="str">
        <f>IFERROR(MID(VLOOKUP($B206,Seqs!$A:$B,2,0),AQ206,1),"")</f>
        <v>G</v>
      </c>
      <c r="AQ206" s="3">
        <v>289</v>
      </c>
      <c r="AR206" s="3" t="str">
        <f>IFERROR(MID(VLOOKUP($B206,Seqs!$A:$B,2,0),AS206,1),"")</f>
        <v>S</v>
      </c>
      <c r="AS206" s="3">
        <v>294</v>
      </c>
      <c r="AT206" s="3" t="str">
        <f>IFERROR(MID(VLOOKUP($B206,Seqs!$A:$B,2,0),AU206,1),"")</f>
        <v>L</v>
      </c>
      <c r="AU206" s="3">
        <v>322</v>
      </c>
      <c r="AV206" s="3" t="str">
        <f>IFERROR(MID(VLOOKUP($B206,Seqs!$A:$B,2,0),AW206,1),"")</f>
        <v>D</v>
      </c>
      <c r="AW206" s="3">
        <v>323</v>
      </c>
      <c r="AX206" s="3" t="str">
        <f>IFERROR(MID(VLOOKUP($B206,Seqs!$A:$B,2,0),AY206,1),"")</f>
        <v>R</v>
      </c>
      <c r="AY206" s="3">
        <v>331</v>
      </c>
      <c r="AZ206" s="77" t="str">
        <f>VLOOKUP(B206,Classification!A:D,2,0)</f>
        <v>A</v>
      </c>
      <c r="BA206" s="94" t="str">
        <f>VLOOKUP(B206,Classification!A:D,4,0)</f>
        <v>Opioid</v>
      </c>
      <c r="BB206" s="27" t="b">
        <f t="shared" si="670"/>
        <v>1</v>
      </c>
      <c r="BC206" s="23">
        <f t="shared" si="643"/>
        <v>246</v>
      </c>
      <c r="BD206" s="5" t="s">
        <v>23</v>
      </c>
      <c r="BE206" s="3" t="s">
        <v>1381</v>
      </c>
      <c r="BF206" s="119">
        <v>3</v>
      </c>
      <c r="BG206" s="49" t="s">
        <v>1</v>
      </c>
      <c r="BH206" s="49" t="s">
        <v>1384</v>
      </c>
      <c r="BI206" s="1" t="s">
        <v>1366</v>
      </c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 t="shared" si="644"/>
        <v>48</v>
      </c>
      <c r="BW206" s="71" t="str">
        <f t="shared" si="645"/>
        <v>-</v>
      </c>
      <c r="BX206" s="72">
        <f t="shared" si="646"/>
        <v>84</v>
      </c>
      <c r="BY206" s="71">
        <f t="shared" si="647"/>
        <v>115</v>
      </c>
      <c r="BZ206" s="72">
        <f t="shared" si="648"/>
        <v>119</v>
      </c>
      <c r="CA206" s="71" t="str">
        <f t="shared" si="649"/>
        <v>-</v>
      </c>
      <c r="CB206" s="72">
        <f t="shared" si="650"/>
        <v>163</v>
      </c>
      <c r="CC206" s="71">
        <f t="shared" si="651"/>
        <v>200</v>
      </c>
      <c r="CD206" s="72">
        <f t="shared" si="652"/>
        <v>208</v>
      </c>
      <c r="CE206" s="71">
        <f t="shared" si="653"/>
        <v>251</v>
      </c>
      <c r="CF206" s="72">
        <f t="shared" si="654"/>
        <v>294</v>
      </c>
      <c r="CG206" s="71">
        <f t="shared" si="655"/>
        <v>323</v>
      </c>
      <c r="CH206" s="70">
        <f t="shared" si="656"/>
        <v>79</v>
      </c>
      <c r="CI206" s="71" t="str">
        <f t="shared" si="657"/>
        <v>-</v>
      </c>
      <c r="CJ206" s="72">
        <f t="shared" si="658"/>
        <v>113</v>
      </c>
      <c r="CK206" s="72">
        <f t="shared" si="659"/>
        <v>118</v>
      </c>
      <c r="CL206" s="72">
        <f t="shared" si="660"/>
        <v>154</v>
      </c>
      <c r="CM206" s="72" t="str">
        <f t="shared" si="661"/>
        <v>-</v>
      </c>
      <c r="CN206" s="72">
        <f t="shared" si="662"/>
        <v>189</v>
      </c>
      <c r="CO206" s="72">
        <f t="shared" si="663"/>
        <v>202</v>
      </c>
      <c r="CP206" s="72">
        <f t="shared" si="664"/>
        <v>242</v>
      </c>
      <c r="CQ206" s="72">
        <f t="shared" si="665"/>
        <v>289</v>
      </c>
      <c r="CR206" s="72">
        <f t="shared" si="666"/>
        <v>322</v>
      </c>
      <c r="CS206" s="72">
        <f t="shared" si="667"/>
        <v>331</v>
      </c>
      <c r="CT206" s="23" t="e">
        <f t="shared" si="668"/>
        <v>#VALUE!</v>
      </c>
    </row>
    <row r="207" spans="1:1030" x14ac:dyDescent="0.2">
      <c r="A207" s="3" t="str">
        <f t="shared" si="669"/>
        <v>opsd_bovin__wt</v>
      </c>
      <c r="B207" s="3" t="s">
        <v>920</v>
      </c>
      <c r="C207" s="3" t="s">
        <v>100</v>
      </c>
      <c r="D207" s="3" t="str">
        <f>IFERROR(MID(VLOOKUP($B207,Seqs!$A:$B,2,0),E207,1),"")</f>
        <v>E</v>
      </c>
      <c r="E207" s="105">
        <v>33</v>
      </c>
      <c r="F207" s="3" t="str">
        <f>IFERROR(MID(VLOOKUP($B207,Seqs!$A:$B,2,0),G207,1),"")</f>
        <v>H</v>
      </c>
      <c r="G207" s="3">
        <v>65</v>
      </c>
      <c r="H207" s="3" t="str">
        <f>IFERROR(MID(VLOOKUP($B207,Seqs!$A:$B,2,0),I207,1),"")</f>
        <v>K</v>
      </c>
      <c r="I207" s="23">
        <v>66</v>
      </c>
      <c r="J207" s="3" t="str">
        <f>IFERROR(MID(VLOOKUP($B207,Seqs!$A:$B,2,0),K207,1),"")</f>
        <v>R</v>
      </c>
      <c r="K207" s="23">
        <v>69</v>
      </c>
      <c r="L207" s="3" t="str">
        <f>IFERROR(MID(VLOOKUP($B207,Seqs!$A:$B,2,0),M207,1),"")</f>
        <v>T</v>
      </c>
      <c r="M207" s="3">
        <v>70</v>
      </c>
      <c r="N207" s="3" t="str">
        <f>IFERROR(MID(VLOOKUP($B207,Seqs!$A:$B,2,0),O207,1),"")</f>
        <v>H</v>
      </c>
      <c r="O207" s="3">
        <v>100</v>
      </c>
      <c r="P207" s="3" t="str">
        <f>IFERROR(MID(VLOOKUP($B207,Seqs!$A:$B,2,0),Q207,1),"")</f>
        <v>Y</v>
      </c>
      <c r="Q207" s="3">
        <v>102</v>
      </c>
      <c r="R207" s="3" t="str">
        <f>IFERROR(MID(VLOOKUP($B207,Seqs!$A:$B,2,0),S207,1),"")</f>
        <v>F</v>
      </c>
      <c r="S207" s="3">
        <v>105</v>
      </c>
      <c r="T207" s="3" t="str">
        <f>IFERROR(MID(VLOOKUP($B207,Seqs!$A:$B,2,0),U207,1),"")</f>
        <v>G</v>
      </c>
      <c r="U207" s="3">
        <v>106</v>
      </c>
      <c r="V207" s="3" t="str">
        <f>IFERROR(MID(VLOOKUP($B207,Seqs!$A:$B,2,0),W207,1),"")</f>
        <v>K</v>
      </c>
      <c r="W207" s="3">
        <v>141</v>
      </c>
      <c r="X207" s="3" t="str">
        <f>IFERROR(MID(VLOOKUP($B207,Seqs!$A:$B,2,0),Y207,1),"")</f>
        <v>P</v>
      </c>
      <c r="Y207" s="3">
        <v>142</v>
      </c>
      <c r="Z207" s="3" t="str">
        <f>IFERROR(MID(VLOOKUP($B207,Seqs!$A:$B,2,0),AA207,1),"")</f>
        <v>F</v>
      </c>
      <c r="AA207" s="105">
        <v>148</v>
      </c>
      <c r="AB207" s="3" t="str">
        <f>IFERROR(MID(VLOOKUP($B207,Seqs!$A:$B,2,0),AC207,1),"")</f>
        <v>G</v>
      </c>
      <c r="AC207" s="105">
        <v>149</v>
      </c>
      <c r="AD207" s="3" t="str">
        <f>IFERROR(MID(VLOOKUP($B207,Seqs!$A:$B,2,0),AE207,1),"")</f>
        <v>V</v>
      </c>
      <c r="AE207" s="3">
        <v>173</v>
      </c>
      <c r="AF207" s="3" t="str">
        <f>IFERROR(MID(VLOOKUP($B207,Seqs!$A:$B,2,0),AG207,1),"")</f>
        <v>C</v>
      </c>
      <c r="AG207" s="3">
        <v>187</v>
      </c>
      <c r="AH207" s="3" t="str">
        <f>IFERROR(MID(VLOOKUP($B207,Seqs!$A:$B,2,0),AI207,1),"")</f>
        <v>I</v>
      </c>
      <c r="AI207" s="3">
        <v>189</v>
      </c>
      <c r="AJ207" s="3" t="str">
        <f>IFERROR(MID(VLOOKUP($B207,Seqs!$A:$B,2,0),AK207,1),"")</f>
        <v>N</v>
      </c>
      <c r="AK207" s="3">
        <v>199</v>
      </c>
      <c r="AL207" s="3" t="str">
        <f>IFERROR(MID(VLOOKUP($B207,Seqs!$A:$B,2,0),AM207,1),"")</f>
        <v>Q</v>
      </c>
      <c r="AM207" s="3">
        <v>237</v>
      </c>
      <c r="AN207" s="3" t="str">
        <f>IFERROR(MID(VLOOKUP($B207,Seqs!$A:$B,2,0),AO207,1),"")</f>
        <v>A</v>
      </c>
      <c r="AO207" s="3">
        <v>241</v>
      </c>
      <c r="AP207" s="3" t="str">
        <f>IFERROR(MID(VLOOKUP($B207,Seqs!$A:$B,2,0),AQ207,1),"")</f>
        <v>H</v>
      </c>
      <c r="AQ207" s="3">
        <v>278</v>
      </c>
      <c r="AR207" s="3" t="str">
        <f>IFERROR(MID(VLOOKUP($B207,Seqs!$A:$B,2,0),AS207,1),"")</f>
        <v>G</v>
      </c>
      <c r="AS207" s="3">
        <v>284</v>
      </c>
      <c r="AT207" s="3" t="str">
        <f>IFERROR(MID(VLOOKUP($B207,Seqs!$A:$B,2,0),AU207,1),"")</f>
        <v>M</v>
      </c>
      <c r="AU207" s="3">
        <v>309</v>
      </c>
      <c r="AV207" s="3" t="str">
        <f>IFERROR(MID(VLOOKUP($B207,Seqs!$A:$B,2,0),AW207,1),"")</f>
        <v>N</v>
      </c>
      <c r="AW207" s="3">
        <v>310</v>
      </c>
      <c r="AX207" s="3" t="str">
        <f>IFERROR(MID(VLOOKUP($B207,Seqs!$A:$B,2,0),AY207,1),"")</f>
        <v>C</v>
      </c>
      <c r="AY207" s="3">
        <v>322</v>
      </c>
      <c r="AZ207" s="77" t="str">
        <f>VLOOKUP(B207,Classification!A:D,2,0)</f>
        <v>A</v>
      </c>
      <c r="BA207" s="94" t="str">
        <f>VLOOKUP(B207,Classification!A:D,4,0)</f>
        <v>Opsins</v>
      </c>
      <c r="BB207" s="27" t="b">
        <f t="shared" si="670"/>
        <v>1</v>
      </c>
      <c r="BC207" s="23">
        <f t="shared" si="643"/>
        <v>259</v>
      </c>
      <c r="BD207" s="34" t="s">
        <v>1379</v>
      </c>
      <c r="BE207" s="3" t="s">
        <v>23</v>
      </c>
      <c r="BF207" s="119" t="s">
        <v>23</v>
      </c>
      <c r="BG207" s="49" t="s">
        <v>1379</v>
      </c>
      <c r="BH207" s="49" t="s">
        <v>1384</v>
      </c>
      <c r="BI207" s="1"/>
      <c r="BJ207" s="70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0">
        <f t="shared" si="644"/>
        <v>33</v>
      </c>
      <c r="BW207" s="71">
        <f t="shared" si="645"/>
        <v>66</v>
      </c>
      <c r="BX207" s="72">
        <f t="shared" si="646"/>
        <v>70</v>
      </c>
      <c r="BY207" s="71">
        <f t="shared" si="647"/>
        <v>102</v>
      </c>
      <c r="BZ207" s="72">
        <f t="shared" si="648"/>
        <v>106</v>
      </c>
      <c r="CA207" s="71">
        <f t="shared" si="649"/>
        <v>142</v>
      </c>
      <c r="CB207" s="72">
        <f t="shared" si="650"/>
        <v>149</v>
      </c>
      <c r="CC207" s="71">
        <f t="shared" si="651"/>
        <v>187</v>
      </c>
      <c r="CD207" s="72">
        <f t="shared" si="652"/>
        <v>199</v>
      </c>
      <c r="CE207" s="71">
        <f t="shared" si="653"/>
        <v>241</v>
      </c>
      <c r="CF207" s="72">
        <f t="shared" si="654"/>
        <v>284</v>
      </c>
      <c r="CG207" s="71">
        <f t="shared" si="655"/>
        <v>310</v>
      </c>
      <c r="CH207" s="70">
        <f t="shared" si="656"/>
        <v>65</v>
      </c>
      <c r="CI207" s="71">
        <f t="shared" si="657"/>
        <v>69</v>
      </c>
      <c r="CJ207" s="72">
        <f t="shared" si="658"/>
        <v>100</v>
      </c>
      <c r="CK207" s="72">
        <f t="shared" si="659"/>
        <v>105</v>
      </c>
      <c r="CL207" s="72">
        <f t="shared" si="660"/>
        <v>141</v>
      </c>
      <c r="CM207" s="72">
        <f t="shared" si="661"/>
        <v>148</v>
      </c>
      <c r="CN207" s="72">
        <f t="shared" si="662"/>
        <v>173</v>
      </c>
      <c r="CO207" s="72">
        <f t="shared" si="663"/>
        <v>189</v>
      </c>
      <c r="CP207" s="72">
        <f t="shared" si="664"/>
        <v>237</v>
      </c>
      <c r="CQ207" s="72">
        <f t="shared" si="665"/>
        <v>278</v>
      </c>
      <c r="CR207" s="72">
        <f t="shared" si="666"/>
        <v>309</v>
      </c>
      <c r="CS207" s="72">
        <f t="shared" si="667"/>
        <v>322</v>
      </c>
      <c r="CT207" s="23">
        <f t="shared" si="668"/>
        <v>1</v>
      </c>
    </row>
    <row r="208" spans="1:1030" x14ac:dyDescent="0.2">
      <c r="A208" s="3" t="str">
        <f t="shared" si="669"/>
        <v>opsd_bovin_1GZM</v>
      </c>
      <c r="B208" s="3" t="s">
        <v>920</v>
      </c>
      <c r="C208" s="3" t="s">
        <v>1343</v>
      </c>
      <c r="D208" s="3" t="str">
        <f>IFERROR(MID(VLOOKUP($B208,Seqs!$A:$B,2,0),E208,1),"")</f>
        <v>E</v>
      </c>
      <c r="E208" s="105">
        <v>33</v>
      </c>
      <c r="F208" s="3" t="str">
        <f>IFERROR(MID(VLOOKUP($B208,Seqs!$A:$B,2,0),G208,1),"")</f>
        <v>H</v>
      </c>
      <c r="G208" s="3">
        <v>65</v>
      </c>
      <c r="H208" s="3" t="str">
        <f>IFERROR(MID(VLOOKUP($B208,Seqs!$A:$B,2,0),I208,1),"")</f>
        <v>K</v>
      </c>
      <c r="I208" s="23">
        <v>66</v>
      </c>
      <c r="J208" s="3" t="str">
        <f>IFERROR(MID(VLOOKUP($B208,Seqs!$A:$B,2,0),K208,1),"")</f>
        <v>R</v>
      </c>
      <c r="K208" s="23">
        <v>69</v>
      </c>
      <c r="L208" s="3" t="str">
        <f>IFERROR(MID(VLOOKUP($B208,Seqs!$A:$B,2,0),M208,1),"")</f>
        <v>T</v>
      </c>
      <c r="M208" s="3">
        <v>70</v>
      </c>
      <c r="N208" s="3" t="str">
        <f>IFERROR(MID(VLOOKUP($B208,Seqs!$A:$B,2,0),O208,1),"")</f>
        <v>H</v>
      </c>
      <c r="O208" s="3">
        <v>100</v>
      </c>
      <c r="P208" s="3" t="str">
        <f>IFERROR(MID(VLOOKUP($B208,Seqs!$A:$B,2,0),Q208,1),"")</f>
        <v>Y</v>
      </c>
      <c r="Q208" s="3">
        <v>102</v>
      </c>
      <c r="R208" s="3" t="str">
        <f>IFERROR(MID(VLOOKUP($B208,Seqs!$A:$B,2,0),S208,1),"")</f>
        <v>F</v>
      </c>
      <c r="S208" s="3">
        <v>105</v>
      </c>
      <c r="T208" s="3" t="str">
        <f>IFERROR(MID(VLOOKUP($B208,Seqs!$A:$B,2,0),U208,1),"")</f>
        <v>G</v>
      </c>
      <c r="U208" s="3">
        <v>106</v>
      </c>
      <c r="V208" s="3" t="str">
        <f>IFERROR(MID(VLOOKUP($B208,Seqs!$A:$B,2,0),W208,1),"")</f>
        <v>K</v>
      </c>
      <c r="W208" s="3">
        <v>141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G</v>
      </c>
      <c r="AC208" s="9">
        <v>149</v>
      </c>
      <c r="AD208" s="3" t="str">
        <f>IFERROR(MID(VLOOKUP($B208,Seqs!$A:$B,2,0),AE208,1),"")</f>
        <v>V</v>
      </c>
      <c r="AE208" s="3">
        <v>173</v>
      </c>
      <c r="AF208" s="3" t="str">
        <f>IFERROR(MID(VLOOKUP($B208,Seqs!$A:$B,2,0),AG208,1),"")</f>
        <v>C</v>
      </c>
      <c r="AG208" s="3">
        <v>187</v>
      </c>
      <c r="AH208" s="3" t="str">
        <f>IFERROR(MID(VLOOKUP($B208,Seqs!$A:$B,2,0),AI208,1),"")</f>
        <v>I</v>
      </c>
      <c r="AI208" s="3">
        <v>189</v>
      </c>
      <c r="AJ208" s="3" t="str">
        <f>IFERROR(MID(VLOOKUP($B208,Seqs!$A:$B,2,0),AK208,1),"")</f>
        <v>N</v>
      </c>
      <c r="AK208" s="3">
        <v>199</v>
      </c>
      <c r="AL208" s="3" t="str">
        <f>IFERROR(MID(VLOOKUP($B208,Seqs!$A:$B,2,0),AM208,1),"")</f>
        <v>A</v>
      </c>
      <c r="AM208" s="3">
        <v>233</v>
      </c>
      <c r="AN208" s="3" t="str">
        <f>IFERROR(MID(VLOOKUP($B208,Seqs!$A:$B,2,0),AO208,1),"")</f>
        <v>A</v>
      </c>
      <c r="AO208" s="3">
        <v>241</v>
      </c>
      <c r="AP208" s="3" t="str">
        <f>IFERROR(MID(VLOOKUP($B208,Seqs!$A:$B,2,0),AQ208,1),"")</f>
        <v>H</v>
      </c>
      <c r="AQ208" s="3">
        <v>278</v>
      </c>
      <c r="AR208" s="3" t="str">
        <f>IFERROR(MID(VLOOKUP($B208,Seqs!$A:$B,2,0),AS208,1),"")</f>
        <v>G</v>
      </c>
      <c r="AS208" s="3">
        <v>284</v>
      </c>
      <c r="AT208" s="3" t="str">
        <f>IFERROR(MID(VLOOKUP($B208,Seqs!$A:$B,2,0),AU208,1),"")</f>
        <v>M</v>
      </c>
      <c r="AU208" s="3">
        <v>309</v>
      </c>
      <c r="AV208" s="3" t="str">
        <f>IFERROR(MID(VLOOKUP($B208,Seqs!$A:$B,2,0),AW208,1),"")</f>
        <v>N</v>
      </c>
      <c r="AW208" s="3">
        <v>310</v>
      </c>
      <c r="AX208" s="3" t="str">
        <f>IFERROR(MID(VLOOKUP($B208,Seqs!$A:$B,2,0),AY208,1),"")</f>
        <v>C</v>
      </c>
      <c r="AY208" s="3">
        <v>322</v>
      </c>
      <c r="AZ208" s="77" t="str">
        <f>VLOOKUP(B208,Classification!A:D,2,0)</f>
        <v>A</v>
      </c>
      <c r="BA208" s="94" t="str">
        <f>VLOOKUP(B208,Classification!A:D,4,0)</f>
        <v>Opsins</v>
      </c>
      <c r="BB208" s="27" t="b">
        <f t="shared" si="670"/>
        <v>1</v>
      </c>
      <c r="BC208" s="23">
        <f t="shared" si="643"/>
        <v>249</v>
      </c>
      <c r="BD208" s="56" t="s">
        <v>1383</v>
      </c>
      <c r="BE208" s="3" t="s">
        <v>1381</v>
      </c>
      <c r="BF208" s="119">
        <v>2.65</v>
      </c>
      <c r="BG208" s="49" t="s">
        <v>1384</v>
      </c>
      <c r="BH208" s="49" t="s">
        <v>1384</v>
      </c>
      <c r="BI208" s="1"/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644"/>
        <v>33</v>
      </c>
      <c r="BW208" s="71">
        <f t="shared" si="645"/>
        <v>66</v>
      </c>
      <c r="BX208" s="72">
        <f t="shared" si="646"/>
        <v>70</v>
      </c>
      <c r="BY208" s="71">
        <f t="shared" si="647"/>
        <v>102</v>
      </c>
      <c r="BZ208" s="72">
        <f t="shared" si="648"/>
        <v>106</v>
      </c>
      <c r="CA208" s="71" t="str">
        <f t="shared" si="649"/>
        <v>-</v>
      </c>
      <c r="CB208" s="72">
        <f t="shared" si="650"/>
        <v>149</v>
      </c>
      <c r="CC208" s="71">
        <f t="shared" si="651"/>
        <v>187</v>
      </c>
      <c r="CD208" s="72">
        <f t="shared" si="652"/>
        <v>199</v>
      </c>
      <c r="CE208" s="71">
        <f t="shared" si="653"/>
        <v>241</v>
      </c>
      <c r="CF208" s="72">
        <f t="shared" si="654"/>
        <v>284</v>
      </c>
      <c r="CG208" s="71">
        <f t="shared" si="655"/>
        <v>310</v>
      </c>
      <c r="CH208" s="70">
        <f t="shared" si="656"/>
        <v>65</v>
      </c>
      <c r="CI208" s="71">
        <f t="shared" si="657"/>
        <v>69</v>
      </c>
      <c r="CJ208" s="72">
        <f t="shared" si="658"/>
        <v>100</v>
      </c>
      <c r="CK208" s="72">
        <f t="shared" si="659"/>
        <v>105</v>
      </c>
      <c r="CL208" s="72">
        <f t="shared" si="660"/>
        <v>141</v>
      </c>
      <c r="CM208" s="72" t="str">
        <f t="shared" si="661"/>
        <v>-</v>
      </c>
      <c r="CN208" s="72">
        <f t="shared" si="662"/>
        <v>173</v>
      </c>
      <c r="CO208" s="72">
        <f t="shared" si="663"/>
        <v>189</v>
      </c>
      <c r="CP208" s="72">
        <f t="shared" si="664"/>
        <v>233</v>
      </c>
      <c r="CQ208" s="72">
        <f t="shared" si="665"/>
        <v>278</v>
      </c>
      <c r="CR208" s="72">
        <f t="shared" si="666"/>
        <v>309</v>
      </c>
      <c r="CS208" s="72">
        <f t="shared" si="667"/>
        <v>322</v>
      </c>
      <c r="CT208" s="23">
        <f t="shared" si="668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669"/>
        <v>opsd_bovin_1U19</v>
      </c>
      <c r="B209" s="3" t="s">
        <v>920</v>
      </c>
      <c r="C209" s="3" t="s">
        <v>53</v>
      </c>
      <c r="D209" s="3" t="str">
        <f>IFERROR(MID(VLOOKUP($B209,Seqs!$A:$B,2,0),E209,1),"")</f>
        <v>E</v>
      </c>
      <c r="E209" s="105">
        <v>33</v>
      </c>
      <c r="F209" s="3" t="str">
        <f>IFERROR(MID(VLOOKUP($B209,Seqs!$A:$B,2,0),G209,1),"")</f>
        <v>H</v>
      </c>
      <c r="G209" s="3">
        <v>65</v>
      </c>
      <c r="H209" s="3" t="str">
        <f>IFERROR(MID(VLOOKUP($B209,Seqs!$A:$B,2,0),I209,1),"")</f>
        <v>K</v>
      </c>
      <c r="I209" s="23">
        <v>66</v>
      </c>
      <c r="J209" s="3" t="str">
        <f>IFERROR(MID(VLOOKUP($B209,Seqs!$A:$B,2,0),K209,1),"")</f>
        <v>R</v>
      </c>
      <c r="K209" s="23">
        <v>69</v>
      </c>
      <c r="L209" s="3" t="str">
        <f>IFERROR(MID(VLOOKUP($B209,Seqs!$A:$B,2,0),M209,1),"")</f>
        <v>T</v>
      </c>
      <c r="M209" s="3">
        <v>70</v>
      </c>
      <c r="N209" s="3" t="str">
        <f>IFERROR(MID(VLOOKUP($B209,Seqs!$A:$B,2,0),O209,1),"")</f>
        <v>H</v>
      </c>
      <c r="O209" s="3">
        <v>100</v>
      </c>
      <c r="P209" s="3" t="str">
        <f>IFERROR(MID(VLOOKUP($B209,Seqs!$A:$B,2,0),Q209,1),"")</f>
        <v>Y</v>
      </c>
      <c r="Q209" s="3">
        <v>102</v>
      </c>
      <c r="R209" s="3" t="str">
        <f>IFERROR(MID(VLOOKUP($B209,Seqs!$A:$B,2,0),S209,1),"")</f>
        <v>F</v>
      </c>
      <c r="S209" s="3">
        <v>105</v>
      </c>
      <c r="T209" s="3" t="str">
        <f>IFERROR(MID(VLOOKUP($B209,Seqs!$A:$B,2,0),U209,1),"")</f>
        <v>G</v>
      </c>
      <c r="U209" s="3">
        <v>106</v>
      </c>
      <c r="V209" s="3" t="str">
        <f>IFERROR(MID(VLOOKUP($B209,Seqs!$A:$B,2,0),W209,1),"")</f>
        <v>K</v>
      </c>
      <c r="W209" s="3">
        <v>141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G</v>
      </c>
      <c r="AC209" s="9">
        <v>149</v>
      </c>
      <c r="AD209" s="3" t="str">
        <f>IFERROR(MID(VLOOKUP($B209,Seqs!$A:$B,2,0),AE209,1),"")</f>
        <v>V</v>
      </c>
      <c r="AE209" s="3">
        <v>173</v>
      </c>
      <c r="AF209" s="3" t="str">
        <f>IFERROR(MID(VLOOKUP($B209,Seqs!$A:$B,2,0),AG209,1),"")</f>
        <v>C</v>
      </c>
      <c r="AG209" s="3">
        <v>187</v>
      </c>
      <c r="AH209" s="3" t="str">
        <f>IFERROR(MID(VLOOKUP($B209,Seqs!$A:$B,2,0),AI209,1),"")</f>
        <v>I</v>
      </c>
      <c r="AI209" s="3">
        <v>189</v>
      </c>
      <c r="AJ209" s="3" t="str">
        <f>IFERROR(MID(VLOOKUP($B209,Seqs!$A:$B,2,0),AK209,1),"")</f>
        <v>N</v>
      </c>
      <c r="AK209" s="3">
        <v>199</v>
      </c>
      <c r="AL209" s="3" t="str">
        <f>IFERROR(MID(VLOOKUP($B209,Seqs!$A:$B,2,0),AM209,1),"")</f>
        <v>Q</v>
      </c>
      <c r="AM209" s="3">
        <v>225</v>
      </c>
      <c r="AN209" s="3" t="str">
        <f>IFERROR(MID(VLOOKUP($B209,Seqs!$A:$B,2,0),AO209,1),"")</f>
        <v>T</v>
      </c>
      <c r="AO209" s="3">
        <v>243</v>
      </c>
      <c r="AP209" s="3" t="str">
        <f>IFERROR(MID(VLOOKUP($B209,Seqs!$A:$B,2,0),AQ209,1),"")</f>
        <v>H</v>
      </c>
      <c r="AQ209" s="3">
        <v>278</v>
      </c>
      <c r="AR209" s="3" t="str">
        <f>IFERROR(MID(VLOOKUP($B209,Seqs!$A:$B,2,0),AS209,1),"")</f>
        <v>G</v>
      </c>
      <c r="AS209" s="3">
        <v>284</v>
      </c>
      <c r="AT209" s="3" t="str">
        <f>IFERROR(MID(VLOOKUP($B209,Seqs!$A:$B,2,0),AU209,1),"")</f>
        <v>M</v>
      </c>
      <c r="AU209" s="3">
        <v>309</v>
      </c>
      <c r="AV209" s="3" t="str">
        <f>IFERROR(MID(VLOOKUP($B209,Seqs!$A:$B,2,0),AW209,1),"")</f>
        <v>N</v>
      </c>
      <c r="AW209" s="3">
        <v>310</v>
      </c>
      <c r="AX209" s="3" t="str">
        <f>IFERROR(MID(VLOOKUP($B209,Seqs!$A:$B,2,0),AY209,1),"")</f>
        <v>C</v>
      </c>
      <c r="AY209" s="3">
        <v>322</v>
      </c>
      <c r="AZ209" s="77" t="str">
        <f>VLOOKUP(B209,Classification!A:D,2,0)</f>
        <v>A</v>
      </c>
      <c r="BA209" s="94" t="str">
        <f>VLOOKUP(B209,Classification!A:D,4,0)</f>
        <v>Opsins</v>
      </c>
      <c r="BB209" s="27" t="b">
        <f t="shared" si="670"/>
        <v>1</v>
      </c>
      <c r="BC209" s="23">
        <f t="shared" si="643"/>
        <v>239</v>
      </c>
      <c r="BD209" s="74" t="s">
        <v>23</v>
      </c>
      <c r="BE209" s="3" t="s">
        <v>1381</v>
      </c>
      <c r="BF209" s="119">
        <v>2.2000000000000002</v>
      </c>
      <c r="BG209" s="49" t="s">
        <v>1</v>
      </c>
      <c r="BH209" s="49" t="s">
        <v>1384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644"/>
        <v>33</v>
      </c>
      <c r="BW209" s="71">
        <f t="shared" si="645"/>
        <v>66</v>
      </c>
      <c r="BX209" s="72">
        <f t="shared" si="646"/>
        <v>70</v>
      </c>
      <c r="BY209" s="71">
        <f t="shared" si="647"/>
        <v>102</v>
      </c>
      <c r="BZ209" s="72">
        <f t="shared" si="648"/>
        <v>106</v>
      </c>
      <c r="CA209" s="71" t="str">
        <f t="shared" si="649"/>
        <v>-</v>
      </c>
      <c r="CB209" s="72">
        <f t="shared" si="650"/>
        <v>149</v>
      </c>
      <c r="CC209" s="71">
        <f t="shared" si="651"/>
        <v>187</v>
      </c>
      <c r="CD209" s="72">
        <f t="shared" si="652"/>
        <v>199</v>
      </c>
      <c r="CE209" s="71">
        <f t="shared" si="653"/>
        <v>243</v>
      </c>
      <c r="CF209" s="72">
        <f t="shared" si="654"/>
        <v>284</v>
      </c>
      <c r="CG209" s="71">
        <f t="shared" si="655"/>
        <v>310</v>
      </c>
      <c r="CH209" s="70">
        <f t="shared" si="656"/>
        <v>65</v>
      </c>
      <c r="CI209" s="71">
        <f t="shared" si="657"/>
        <v>69</v>
      </c>
      <c r="CJ209" s="72">
        <f t="shared" si="658"/>
        <v>100</v>
      </c>
      <c r="CK209" s="72">
        <f t="shared" si="659"/>
        <v>105</v>
      </c>
      <c r="CL209" s="72">
        <f t="shared" si="660"/>
        <v>141</v>
      </c>
      <c r="CM209" s="72" t="str">
        <f t="shared" si="661"/>
        <v>-</v>
      </c>
      <c r="CN209" s="72">
        <f t="shared" si="662"/>
        <v>173</v>
      </c>
      <c r="CO209" s="72">
        <f t="shared" si="663"/>
        <v>189</v>
      </c>
      <c r="CP209" s="72">
        <f t="shared" si="664"/>
        <v>225</v>
      </c>
      <c r="CQ209" s="72">
        <f t="shared" si="665"/>
        <v>278</v>
      </c>
      <c r="CR209" s="72">
        <f t="shared" si="666"/>
        <v>309</v>
      </c>
      <c r="CS209" s="72">
        <f t="shared" si="667"/>
        <v>322</v>
      </c>
      <c r="CT209" s="23">
        <f t="shared" si="668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si="669"/>
        <v>opsd_bovin_2X72</v>
      </c>
      <c r="B210" s="2" t="s">
        <v>920</v>
      </c>
      <c r="C210" s="3" t="s">
        <v>1376</v>
      </c>
      <c r="D210" s="3" t="str">
        <f>IFERROR(MID(VLOOKUP($B210,Seqs!$A:$B,2,0),E210,1),"")</f>
        <v>E</v>
      </c>
      <c r="E210" s="105">
        <v>33</v>
      </c>
      <c r="F210" s="3" t="str">
        <f>IFERROR(MID(VLOOKUP($B210,Seqs!$A:$B,2,0),G210,1),"")</f>
        <v>H</v>
      </c>
      <c r="G210" s="3">
        <v>65</v>
      </c>
      <c r="H210" s="3" t="str">
        <f>IFERROR(MID(VLOOKUP($B210,Seqs!$A:$B,2,0),I210,1),"")</f>
        <v>K</v>
      </c>
      <c r="I210" s="23">
        <v>66</v>
      </c>
      <c r="J210" s="3" t="str">
        <f>IFERROR(MID(VLOOKUP($B210,Seqs!$A:$B,2,0),K210,1),"")</f>
        <v>R</v>
      </c>
      <c r="K210" s="23">
        <v>69</v>
      </c>
      <c r="L210" s="3" t="str">
        <f>IFERROR(MID(VLOOKUP($B210,Seqs!$A:$B,2,0),M210,1),"")</f>
        <v>T</v>
      </c>
      <c r="M210" s="3">
        <v>70</v>
      </c>
      <c r="N210" s="3" t="str">
        <f>IFERROR(MID(VLOOKUP($B210,Seqs!$A:$B,2,0),O210,1),"")</f>
        <v>H</v>
      </c>
      <c r="O210" s="3">
        <v>100</v>
      </c>
      <c r="P210" s="3" t="str">
        <f>IFERROR(MID(VLOOKUP($B210,Seqs!$A:$B,2,0),Q210,1),"")</f>
        <v>Y</v>
      </c>
      <c r="Q210" s="3">
        <v>102</v>
      </c>
      <c r="R210" s="3" t="str">
        <f>IFERROR(MID(VLOOKUP($B210,Seqs!$A:$B,2,0),S210,1),"")</f>
        <v>F</v>
      </c>
      <c r="S210" s="3">
        <v>105</v>
      </c>
      <c r="T210" s="3" t="str">
        <f>IFERROR(MID(VLOOKUP($B210,Seqs!$A:$B,2,0),U210,1),"")</f>
        <v>G</v>
      </c>
      <c r="U210" s="3">
        <v>106</v>
      </c>
      <c r="V210" s="3" t="str">
        <f>IFERROR(MID(VLOOKUP($B210,Seqs!$A:$B,2,0),W210,1),"")</f>
        <v>K</v>
      </c>
      <c r="W210" s="3">
        <v>141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G</v>
      </c>
      <c r="AC210" s="9">
        <v>149</v>
      </c>
      <c r="AD210" s="3" t="str">
        <f>IFERROR(MID(VLOOKUP($B210,Seqs!$A:$B,2,0),AE210,1),"")</f>
        <v>V</v>
      </c>
      <c r="AE210" s="3">
        <v>173</v>
      </c>
      <c r="AF210" s="3" t="str">
        <f>IFERROR(MID(VLOOKUP($B210,Seqs!$A:$B,2,0),AG210,1),"")</f>
        <v>C</v>
      </c>
      <c r="AG210" s="3">
        <v>187</v>
      </c>
      <c r="AH210" s="3" t="str">
        <f>IFERROR(MID(VLOOKUP($B210,Seqs!$A:$B,2,0),AI210,1),"")</f>
        <v>I</v>
      </c>
      <c r="AI210" s="3">
        <v>189</v>
      </c>
      <c r="AJ210" s="3" t="str">
        <f>IFERROR(MID(VLOOKUP($B210,Seqs!$A:$B,2,0),AK210,1),"")</f>
        <v>N</v>
      </c>
      <c r="AK210" s="3">
        <v>199</v>
      </c>
      <c r="AL210" s="3" t="str">
        <f>IFERROR(MID(VLOOKUP($B210,Seqs!$A:$B,2,0),AM210,1),"")</f>
        <v>Q</v>
      </c>
      <c r="AM210" s="3">
        <v>237</v>
      </c>
      <c r="AN210" s="3" t="str">
        <f>IFERROR(MID(VLOOKUP($B210,Seqs!$A:$B,2,0),AO210,1),"")</f>
        <v>A</v>
      </c>
      <c r="AO210" s="3">
        <v>241</v>
      </c>
      <c r="AP210" s="3" t="str">
        <f>IFERROR(MID(VLOOKUP($B210,Seqs!$A:$B,2,0),AQ210,1),"")</f>
        <v>H</v>
      </c>
      <c r="AQ210" s="3">
        <v>278</v>
      </c>
      <c r="AR210" s="3" t="str">
        <f>IFERROR(MID(VLOOKUP($B210,Seqs!$A:$B,2,0),AS210,1),"")</f>
        <v>G</v>
      </c>
      <c r="AS210" s="3">
        <v>284</v>
      </c>
      <c r="AT210" s="3" t="str">
        <f>IFERROR(MID(VLOOKUP($B210,Seqs!$A:$B,2,0),AU210,1),"")</f>
        <v>M</v>
      </c>
      <c r="AU210" s="3">
        <v>309</v>
      </c>
      <c r="AV210" s="3" t="str">
        <f>IFERROR(MID(VLOOKUP($B210,Seqs!$A:$B,2,0),AW210,1),"")</f>
        <v>N</v>
      </c>
      <c r="AW210" s="3">
        <v>310</v>
      </c>
      <c r="AX210" s="3" t="str">
        <f>IFERROR(MID(VLOOKUP($B210,Seqs!$A:$B,2,0),AY210,1),"")</f>
        <v>C</v>
      </c>
      <c r="AY210" s="3">
        <v>322</v>
      </c>
      <c r="AZ210" s="77" t="str">
        <f>VLOOKUP(B210,Classification!A:D,2,0)</f>
        <v>A</v>
      </c>
      <c r="BA210" s="94" t="str">
        <f>VLOOKUP(B210,Classification!A:D,4,0)</f>
        <v>Opsins</v>
      </c>
      <c r="BB210" s="27" t="b">
        <f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>_xlfn.AGGREGATE(9,6,CH210:CS210)-_xlfn.AGGREGATE(9,6,BV210:CG210)+12</f>
        <v>253</v>
      </c>
      <c r="BD210" s="56" t="s">
        <v>23</v>
      </c>
      <c r="BE210" s="3" t="s">
        <v>1297</v>
      </c>
      <c r="BF210" s="119">
        <v>3</v>
      </c>
      <c r="BG210" s="49" t="s">
        <v>1384</v>
      </c>
      <c r="BH210" s="49" t="s">
        <v>1384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>E210</f>
        <v>33</v>
      </c>
      <c r="BW210" s="71">
        <f>I210</f>
        <v>66</v>
      </c>
      <c r="BX210" s="72">
        <f>M210</f>
        <v>70</v>
      </c>
      <c r="BY210" s="71">
        <f>Q210</f>
        <v>102</v>
      </c>
      <c r="BZ210" s="72">
        <f>U210</f>
        <v>106</v>
      </c>
      <c r="CA210" s="71" t="str">
        <f>Y210</f>
        <v>-</v>
      </c>
      <c r="CB210" s="72">
        <f>AC210</f>
        <v>149</v>
      </c>
      <c r="CC210" s="71">
        <f>AG210</f>
        <v>187</v>
      </c>
      <c r="CD210" s="72">
        <f>AK210</f>
        <v>199</v>
      </c>
      <c r="CE210" s="71">
        <f>AO210</f>
        <v>241</v>
      </c>
      <c r="CF210" s="72">
        <f>AS210</f>
        <v>284</v>
      </c>
      <c r="CG210" s="71">
        <f>AW210</f>
        <v>310</v>
      </c>
      <c r="CH210" s="70">
        <f>G210</f>
        <v>65</v>
      </c>
      <c r="CI210" s="71">
        <f>K210</f>
        <v>69</v>
      </c>
      <c r="CJ210" s="72">
        <f>O210</f>
        <v>100</v>
      </c>
      <c r="CK210" s="72">
        <f>S210</f>
        <v>105</v>
      </c>
      <c r="CL210" s="72">
        <f>W210</f>
        <v>141</v>
      </c>
      <c r="CM210" s="72" t="str">
        <f>AA210</f>
        <v>-</v>
      </c>
      <c r="CN210" s="72">
        <f>AE210</f>
        <v>173</v>
      </c>
      <c r="CO210" s="72">
        <f>AI210</f>
        <v>189</v>
      </c>
      <c r="CP210" s="72">
        <f>AM210</f>
        <v>237</v>
      </c>
      <c r="CQ210" s="72">
        <f>AQ210</f>
        <v>278</v>
      </c>
      <c r="CR210" s="72">
        <f>AU210</f>
        <v>309</v>
      </c>
      <c r="CS210" s="72">
        <f>AY210</f>
        <v>322</v>
      </c>
      <c r="CT210" s="23">
        <f>M210-K210</f>
        <v>1</v>
      </c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  <c r="ND210" s="6"/>
      <c r="NE210" s="6"/>
      <c r="NF210" s="6"/>
      <c r="NG210" s="6"/>
      <c r="NH210" s="6"/>
      <c r="NI210" s="6"/>
      <c r="NJ210" s="6"/>
      <c r="NK210" s="6"/>
      <c r="NL210" s="6"/>
      <c r="NM210" s="6"/>
      <c r="NN210" s="6"/>
      <c r="NO210" s="6"/>
      <c r="NP210" s="6"/>
      <c r="NQ210" s="6"/>
      <c r="NR210" s="6"/>
      <c r="NS210" s="6"/>
      <c r="NT210" s="6"/>
      <c r="NU210" s="6"/>
      <c r="NV210" s="6"/>
      <c r="NW210" s="6"/>
      <c r="NX210" s="6"/>
      <c r="NY210" s="6"/>
      <c r="NZ210" s="6"/>
      <c r="OA210" s="6"/>
      <c r="OB210" s="6"/>
      <c r="OC210" s="6"/>
      <c r="OD210" s="6"/>
      <c r="OE210" s="6"/>
      <c r="OF210" s="6"/>
      <c r="OG210" s="6"/>
      <c r="OH210" s="6"/>
      <c r="OI210" s="6"/>
      <c r="OJ210" s="6"/>
      <c r="OK210" s="6"/>
      <c r="OL210" s="6"/>
      <c r="OM210" s="6"/>
      <c r="ON210" s="6"/>
      <c r="OO210" s="6"/>
      <c r="OP210" s="6"/>
      <c r="OQ210" s="6"/>
      <c r="OR210" s="6"/>
      <c r="OS210" s="6"/>
      <c r="OT210" s="6"/>
      <c r="OU210" s="6"/>
      <c r="OV210" s="6"/>
      <c r="OW210" s="6"/>
      <c r="OX210" s="6"/>
      <c r="OY210" s="6"/>
      <c r="OZ210" s="6"/>
      <c r="PA210" s="6"/>
      <c r="PB210" s="6"/>
      <c r="PC210" s="6"/>
      <c r="PD210" s="6"/>
      <c r="PE210" s="6"/>
      <c r="PF210" s="6"/>
      <c r="PG210" s="6"/>
      <c r="PH210" s="6"/>
      <c r="PI210" s="6"/>
      <c r="PJ210" s="6"/>
      <c r="PK210" s="6"/>
      <c r="PL210" s="6"/>
      <c r="PM210" s="6"/>
      <c r="PN210" s="6"/>
      <c r="PO210" s="6"/>
      <c r="PP210" s="6"/>
      <c r="PQ210" s="6"/>
      <c r="PR210" s="6"/>
      <c r="PS210" s="6"/>
      <c r="PT210" s="6"/>
      <c r="PU210" s="6"/>
      <c r="PV210" s="6"/>
      <c r="PW210" s="6"/>
      <c r="PX210" s="6"/>
      <c r="PY210" s="6"/>
      <c r="PZ210" s="6"/>
      <c r="QA210" s="6"/>
      <c r="QB210" s="6"/>
      <c r="QC210" s="6"/>
      <c r="QD210" s="6"/>
      <c r="QE210" s="6"/>
      <c r="QF210" s="6"/>
      <c r="QG210" s="6"/>
      <c r="QH210" s="6"/>
      <c r="QI210" s="6"/>
      <c r="QJ210" s="6"/>
      <c r="QK210" s="6"/>
      <c r="QL210" s="6"/>
      <c r="QM210" s="6"/>
      <c r="QN210" s="6"/>
      <c r="QO210" s="6"/>
      <c r="QP210" s="6"/>
      <c r="QQ210" s="6"/>
      <c r="QR210" s="6"/>
      <c r="QS210" s="6"/>
      <c r="QT210" s="6"/>
      <c r="QU210" s="6"/>
      <c r="QV210" s="6"/>
      <c r="QW210" s="6"/>
      <c r="QX210" s="6"/>
      <c r="QY210" s="6"/>
      <c r="QZ210" s="6"/>
      <c r="RA210" s="6"/>
      <c r="RB210" s="6"/>
      <c r="RC210" s="6"/>
      <c r="RD210" s="6"/>
      <c r="RE210" s="6"/>
      <c r="RF210" s="6"/>
      <c r="RG210" s="6"/>
      <c r="RH210" s="6"/>
      <c r="RI210" s="6"/>
      <c r="RJ210" s="6"/>
      <c r="RK210" s="6"/>
      <c r="RL210" s="6"/>
      <c r="RM210" s="6"/>
      <c r="RN210" s="6"/>
      <c r="RO210" s="6"/>
      <c r="RP210" s="6"/>
      <c r="RQ210" s="6"/>
      <c r="RR210" s="6"/>
      <c r="RS210" s="6"/>
      <c r="RT210" s="6"/>
      <c r="RU210" s="6"/>
      <c r="RV210" s="6"/>
      <c r="RW210" s="6"/>
      <c r="RX210" s="6"/>
      <c r="RY210" s="6"/>
      <c r="RZ210" s="6"/>
      <c r="SA210" s="6"/>
      <c r="SB210" s="6"/>
      <c r="SC210" s="6"/>
      <c r="SD210" s="6"/>
      <c r="SE210" s="6"/>
      <c r="SF210" s="6"/>
      <c r="SG210" s="6"/>
      <c r="SH210" s="6"/>
      <c r="SI210" s="6"/>
      <c r="SJ210" s="6"/>
      <c r="SK210" s="6"/>
      <c r="SL210" s="6"/>
      <c r="SM210" s="6"/>
      <c r="SN210" s="6"/>
      <c r="SO210" s="6"/>
      <c r="SP210" s="6"/>
      <c r="SQ210" s="6"/>
      <c r="SR210" s="6"/>
      <c r="SS210" s="6"/>
      <c r="ST210" s="6"/>
      <c r="SU210" s="6"/>
      <c r="SV210" s="6"/>
      <c r="SW210" s="6"/>
      <c r="SX210" s="6"/>
      <c r="SY210" s="6"/>
      <c r="SZ210" s="6"/>
      <c r="TA210" s="6"/>
      <c r="TB210" s="6"/>
      <c r="TC210" s="6"/>
      <c r="TD210" s="6"/>
      <c r="TE210" s="6"/>
      <c r="TF210" s="6"/>
      <c r="TG210" s="6"/>
      <c r="TH210" s="6"/>
      <c r="TI210" s="6"/>
      <c r="TJ210" s="6"/>
      <c r="TK210" s="6"/>
      <c r="TL210" s="6"/>
      <c r="TM210" s="6"/>
      <c r="TN210" s="6"/>
      <c r="TO210" s="6"/>
      <c r="TP210" s="6"/>
      <c r="TQ210" s="6"/>
      <c r="TR210" s="6"/>
      <c r="TS210" s="6"/>
      <c r="TT210" s="6"/>
      <c r="TU210" s="6"/>
      <c r="TV210" s="6"/>
      <c r="TW210" s="6"/>
      <c r="TX210" s="6"/>
      <c r="TY210" s="6"/>
      <c r="TZ210" s="6"/>
      <c r="UA210" s="6"/>
      <c r="UB210" s="6"/>
      <c r="UC210" s="6"/>
      <c r="UD210" s="6"/>
      <c r="UE210" s="6"/>
      <c r="UF210" s="6"/>
      <c r="UG210" s="6"/>
      <c r="UH210" s="6"/>
      <c r="UI210" s="6"/>
      <c r="UJ210" s="6"/>
      <c r="UK210" s="6"/>
      <c r="UL210" s="6"/>
      <c r="UM210" s="6"/>
      <c r="UN210" s="6"/>
      <c r="UO210" s="6"/>
      <c r="UP210" s="6"/>
      <c r="UQ210" s="6"/>
      <c r="UR210" s="6"/>
      <c r="US210" s="6"/>
      <c r="UT210" s="6"/>
      <c r="UU210" s="6"/>
      <c r="UV210" s="6"/>
      <c r="UW210" s="6"/>
      <c r="UX210" s="6"/>
      <c r="UY210" s="6"/>
      <c r="UZ210" s="6"/>
      <c r="VA210" s="6"/>
      <c r="VB210" s="6"/>
      <c r="VC210" s="6"/>
      <c r="VD210" s="6"/>
      <c r="VE210" s="6"/>
      <c r="VF210" s="6"/>
      <c r="VG210" s="6"/>
      <c r="VH210" s="6"/>
      <c r="VI210" s="6"/>
      <c r="VJ210" s="6"/>
      <c r="VK210" s="6"/>
      <c r="VL210" s="6"/>
      <c r="VM210" s="6"/>
      <c r="VN210" s="6"/>
      <c r="VO210" s="6"/>
      <c r="VP210" s="6"/>
      <c r="VQ210" s="6"/>
      <c r="VR210" s="6"/>
      <c r="VS210" s="6"/>
      <c r="VT210" s="6"/>
      <c r="VU210" s="6"/>
      <c r="VV210" s="6"/>
      <c r="VW210" s="6"/>
      <c r="VX210" s="6"/>
      <c r="VY210" s="6"/>
      <c r="VZ210" s="6"/>
      <c r="WA210" s="6"/>
      <c r="WB210" s="6"/>
      <c r="WC210" s="6"/>
      <c r="WD210" s="6"/>
      <c r="WE210" s="6"/>
      <c r="WF210" s="6"/>
      <c r="WG210" s="6"/>
      <c r="WH210" s="6"/>
      <c r="WI210" s="6"/>
      <c r="WJ210" s="6"/>
      <c r="WK210" s="6"/>
      <c r="WL210" s="6"/>
      <c r="WM210" s="6"/>
      <c r="WN210" s="6"/>
      <c r="WO210" s="6"/>
      <c r="WP210" s="6"/>
      <c r="WQ210" s="6"/>
      <c r="WR210" s="6"/>
      <c r="WS210" s="6"/>
      <c r="WT210" s="6"/>
      <c r="WU210" s="6"/>
      <c r="WV210" s="6"/>
      <c r="WW210" s="6"/>
      <c r="WX210" s="6"/>
      <c r="WY210" s="6"/>
      <c r="WZ210" s="6"/>
      <c r="XA210" s="6"/>
      <c r="XB210" s="6"/>
      <c r="XC210" s="6"/>
      <c r="XD210" s="6"/>
      <c r="XE210" s="6"/>
      <c r="XF210" s="6"/>
      <c r="XG210" s="6"/>
      <c r="XH210" s="6"/>
      <c r="XI210" s="6"/>
      <c r="XJ210" s="6"/>
      <c r="XK210" s="6"/>
      <c r="XL210" s="6"/>
      <c r="XM210" s="6"/>
      <c r="XN210" s="6"/>
      <c r="XO210" s="6"/>
      <c r="XP210" s="6"/>
      <c r="XQ210" s="6"/>
      <c r="XR210" s="6"/>
      <c r="XS210" s="6"/>
      <c r="XT210" s="6"/>
      <c r="XU210" s="6"/>
      <c r="XV210" s="6"/>
      <c r="XW210" s="6"/>
      <c r="XX210" s="6"/>
      <c r="XY210" s="6"/>
      <c r="XZ210" s="6"/>
      <c r="YA210" s="6"/>
      <c r="YB210" s="6"/>
      <c r="YC210" s="6"/>
      <c r="YD210" s="6"/>
      <c r="YE210" s="6"/>
      <c r="YF210" s="6"/>
      <c r="YG210" s="6"/>
      <c r="YH210" s="6"/>
      <c r="YI210" s="6"/>
      <c r="YJ210" s="6"/>
      <c r="YK210" s="6"/>
      <c r="YL210" s="6"/>
      <c r="YM210" s="6"/>
      <c r="YN210" s="6"/>
      <c r="YO210" s="6"/>
      <c r="YP210" s="6"/>
      <c r="YQ210" s="6"/>
      <c r="YR210" s="6"/>
      <c r="YS210" s="6"/>
      <c r="YT210" s="6"/>
      <c r="YU210" s="6"/>
      <c r="YV210" s="6"/>
      <c r="YW210" s="6"/>
      <c r="YX210" s="6"/>
      <c r="YY210" s="6"/>
      <c r="YZ210" s="6"/>
      <c r="ZA210" s="6"/>
      <c r="ZB210" s="6"/>
      <c r="ZC210" s="6"/>
      <c r="ZD210" s="6"/>
      <c r="ZE210" s="6"/>
      <c r="ZF210" s="6"/>
      <c r="ZG210" s="6"/>
      <c r="ZH210" s="6"/>
      <c r="ZI210" s="6"/>
      <c r="ZJ210" s="6"/>
      <c r="ZK210" s="6"/>
      <c r="ZL210" s="6"/>
      <c r="ZM210" s="6"/>
      <c r="ZN210" s="6"/>
      <c r="ZO210" s="6"/>
      <c r="ZP210" s="6"/>
      <c r="ZQ210" s="6"/>
      <c r="ZR210" s="6"/>
      <c r="ZS210" s="6"/>
      <c r="ZT210" s="6"/>
      <c r="ZU210" s="6"/>
      <c r="ZV210" s="6"/>
      <c r="ZW210" s="6"/>
      <c r="ZX210" s="6"/>
      <c r="ZY210" s="6"/>
      <c r="ZZ210" s="6"/>
      <c r="AAA210" s="6"/>
      <c r="AAB210" s="6"/>
      <c r="AAC210" s="6"/>
      <c r="AAD210" s="6"/>
      <c r="AAE210" s="6"/>
      <c r="AAF210" s="6"/>
      <c r="AAG210" s="6"/>
      <c r="AAH210" s="6"/>
      <c r="AAI210" s="6"/>
      <c r="AAJ210" s="6"/>
      <c r="AAK210" s="6"/>
      <c r="AAL210" s="6"/>
      <c r="AAM210" s="6"/>
      <c r="AAN210" s="6"/>
      <c r="AAO210" s="6"/>
      <c r="AAP210" s="6"/>
      <c r="AAQ210" s="6"/>
      <c r="AAR210" s="6"/>
      <c r="AAS210" s="6"/>
      <c r="AAT210" s="6"/>
      <c r="AAU210" s="6"/>
      <c r="AAV210" s="6"/>
      <c r="AAW210" s="6"/>
      <c r="AAX210" s="6"/>
      <c r="AAY210" s="6"/>
      <c r="AAZ210" s="6"/>
      <c r="ABA210" s="6"/>
      <c r="ABB210" s="6"/>
      <c r="ABC210" s="6"/>
      <c r="ABD210" s="6"/>
      <c r="ABE210" s="6"/>
      <c r="ABF210" s="6"/>
      <c r="ABG210" s="6"/>
      <c r="ABH210" s="6"/>
      <c r="ABI210" s="6"/>
      <c r="ABJ210" s="6"/>
      <c r="ABK210" s="6"/>
      <c r="ABL210" s="6"/>
      <c r="ABM210" s="6"/>
      <c r="ABN210" s="6"/>
      <c r="ABO210" s="6"/>
      <c r="ABP210" s="6"/>
      <c r="ABQ210" s="6"/>
      <c r="ABR210" s="6"/>
      <c r="ABS210" s="6"/>
      <c r="ABT210" s="6"/>
      <c r="ABU210" s="6"/>
      <c r="ABV210" s="6"/>
      <c r="ABW210" s="6"/>
      <c r="ABX210" s="6"/>
      <c r="ABY210" s="6"/>
      <c r="ABZ210" s="6"/>
      <c r="ACA210" s="6"/>
      <c r="ACB210" s="6"/>
      <c r="ACC210" s="6"/>
      <c r="ACD210" s="6"/>
      <c r="ACE210" s="6"/>
      <c r="ACF210" s="6"/>
      <c r="ACG210" s="6"/>
      <c r="ACH210" s="6"/>
      <c r="ACI210" s="6"/>
      <c r="ACJ210" s="6"/>
      <c r="ACK210" s="6"/>
      <c r="ACL210" s="6"/>
      <c r="ACM210" s="6"/>
      <c r="ACN210" s="6"/>
      <c r="ACO210" s="6"/>
      <c r="ACP210" s="6"/>
      <c r="ACQ210" s="6"/>
      <c r="ACR210" s="6"/>
      <c r="ACS210" s="6"/>
      <c r="ACT210" s="6"/>
      <c r="ACU210" s="6"/>
      <c r="ACV210" s="6"/>
      <c r="ACW210" s="6"/>
      <c r="ACX210" s="6"/>
      <c r="ACY210" s="6"/>
      <c r="ACZ210" s="6"/>
      <c r="ADA210" s="6"/>
      <c r="ADB210" s="6"/>
      <c r="ADC210" s="6"/>
      <c r="ADD210" s="6"/>
      <c r="ADE210" s="6"/>
      <c r="ADF210" s="6"/>
      <c r="ADG210" s="6"/>
      <c r="ADH210" s="6"/>
      <c r="ADI210" s="6"/>
      <c r="ADJ210" s="6"/>
      <c r="ADK210" s="6"/>
      <c r="ADL210" s="6"/>
      <c r="ADM210" s="6"/>
      <c r="ADN210" s="6"/>
      <c r="ADO210" s="6"/>
      <c r="ADP210" s="6"/>
      <c r="ADQ210" s="6"/>
      <c r="ADR210" s="6"/>
      <c r="ADS210" s="6"/>
      <c r="ADT210" s="6"/>
      <c r="ADU210" s="6"/>
      <c r="ADV210" s="6"/>
      <c r="ADW210" s="6"/>
      <c r="ADX210" s="6"/>
      <c r="ADY210" s="6"/>
      <c r="ADZ210" s="6"/>
      <c r="AEA210" s="6"/>
      <c r="AEB210" s="6"/>
      <c r="AEC210" s="6"/>
      <c r="AED210" s="6"/>
      <c r="AEE210" s="6"/>
      <c r="AEF210" s="6"/>
      <c r="AEG210" s="6"/>
      <c r="AEH210" s="6"/>
      <c r="AEI210" s="6"/>
      <c r="AEJ210" s="6"/>
      <c r="AEK210" s="6"/>
      <c r="AEL210" s="6"/>
      <c r="AEM210" s="6"/>
      <c r="AEN210" s="6"/>
      <c r="AEO210" s="6"/>
      <c r="AEP210" s="6"/>
      <c r="AEQ210" s="6"/>
      <c r="AER210" s="6"/>
      <c r="AES210" s="6"/>
      <c r="AET210" s="6"/>
      <c r="AEU210" s="6"/>
      <c r="AEV210" s="6"/>
      <c r="AEW210" s="6"/>
      <c r="AEX210" s="6"/>
      <c r="AEY210" s="6"/>
      <c r="AEZ210" s="6"/>
      <c r="AFA210" s="6"/>
      <c r="AFB210" s="6"/>
      <c r="AFC210" s="6"/>
      <c r="AFD210" s="6"/>
      <c r="AFE210" s="6"/>
      <c r="AFF210" s="6"/>
      <c r="AFG210" s="6"/>
      <c r="AFH210" s="6"/>
      <c r="AFI210" s="6"/>
      <c r="AFJ210" s="6"/>
      <c r="AFK210" s="6"/>
      <c r="AFL210" s="6"/>
      <c r="AFM210" s="6"/>
      <c r="AFN210" s="6"/>
      <c r="AFO210" s="6"/>
      <c r="AFP210" s="6"/>
      <c r="AFQ210" s="6"/>
      <c r="AFR210" s="6"/>
      <c r="AFS210" s="6"/>
      <c r="AFT210" s="6"/>
      <c r="AFU210" s="6"/>
      <c r="AFV210" s="6"/>
      <c r="AFW210" s="6"/>
      <c r="AFX210" s="6"/>
      <c r="AFY210" s="6"/>
      <c r="AFZ210" s="6"/>
      <c r="AGA210" s="6"/>
      <c r="AGB210" s="6"/>
      <c r="AGC210" s="6"/>
      <c r="AGD210" s="6"/>
      <c r="AGE210" s="6"/>
      <c r="AGF210" s="6"/>
      <c r="AGG210" s="6"/>
      <c r="AGH210" s="6"/>
      <c r="AGI210" s="6"/>
      <c r="AGJ210" s="6"/>
      <c r="AGK210" s="6"/>
      <c r="AGL210" s="6"/>
      <c r="AGM210" s="6"/>
      <c r="AGN210" s="6"/>
      <c r="AGO210" s="6"/>
      <c r="AGP210" s="6"/>
      <c r="AGQ210" s="6"/>
      <c r="AGR210" s="6"/>
      <c r="AGS210" s="6"/>
      <c r="AGT210" s="6"/>
      <c r="AGU210" s="6"/>
      <c r="AGV210" s="6"/>
      <c r="AGW210" s="6"/>
      <c r="AGX210" s="6"/>
      <c r="AGY210" s="6"/>
      <c r="AGZ210" s="6"/>
      <c r="AHA210" s="6"/>
      <c r="AHB210" s="6"/>
      <c r="AHC210" s="6"/>
      <c r="AHD210" s="6"/>
      <c r="AHE210" s="6"/>
      <c r="AHF210" s="6"/>
      <c r="AHG210" s="6"/>
      <c r="AHH210" s="6"/>
      <c r="AHI210" s="6"/>
      <c r="AHJ210" s="6"/>
      <c r="AHK210" s="6"/>
      <c r="AHL210" s="6"/>
      <c r="AHM210" s="6"/>
      <c r="AHN210" s="6"/>
      <c r="AHO210" s="6"/>
      <c r="AHP210" s="6"/>
      <c r="AHQ210" s="6"/>
      <c r="AHR210" s="6"/>
      <c r="AHS210" s="6"/>
      <c r="AHT210" s="6"/>
      <c r="AHU210" s="6"/>
      <c r="AHV210" s="6"/>
      <c r="AHW210" s="6"/>
      <c r="AHX210" s="6"/>
      <c r="AHY210" s="6"/>
      <c r="AHZ210" s="6"/>
      <c r="AIA210" s="6"/>
      <c r="AIB210" s="6"/>
      <c r="AIC210" s="6"/>
      <c r="AID210" s="6"/>
      <c r="AIE210" s="6"/>
      <c r="AIF210" s="6"/>
      <c r="AIG210" s="6"/>
      <c r="AIH210" s="6"/>
      <c r="AII210" s="6"/>
      <c r="AIJ210" s="6"/>
      <c r="AIK210" s="6"/>
      <c r="AIL210" s="6"/>
      <c r="AIM210" s="6"/>
      <c r="AIN210" s="6"/>
      <c r="AIO210" s="6"/>
      <c r="AIP210" s="6"/>
      <c r="AIQ210" s="6"/>
      <c r="AIR210" s="6"/>
      <c r="AIS210" s="6"/>
      <c r="AIT210" s="6"/>
      <c r="AIU210" s="6"/>
      <c r="AIV210" s="6"/>
      <c r="AIW210" s="6"/>
      <c r="AIX210" s="6"/>
      <c r="AIY210" s="6"/>
      <c r="AIZ210" s="6"/>
      <c r="AJA210" s="6"/>
      <c r="AJB210" s="6"/>
      <c r="AJC210" s="6"/>
      <c r="AJD210" s="6"/>
      <c r="AJE210" s="6"/>
      <c r="AJF210" s="6"/>
      <c r="AJG210" s="6"/>
      <c r="AJH210" s="6"/>
      <c r="AJI210" s="6"/>
      <c r="AJJ210" s="6"/>
      <c r="AJK210" s="6"/>
      <c r="AJL210" s="6"/>
      <c r="AJM210" s="6"/>
      <c r="AJN210" s="6"/>
      <c r="AJO210" s="6"/>
      <c r="AJP210" s="6"/>
      <c r="AJQ210" s="6"/>
      <c r="AJR210" s="6"/>
      <c r="AJS210" s="6"/>
      <c r="AJT210" s="6"/>
      <c r="AJU210" s="6"/>
      <c r="AJV210" s="6"/>
      <c r="AJW210" s="6"/>
      <c r="AJX210" s="6"/>
      <c r="AJY210" s="6"/>
      <c r="AJZ210" s="6"/>
      <c r="AKA210" s="6"/>
      <c r="AKB210" s="6"/>
      <c r="AKC210" s="6"/>
      <c r="AKD210" s="6"/>
      <c r="AKE210" s="6"/>
      <c r="AKF210" s="6"/>
      <c r="AKG210" s="6"/>
      <c r="AKH210" s="6"/>
      <c r="AKI210" s="6"/>
      <c r="AKJ210" s="6"/>
      <c r="AKK210" s="6"/>
      <c r="AKL210" s="6"/>
      <c r="AKM210" s="6"/>
      <c r="AKN210" s="6"/>
      <c r="AKO210" s="6"/>
      <c r="AKP210" s="6"/>
      <c r="AKQ210" s="6"/>
      <c r="AKR210" s="6"/>
      <c r="AKS210" s="6"/>
      <c r="AKT210" s="6"/>
      <c r="AKU210" s="6"/>
      <c r="AKV210" s="6"/>
      <c r="AKW210" s="6"/>
      <c r="AKX210" s="6"/>
      <c r="AKY210" s="6"/>
      <c r="AKZ210" s="6"/>
      <c r="ALA210" s="6"/>
      <c r="ALB210" s="6"/>
      <c r="ALC210" s="6"/>
      <c r="ALD210" s="6"/>
      <c r="ALE210" s="6"/>
      <c r="ALF210" s="6"/>
      <c r="ALG210" s="6"/>
      <c r="ALH210" s="6"/>
      <c r="ALI210" s="6"/>
      <c r="ALJ210" s="6"/>
      <c r="ALK210" s="6"/>
      <c r="ALL210" s="6"/>
      <c r="ALM210" s="6"/>
      <c r="ALN210" s="6"/>
      <c r="ALO210" s="6"/>
      <c r="ALP210" s="6"/>
      <c r="ALQ210" s="6"/>
      <c r="ALR210" s="6"/>
      <c r="ALS210" s="6"/>
      <c r="ALT210" s="6"/>
      <c r="ALU210" s="6"/>
      <c r="ALV210" s="6"/>
      <c r="ALW210" s="6"/>
      <c r="ALX210" s="6"/>
      <c r="ALY210" s="6"/>
      <c r="ALZ210" s="6"/>
      <c r="AMA210" s="6"/>
      <c r="AMB210" s="6"/>
      <c r="AMC210" s="6"/>
      <c r="AMD210" s="6"/>
      <c r="AME210" s="6"/>
      <c r="AMF210" s="6"/>
      <c r="AMG210" s="6"/>
      <c r="AMH210" s="6"/>
      <c r="AMI210" s="6"/>
      <c r="AMJ210" s="6"/>
      <c r="AMK210" s="6"/>
      <c r="AML210" s="6"/>
      <c r="AMM210" s="6"/>
      <c r="AMN210" s="6"/>
      <c r="AMO210" s="6"/>
      <c r="AMP210" s="6"/>
    </row>
    <row r="211" spans="1:1030" x14ac:dyDescent="0.2">
      <c r="A211" s="3" t="str">
        <f t="shared" si="669"/>
        <v>opsd_bovin_3DQB</v>
      </c>
      <c r="B211" s="3" t="s">
        <v>920</v>
      </c>
      <c r="C211" s="3" t="s">
        <v>54</v>
      </c>
      <c r="D211" s="3" t="str">
        <f>IFERROR(MID(VLOOKUP($B211,Seqs!$A:$B,2,0),E211,1),"")</f>
        <v>E</v>
      </c>
      <c r="E211" s="105">
        <v>33</v>
      </c>
      <c r="F211" s="3" t="str">
        <f>IFERROR(MID(VLOOKUP($B211,Seqs!$A:$B,2,0),G211,1),"")</f>
        <v>H</v>
      </c>
      <c r="G211" s="3">
        <v>65</v>
      </c>
      <c r="H211" s="3" t="str">
        <f>IFERROR(MID(VLOOKUP($B211,Seqs!$A:$B,2,0),I211,1),"")</f>
        <v>K</v>
      </c>
      <c r="I211" s="23">
        <v>66</v>
      </c>
      <c r="J211" s="3" t="str">
        <f>IFERROR(MID(VLOOKUP($B211,Seqs!$A:$B,2,0),K211,1),"")</f>
        <v>R</v>
      </c>
      <c r="K211" s="23">
        <v>69</v>
      </c>
      <c r="L211" s="3" t="str">
        <f>IFERROR(MID(VLOOKUP($B211,Seqs!$A:$B,2,0),M211,1),"")</f>
        <v>T</v>
      </c>
      <c r="M211" s="3">
        <v>70</v>
      </c>
      <c r="N211" s="3" t="str">
        <f>IFERROR(MID(VLOOKUP($B211,Seqs!$A:$B,2,0),O211,1),"")</f>
        <v>H</v>
      </c>
      <c r="O211" s="3">
        <v>100</v>
      </c>
      <c r="P211" s="3" t="str">
        <f>IFERROR(MID(VLOOKUP($B211,Seqs!$A:$B,2,0),Q211,1),"")</f>
        <v>Y</v>
      </c>
      <c r="Q211" s="3">
        <v>102</v>
      </c>
      <c r="R211" s="3" t="str">
        <f>IFERROR(MID(VLOOKUP($B211,Seqs!$A:$B,2,0),S211,1),"")</f>
        <v>F</v>
      </c>
      <c r="S211" s="3">
        <v>105</v>
      </c>
      <c r="T211" s="3" t="str">
        <f>IFERROR(MID(VLOOKUP($B211,Seqs!$A:$B,2,0),U211,1),"")</f>
        <v>G</v>
      </c>
      <c r="U211" s="3">
        <v>106</v>
      </c>
      <c r="V211" s="3" t="str">
        <f>IFERROR(MID(VLOOKUP($B211,Seqs!$A:$B,2,0),W211,1),"")</f>
        <v>K</v>
      </c>
      <c r="W211" s="3">
        <v>141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G</v>
      </c>
      <c r="AC211" s="9">
        <v>149</v>
      </c>
      <c r="AD211" s="3" t="str">
        <f>IFERROR(MID(VLOOKUP($B211,Seqs!$A:$B,2,0),AE211,1),"")</f>
        <v>V</v>
      </c>
      <c r="AE211" s="3">
        <v>173</v>
      </c>
      <c r="AF211" s="3" t="str">
        <f>IFERROR(MID(VLOOKUP($B211,Seqs!$A:$B,2,0),AG211,1),"")</f>
        <v>C</v>
      </c>
      <c r="AG211" s="3">
        <v>187</v>
      </c>
      <c r="AH211" s="3" t="str">
        <f>IFERROR(MID(VLOOKUP($B211,Seqs!$A:$B,2,0),AI211,1),"")</f>
        <v>I</v>
      </c>
      <c r="AI211" s="3">
        <v>189</v>
      </c>
      <c r="AJ211" s="3" t="str">
        <f>IFERROR(MID(VLOOKUP($B211,Seqs!$A:$B,2,0),AK211,1),"")</f>
        <v>N</v>
      </c>
      <c r="AK211" s="3">
        <v>199</v>
      </c>
      <c r="AL211" s="3" t="str">
        <f>IFERROR(MID(VLOOKUP($B211,Seqs!$A:$B,2,0),AM211,1),"")</f>
        <v>Q</v>
      </c>
      <c r="AM211" s="3">
        <v>237</v>
      </c>
      <c r="AN211" s="3" t="str">
        <f>IFERROR(MID(VLOOKUP($B211,Seqs!$A:$B,2,0),AO211,1),"")</f>
        <v>A</v>
      </c>
      <c r="AO211" s="3">
        <v>241</v>
      </c>
      <c r="AP211" s="3" t="str">
        <f>IFERROR(MID(VLOOKUP($B211,Seqs!$A:$B,2,0),AQ211,1),"")</f>
        <v>H</v>
      </c>
      <c r="AQ211" s="3">
        <v>278</v>
      </c>
      <c r="AR211" s="3" t="str">
        <f>IFERROR(MID(VLOOKUP($B211,Seqs!$A:$B,2,0),AS211,1),"")</f>
        <v>G</v>
      </c>
      <c r="AS211" s="3">
        <v>284</v>
      </c>
      <c r="AT211" s="3" t="str">
        <f>IFERROR(MID(VLOOKUP($B211,Seqs!$A:$B,2,0),AU211,1),"")</f>
        <v>M</v>
      </c>
      <c r="AU211" s="3">
        <v>309</v>
      </c>
      <c r="AV211" s="3" t="str">
        <f>IFERROR(MID(VLOOKUP($B211,Seqs!$A:$B,2,0),AW211,1),"")</f>
        <v>N</v>
      </c>
      <c r="AW211" s="3">
        <v>310</v>
      </c>
      <c r="AX211" s="3" t="str">
        <f>IFERROR(MID(VLOOKUP($B211,Seqs!$A:$B,2,0),AY211,1),"")</f>
        <v>C</v>
      </c>
      <c r="AY211" s="3">
        <v>322</v>
      </c>
      <c r="AZ211" s="77" t="str">
        <f>VLOOKUP(B211,Classification!A:D,2,0)</f>
        <v>A</v>
      </c>
      <c r="BA211" s="94" t="str">
        <f>VLOOKUP(B211,Classification!A:D,4,0)</f>
        <v>Opsins</v>
      </c>
      <c r="BB211" s="27" t="b">
        <f t="shared" si="670"/>
        <v>1</v>
      </c>
      <c r="BC211" s="23">
        <f>_xlfn.AGGREGATE(9,6,CH211:CS211)-_xlfn.AGGREGATE(9,6,BV211:CG211)+12</f>
        <v>253</v>
      </c>
      <c r="BD211" s="74" t="s">
        <v>23</v>
      </c>
      <c r="BE211" s="3" t="s">
        <v>1297</v>
      </c>
      <c r="BF211" s="119">
        <v>3.2</v>
      </c>
      <c r="BG211" s="49" t="s">
        <v>1384</v>
      </c>
      <c r="BH211" s="49" t="s">
        <v>1384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>E211</f>
        <v>33</v>
      </c>
      <c r="BW211" s="71">
        <f>I211</f>
        <v>66</v>
      </c>
      <c r="BX211" s="72">
        <f>M211</f>
        <v>70</v>
      </c>
      <c r="BY211" s="71">
        <f>Q211</f>
        <v>102</v>
      </c>
      <c r="BZ211" s="72">
        <f>U211</f>
        <v>106</v>
      </c>
      <c r="CA211" s="71" t="str">
        <f>Y211</f>
        <v>-</v>
      </c>
      <c r="CB211" s="72">
        <f>AC211</f>
        <v>149</v>
      </c>
      <c r="CC211" s="71">
        <f>AG211</f>
        <v>187</v>
      </c>
      <c r="CD211" s="72">
        <f>AK211</f>
        <v>199</v>
      </c>
      <c r="CE211" s="71">
        <f>AO211</f>
        <v>241</v>
      </c>
      <c r="CF211" s="72">
        <f>AS211</f>
        <v>284</v>
      </c>
      <c r="CG211" s="71">
        <f>AW211</f>
        <v>310</v>
      </c>
      <c r="CH211" s="70">
        <f>G211</f>
        <v>65</v>
      </c>
      <c r="CI211" s="71">
        <f>K211</f>
        <v>69</v>
      </c>
      <c r="CJ211" s="72">
        <f>O211</f>
        <v>100</v>
      </c>
      <c r="CK211" s="72">
        <f>S211</f>
        <v>105</v>
      </c>
      <c r="CL211" s="72">
        <f>W211</f>
        <v>141</v>
      </c>
      <c r="CM211" s="72" t="str">
        <f>AA211</f>
        <v>-</v>
      </c>
      <c r="CN211" s="72">
        <f>AE211</f>
        <v>173</v>
      </c>
      <c r="CO211" s="72">
        <f>AI211</f>
        <v>189</v>
      </c>
      <c r="CP211" s="72">
        <f>AM211</f>
        <v>237</v>
      </c>
      <c r="CQ211" s="72">
        <f>AQ211</f>
        <v>278</v>
      </c>
      <c r="CR211" s="72">
        <f>AU211</f>
        <v>309</v>
      </c>
      <c r="CS211" s="72">
        <f>AY211</f>
        <v>322</v>
      </c>
      <c r="CT211" s="23">
        <f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si="669"/>
        <v>opsd_bovin_3PQR</v>
      </c>
      <c r="B212" s="3" t="s">
        <v>920</v>
      </c>
      <c r="C212" s="3" t="s">
        <v>1033</v>
      </c>
      <c r="D212" s="3" t="str">
        <f>IFERROR(MID(VLOOKUP($B212,Seqs!$A:$B,2,0),E212,1),"")</f>
        <v>E</v>
      </c>
      <c r="E212" s="105">
        <v>33</v>
      </c>
      <c r="F212" s="3" t="str">
        <f>IFERROR(MID(VLOOKUP($B212,Seqs!$A:$B,2,0),G212,1),"")</f>
        <v>H</v>
      </c>
      <c r="G212" s="3">
        <v>65</v>
      </c>
      <c r="H212" s="3" t="str">
        <f>IFERROR(MID(VLOOKUP($B212,Seqs!$A:$B,2,0),I212,1),"")</f>
        <v>K</v>
      </c>
      <c r="I212" s="23">
        <v>66</v>
      </c>
      <c r="J212" s="3" t="str">
        <f>IFERROR(MID(VLOOKUP($B212,Seqs!$A:$B,2,0),K212,1),"")</f>
        <v>R</v>
      </c>
      <c r="K212" s="23">
        <v>69</v>
      </c>
      <c r="L212" s="3" t="str">
        <f>IFERROR(MID(VLOOKUP($B212,Seqs!$A:$B,2,0),M212,1),"")</f>
        <v>T</v>
      </c>
      <c r="M212" s="3">
        <v>70</v>
      </c>
      <c r="N212" s="3" t="str">
        <f>IFERROR(MID(VLOOKUP($B212,Seqs!$A:$B,2,0),O212,1),"")</f>
        <v>H</v>
      </c>
      <c r="O212" s="3">
        <v>100</v>
      </c>
      <c r="P212" s="3" t="str">
        <f>IFERROR(MID(VLOOKUP($B212,Seqs!$A:$B,2,0),Q212,1),"")</f>
        <v>Y</v>
      </c>
      <c r="Q212" s="3">
        <v>102</v>
      </c>
      <c r="R212" s="3" t="str">
        <f>IFERROR(MID(VLOOKUP($B212,Seqs!$A:$B,2,0),S212,1),"")</f>
        <v>F</v>
      </c>
      <c r="S212" s="3">
        <v>105</v>
      </c>
      <c r="T212" s="3" t="str">
        <f>IFERROR(MID(VLOOKUP($B212,Seqs!$A:$B,2,0),U212,1),"")</f>
        <v>G</v>
      </c>
      <c r="U212" s="3">
        <v>106</v>
      </c>
      <c r="V212" s="3" t="str">
        <f>IFERROR(MID(VLOOKUP($B212,Seqs!$A:$B,2,0),W212,1),"")</f>
        <v>K</v>
      </c>
      <c r="W212" s="3">
        <v>141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G</v>
      </c>
      <c r="AC212" s="9">
        <v>149</v>
      </c>
      <c r="AD212" s="3" t="str">
        <f>IFERROR(MID(VLOOKUP($B212,Seqs!$A:$B,2,0),AE212,1),"")</f>
        <v>V</v>
      </c>
      <c r="AE212" s="3">
        <v>173</v>
      </c>
      <c r="AF212" s="3" t="str">
        <f>IFERROR(MID(VLOOKUP($B212,Seqs!$A:$B,2,0),AG212,1),"")</f>
        <v>C</v>
      </c>
      <c r="AG212" s="3">
        <v>187</v>
      </c>
      <c r="AH212" s="3" t="str">
        <f>IFERROR(MID(VLOOKUP($B212,Seqs!$A:$B,2,0),AI212,1),"")</f>
        <v>I</v>
      </c>
      <c r="AI212" s="3">
        <v>189</v>
      </c>
      <c r="AJ212" s="3" t="str">
        <f>IFERROR(MID(VLOOKUP($B212,Seqs!$A:$B,2,0),AK212,1),"")</f>
        <v>N</v>
      </c>
      <c r="AK212" s="3">
        <v>199</v>
      </c>
      <c r="AL212" s="3" t="str">
        <f>IFERROR(MID(VLOOKUP($B212,Seqs!$A:$B,2,0),AM212,1),"")</f>
        <v>Q</v>
      </c>
      <c r="AM212" s="3">
        <v>237</v>
      </c>
      <c r="AN212" s="3" t="str">
        <f>IFERROR(MID(VLOOKUP($B212,Seqs!$A:$B,2,0),AO212,1),"")</f>
        <v>A</v>
      </c>
      <c r="AO212" s="3">
        <v>241</v>
      </c>
      <c r="AP212" s="3" t="str">
        <f>IFERROR(MID(VLOOKUP($B212,Seqs!$A:$B,2,0),AQ212,1),"")</f>
        <v>H</v>
      </c>
      <c r="AQ212" s="3">
        <v>278</v>
      </c>
      <c r="AR212" s="3" t="str">
        <f>IFERROR(MID(VLOOKUP($B212,Seqs!$A:$B,2,0),AS212,1),"")</f>
        <v>G</v>
      </c>
      <c r="AS212" s="3">
        <v>284</v>
      </c>
      <c r="AT212" s="3" t="str">
        <f>IFERROR(MID(VLOOKUP($B212,Seqs!$A:$B,2,0),AU212,1),"")</f>
        <v>M</v>
      </c>
      <c r="AU212" s="3">
        <v>309</v>
      </c>
      <c r="AV212" s="3" t="str">
        <f>IFERROR(MID(VLOOKUP($B212,Seqs!$A:$B,2,0),AW212,1),"")</f>
        <v>N</v>
      </c>
      <c r="AW212" s="3">
        <v>310</v>
      </c>
      <c r="AX212" s="3" t="str">
        <f>IFERROR(MID(VLOOKUP($B212,Seqs!$A:$B,2,0),AY212,1),"")</f>
        <v>C</v>
      </c>
      <c r="AY212" s="3">
        <v>322</v>
      </c>
      <c r="AZ212" s="77" t="str">
        <f>VLOOKUP(B212,Classification!A:D,2,0)</f>
        <v>A</v>
      </c>
      <c r="BA212" s="94" t="str">
        <f>VLOOKUP(B212,Classification!A:D,4,0)</f>
        <v>Opsins</v>
      </c>
      <c r="BB212" s="27" t="b">
        <f t="shared" si="670"/>
        <v>1</v>
      </c>
      <c r="BC212" s="23">
        <f>_xlfn.AGGREGATE(9,6,CH212:CS212)-_xlfn.AGGREGATE(9,6,BV212:CG212)+12</f>
        <v>253</v>
      </c>
      <c r="BD212" s="4" t="s">
        <v>23</v>
      </c>
      <c r="BE212" s="3" t="s">
        <v>1297</v>
      </c>
      <c r="BF212" s="119">
        <v>2.85</v>
      </c>
      <c r="BG212" s="49" t="s">
        <v>1384</v>
      </c>
      <c r="BH212" s="49" t="s">
        <v>1384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>E212</f>
        <v>33</v>
      </c>
      <c r="BW212" s="71">
        <f>I212</f>
        <v>66</v>
      </c>
      <c r="BX212" s="72">
        <f>M212</f>
        <v>70</v>
      </c>
      <c r="BY212" s="71">
        <f>Q212</f>
        <v>102</v>
      </c>
      <c r="BZ212" s="72">
        <f>U212</f>
        <v>106</v>
      </c>
      <c r="CA212" s="71" t="str">
        <f>Y212</f>
        <v>-</v>
      </c>
      <c r="CB212" s="72">
        <f>AC212</f>
        <v>149</v>
      </c>
      <c r="CC212" s="71">
        <f>AG212</f>
        <v>187</v>
      </c>
      <c r="CD212" s="72">
        <f>AK212</f>
        <v>199</v>
      </c>
      <c r="CE212" s="71">
        <f>AO212</f>
        <v>241</v>
      </c>
      <c r="CF212" s="72">
        <f>AS212</f>
        <v>284</v>
      </c>
      <c r="CG212" s="71">
        <f>AW212</f>
        <v>310</v>
      </c>
      <c r="CH212" s="70">
        <f>G212</f>
        <v>65</v>
      </c>
      <c r="CI212" s="71">
        <f>K212</f>
        <v>69</v>
      </c>
      <c r="CJ212" s="72">
        <f>O212</f>
        <v>100</v>
      </c>
      <c r="CK212" s="72">
        <f>S212</f>
        <v>105</v>
      </c>
      <c r="CL212" s="72">
        <f>W212</f>
        <v>141</v>
      </c>
      <c r="CM212" s="72" t="str">
        <f>AA212</f>
        <v>-</v>
      </c>
      <c r="CN212" s="72">
        <f>AE212</f>
        <v>173</v>
      </c>
      <c r="CO212" s="72">
        <f>AI212</f>
        <v>189</v>
      </c>
      <c r="CP212" s="72">
        <f>AM212</f>
        <v>237</v>
      </c>
      <c r="CQ212" s="72">
        <f>AQ212</f>
        <v>278</v>
      </c>
      <c r="CR212" s="72">
        <f>AU212</f>
        <v>309</v>
      </c>
      <c r="CS212" s="72">
        <f>AY212</f>
        <v>322</v>
      </c>
      <c r="CT212" s="23">
        <f>M212-K212</f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669"/>
        <v>opsd_bovin_4A4M</v>
      </c>
      <c r="B213" s="2" t="s">
        <v>920</v>
      </c>
      <c r="C213" s="3" t="s">
        <v>1377</v>
      </c>
      <c r="D213" s="3" t="str">
        <f>IFERROR(MID(VLOOKUP($B213,Seqs!$A:$B,2,0),E213,1),"")</f>
        <v>E</v>
      </c>
      <c r="E213" s="105">
        <v>33</v>
      </c>
      <c r="F213" s="3" t="str">
        <f>IFERROR(MID(VLOOKUP($B213,Seqs!$A:$B,2,0),G213,1),"")</f>
        <v>H</v>
      </c>
      <c r="G213" s="3">
        <v>65</v>
      </c>
      <c r="H213" s="3" t="str">
        <f>IFERROR(MID(VLOOKUP($B213,Seqs!$A:$B,2,0),I213,1),"")</f>
        <v>K</v>
      </c>
      <c r="I213" s="23">
        <v>66</v>
      </c>
      <c r="J213" s="3" t="str">
        <f>IFERROR(MID(VLOOKUP($B213,Seqs!$A:$B,2,0),K213,1),"")</f>
        <v>R</v>
      </c>
      <c r="K213" s="23">
        <v>69</v>
      </c>
      <c r="L213" s="3" t="str">
        <f>IFERROR(MID(VLOOKUP($B213,Seqs!$A:$B,2,0),M213,1),"")</f>
        <v>T</v>
      </c>
      <c r="M213" s="3">
        <v>70</v>
      </c>
      <c r="N213" s="3" t="str">
        <f>IFERROR(MID(VLOOKUP($B213,Seqs!$A:$B,2,0),O213,1),"")</f>
        <v>H</v>
      </c>
      <c r="O213" s="3">
        <v>100</v>
      </c>
      <c r="P213" s="3" t="str">
        <f>IFERROR(MID(VLOOKUP($B213,Seqs!$A:$B,2,0),Q213,1),"")</f>
        <v>Y</v>
      </c>
      <c r="Q213" s="3">
        <v>102</v>
      </c>
      <c r="R213" s="3" t="str">
        <f>IFERROR(MID(VLOOKUP($B213,Seqs!$A:$B,2,0),S213,1),"")</f>
        <v>F</v>
      </c>
      <c r="S213" s="3">
        <v>105</v>
      </c>
      <c r="T213" s="3" t="str">
        <f>IFERROR(MID(VLOOKUP($B213,Seqs!$A:$B,2,0),U213,1),"")</f>
        <v>G</v>
      </c>
      <c r="U213" s="3">
        <v>106</v>
      </c>
      <c r="V213" s="3" t="str">
        <f>IFERROR(MID(VLOOKUP($B213,Seqs!$A:$B,2,0),W213,1),"")</f>
        <v>K</v>
      </c>
      <c r="W213" s="3">
        <v>141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G</v>
      </c>
      <c r="AC213" s="9">
        <v>149</v>
      </c>
      <c r="AD213" s="3" t="str">
        <f>IFERROR(MID(VLOOKUP($B213,Seqs!$A:$B,2,0),AE213,1),"")</f>
        <v>V</v>
      </c>
      <c r="AE213" s="3">
        <v>173</v>
      </c>
      <c r="AF213" s="3" t="str">
        <f>IFERROR(MID(VLOOKUP($B213,Seqs!$A:$B,2,0),AG213,1),"")</f>
        <v>C</v>
      </c>
      <c r="AG213" s="3">
        <v>187</v>
      </c>
      <c r="AH213" s="3" t="str">
        <f>IFERROR(MID(VLOOKUP($B213,Seqs!$A:$B,2,0),AI213,1),"")</f>
        <v>I</v>
      </c>
      <c r="AI213" s="3">
        <v>189</v>
      </c>
      <c r="AJ213" s="3" t="str">
        <f>IFERROR(MID(VLOOKUP($B213,Seqs!$A:$B,2,0),AK213,1),"")</f>
        <v>N</v>
      </c>
      <c r="AK213" s="3">
        <v>199</v>
      </c>
      <c r="AL213" s="3" t="str">
        <f>IFERROR(MID(VLOOKUP($B213,Seqs!$A:$B,2,0),AM213,1),"")</f>
        <v>Q</v>
      </c>
      <c r="AM213" s="3">
        <v>237</v>
      </c>
      <c r="AN213" s="3" t="str">
        <f>IFERROR(MID(VLOOKUP($B213,Seqs!$A:$B,2,0),AO213,1),"")</f>
        <v>A</v>
      </c>
      <c r="AO213" s="3">
        <v>241</v>
      </c>
      <c r="AP213" s="3" t="str">
        <f>IFERROR(MID(VLOOKUP($B213,Seqs!$A:$B,2,0),AQ213,1),"")</f>
        <v>H</v>
      </c>
      <c r="AQ213" s="3">
        <v>278</v>
      </c>
      <c r="AR213" s="3" t="str">
        <f>IFERROR(MID(VLOOKUP($B213,Seqs!$A:$B,2,0),AS213,1),"")</f>
        <v>G</v>
      </c>
      <c r="AS213" s="3">
        <v>284</v>
      </c>
      <c r="AT213" s="3" t="str">
        <f>IFERROR(MID(VLOOKUP($B213,Seqs!$A:$B,2,0),AU213,1),"")</f>
        <v>M</v>
      </c>
      <c r="AU213" s="3">
        <v>309</v>
      </c>
      <c r="AV213" s="3" t="str">
        <f>IFERROR(MID(VLOOKUP($B213,Seqs!$A:$B,2,0),AW213,1),"")</f>
        <v>N</v>
      </c>
      <c r="AW213" s="3">
        <v>310</v>
      </c>
      <c r="AX213" s="3" t="str">
        <f>IFERROR(MID(VLOOKUP($B213,Seqs!$A:$B,2,0),AY213,1),"")</f>
        <v>C</v>
      </c>
      <c r="AY213" s="3">
        <v>322</v>
      </c>
      <c r="AZ213" s="77" t="str">
        <f>VLOOKUP(B213,Classification!A:D,2,0)</f>
        <v>A</v>
      </c>
      <c r="BA213" s="94" t="str">
        <f>VLOOKUP(B213,Classification!A:D,4,0)</f>
        <v>Opsins</v>
      </c>
      <c r="BB213" s="27" t="b">
        <f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>_xlfn.AGGREGATE(9,6,CH213:CS213)-_xlfn.AGGREGATE(9,6,BV213:CG213)+12</f>
        <v>253</v>
      </c>
      <c r="BD213" s="4" t="s">
        <v>23</v>
      </c>
      <c r="BE213" s="3" t="s">
        <v>1297</v>
      </c>
      <c r="BF213" s="119">
        <v>3.3</v>
      </c>
      <c r="BG213" s="49" t="s">
        <v>1384</v>
      </c>
      <c r="BH213" s="49" t="s">
        <v>1384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>E213</f>
        <v>33</v>
      </c>
      <c r="BW213" s="71">
        <f>I213</f>
        <v>66</v>
      </c>
      <c r="BX213" s="72">
        <f>M213</f>
        <v>70</v>
      </c>
      <c r="BY213" s="71">
        <f>Q213</f>
        <v>102</v>
      </c>
      <c r="BZ213" s="72">
        <f>U213</f>
        <v>106</v>
      </c>
      <c r="CA213" s="71" t="str">
        <f>Y213</f>
        <v>-</v>
      </c>
      <c r="CB213" s="72">
        <f>AC213</f>
        <v>149</v>
      </c>
      <c r="CC213" s="71">
        <f>AG213</f>
        <v>187</v>
      </c>
      <c r="CD213" s="72">
        <f>AK213</f>
        <v>199</v>
      </c>
      <c r="CE213" s="71">
        <f>AO213</f>
        <v>241</v>
      </c>
      <c r="CF213" s="72">
        <f>AS213</f>
        <v>284</v>
      </c>
      <c r="CG213" s="71">
        <f>AW213</f>
        <v>310</v>
      </c>
      <c r="CH213" s="70">
        <f>G213</f>
        <v>65</v>
      </c>
      <c r="CI213" s="71">
        <f>K213</f>
        <v>69</v>
      </c>
      <c r="CJ213" s="72">
        <f>O213</f>
        <v>100</v>
      </c>
      <c r="CK213" s="72">
        <f>S213</f>
        <v>105</v>
      </c>
      <c r="CL213" s="72">
        <f>W213</f>
        <v>141</v>
      </c>
      <c r="CM213" s="72" t="str">
        <f>AA213</f>
        <v>-</v>
      </c>
      <c r="CN213" s="72">
        <f>AE213</f>
        <v>173</v>
      </c>
      <c r="CO213" s="72">
        <f>AI213</f>
        <v>189</v>
      </c>
      <c r="CP213" s="72">
        <f>AM213</f>
        <v>237</v>
      </c>
      <c r="CQ213" s="72">
        <f>AQ213</f>
        <v>278</v>
      </c>
      <c r="CR213" s="72">
        <f>AU213</f>
        <v>309</v>
      </c>
      <c r="CS213" s="72">
        <f>AY213</f>
        <v>322</v>
      </c>
      <c r="CT213" s="23">
        <f>M213-K213</f>
        <v>1</v>
      </c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"/>
      <c r="PA213" s="6"/>
      <c r="PB213" s="6"/>
      <c r="PC213" s="6"/>
      <c r="PD213" s="6"/>
      <c r="PE213" s="6"/>
      <c r="PF213" s="6"/>
      <c r="PG213" s="6"/>
      <c r="PH213" s="6"/>
      <c r="PI213" s="6"/>
      <c r="PJ213" s="6"/>
      <c r="PK213" s="6"/>
      <c r="PL213" s="6"/>
      <c r="PM213" s="6"/>
      <c r="PN213" s="6"/>
      <c r="PO213" s="6"/>
      <c r="PP213" s="6"/>
      <c r="PQ213" s="6"/>
      <c r="PR213" s="6"/>
      <c r="PS213" s="6"/>
      <c r="PT213" s="6"/>
      <c r="PU213" s="6"/>
      <c r="PV213" s="6"/>
      <c r="PW213" s="6"/>
      <c r="PX213" s="6"/>
      <c r="PY213" s="6"/>
      <c r="PZ213" s="6"/>
      <c r="QA213" s="6"/>
      <c r="QB213" s="6"/>
      <c r="QC213" s="6"/>
      <c r="QD213" s="6"/>
      <c r="QE213" s="6"/>
      <c r="QF213" s="6"/>
      <c r="QG213" s="6"/>
      <c r="QH213" s="6"/>
      <c r="QI213" s="6"/>
      <c r="QJ213" s="6"/>
      <c r="QK213" s="6"/>
      <c r="QL213" s="6"/>
      <c r="QM213" s="6"/>
      <c r="QN213" s="6"/>
      <c r="QO213" s="6"/>
      <c r="QP213" s="6"/>
      <c r="QQ213" s="6"/>
      <c r="QR213" s="6"/>
      <c r="QS213" s="6"/>
      <c r="QT213" s="6"/>
      <c r="QU213" s="6"/>
      <c r="QV213" s="6"/>
      <c r="QW213" s="6"/>
      <c r="QX213" s="6"/>
      <c r="QY213" s="6"/>
      <c r="QZ213" s="6"/>
      <c r="RA213" s="6"/>
      <c r="RB213" s="6"/>
      <c r="RC213" s="6"/>
      <c r="RD213" s="6"/>
      <c r="RE213" s="6"/>
      <c r="RF213" s="6"/>
      <c r="RG213" s="6"/>
      <c r="RH213" s="6"/>
      <c r="RI213" s="6"/>
      <c r="RJ213" s="6"/>
      <c r="RK213" s="6"/>
      <c r="RL213" s="6"/>
      <c r="RM213" s="6"/>
      <c r="RN213" s="6"/>
      <c r="RO213" s="6"/>
      <c r="RP213" s="6"/>
      <c r="RQ213" s="6"/>
      <c r="RR213" s="6"/>
      <c r="RS213" s="6"/>
      <c r="RT213" s="6"/>
      <c r="RU213" s="6"/>
      <c r="RV213" s="6"/>
      <c r="RW213" s="6"/>
      <c r="RX213" s="6"/>
      <c r="RY213" s="6"/>
      <c r="RZ213" s="6"/>
      <c r="SA213" s="6"/>
      <c r="SB213" s="6"/>
      <c r="SC213" s="6"/>
      <c r="SD213" s="6"/>
      <c r="SE213" s="6"/>
      <c r="SF213" s="6"/>
      <c r="SG213" s="6"/>
      <c r="SH213" s="6"/>
      <c r="SI213" s="6"/>
      <c r="SJ213" s="6"/>
      <c r="SK213" s="6"/>
      <c r="SL213" s="6"/>
      <c r="SM213" s="6"/>
      <c r="SN213" s="6"/>
      <c r="SO213" s="6"/>
      <c r="SP213" s="6"/>
      <c r="SQ213" s="6"/>
      <c r="SR213" s="6"/>
      <c r="SS213" s="6"/>
      <c r="ST213" s="6"/>
      <c r="SU213" s="6"/>
      <c r="SV213" s="6"/>
      <c r="SW213" s="6"/>
      <c r="SX213" s="6"/>
      <c r="SY213" s="6"/>
      <c r="SZ213" s="6"/>
      <c r="TA213" s="6"/>
      <c r="TB213" s="6"/>
      <c r="TC213" s="6"/>
      <c r="TD213" s="6"/>
      <c r="TE213" s="6"/>
      <c r="TF213" s="6"/>
      <c r="TG213" s="6"/>
      <c r="TH213" s="6"/>
      <c r="TI213" s="6"/>
      <c r="TJ213" s="6"/>
      <c r="TK213" s="6"/>
      <c r="TL213" s="6"/>
      <c r="TM213" s="6"/>
      <c r="TN213" s="6"/>
      <c r="TO213" s="6"/>
      <c r="TP213" s="6"/>
      <c r="TQ213" s="6"/>
      <c r="TR213" s="6"/>
      <c r="TS213" s="6"/>
      <c r="TT213" s="6"/>
      <c r="TU213" s="6"/>
      <c r="TV213" s="6"/>
      <c r="TW213" s="6"/>
      <c r="TX213" s="6"/>
      <c r="TY213" s="6"/>
      <c r="TZ213" s="6"/>
      <c r="UA213" s="6"/>
      <c r="UB213" s="6"/>
      <c r="UC213" s="6"/>
      <c r="UD213" s="6"/>
      <c r="UE213" s="6"/>
      <c r="UF213" s="6"/>
      <c r="UG213" s="6"/>
      <c r="UH213" s="6"/>
      <c r="UI213" s="6"/>
      <c r="UJ213" s="6"/>
      <c r="UK213" s="6"/>
      <c r="UL213" s="6"/>
      <c r="UM213" s="6"/>
      <c r="UN213" s="6"/>
      <c r="UO213" s="6"/>
      <c r="UP213" s="6"/>
      <c r="UQ213" s="6"/>
      <c r="UR213" s="6"/>
      <c r="US213" s="6"/>
      <c r="UT213" s="6"/>
      <c r="UU213" s="6"/>
      <c r="UV213" s="6"/>
      <c r="UW213" s="6"/>
      <c r="UX213" s="6"/>
      <c r="UY213" s="6"/>
      <c r="UZ213" s="6"/>
      <c r="VA213" s="6"/>
      <c r="VB213" s="6"/>
      <c r="VC213" s="6"/>
      <c r="VD213" s="6"/>
      <c r="VE213" s="6"/>
      <c r="VF213" s="6"/>
      <c r="VG213" s="6"/>
      <c r="VH213" s="6"/>
      <c r="VI213" s="6"/>
      <c r="VJ213" s="6"/>
      <c r="VK213" s="6"/>
      <c r="VL213" s="6"/>
      <c r="VM213" s="6"/>
      <c r="VN213" s="6"/>
      <c r="VO213" s="6"/>
      <c r="VP213" s="6"/>
      <c r="VQ213" s="6"/>
      <c r="VR213" s="6"/>
      <c r="VS213" s="6"/>
      <c r="VT213" s="6"/>
      <c r="VU213" s="6"/>
      <c r="VV213" s="6"/>
      <c r="VW213" s="6"/>
      <c r="VX213" s="6"/>
      <c r="VY213" s="6"/>
      <c r="VZ213" s="6"/>
      <c r="WA213" s="6"/>
      <c r="WB213" s="6"/>
      <c r="WC213" s="6"/>
      <c r="WD213" s="6"/>
      <c r="WE213" s="6"/>
      <c r="WF213" s="6"/>
      <c r="WG213" s="6"/>
      <c r="WH213" s="6"/>
      <c r="WI213" s="6"/>
      <c r="WJ213" s="6"/>
      <c r="WK213" s="6"/>
      <c r="WL213" s="6"/>
      <c r="WM213" s="6"/>
      <c r="WN213" s="6"/>
      <c r="WO213" s="6"/>
      <c r="WP213" s="6"/>
      <c r="WQ213" s="6"/>
      <c r="WR213" s="6"/>
      <c r="WS213" s="6"/>
      <c r="WT213" s="6"/>
      <c r="WU213" s="6"/>
      <c r="WV213" s="6"/>
      <c r="WW213" s="6"/>
      <c r="WX213" s="6"/>
      <c r="WY213" s="6"/>
      <c r="WZ213" s="6"/>
      <c r="XA213" s="6"/>
      <c r="XB213" s="6"/>
      <c r="XC213" s="6"/>
      <c r="XD213" s="6"/>
      <c r="XE213" s="6"/>
      <c r="XF213" s="6"/>
      <c r="XG213" s="6"/>
      <c r="XH213" s="6"/>
      <c r="XI213" s="6"/>
      <c r="XJ213" s="6"/>
      <c r="XK213" s="6"/>
      <c r="XL213" s="6"/>
      <c r="XM213" s="6"/>
      <c r="XN213" s="6"/>
      <c r="XO213" s="6"/>
      <c r="XP213" s="6"/>
      <c r="XQ213" s="6"/>
      <c r="XR213" s="6"/>
      <c r="XS213" s="6"/>
      <c r="XT213" s="6"/>
      <c r="XU213" s="6"/>
      <c r="XV213" s="6"/>
      <c r="XW213" s="6"/>
      <c r="XX213" s="6"/>
      <c r="XY213" s="6"/>
      <c r="XZ213" s="6"/>
      <c r="YA213" s="6"/>
      <c r="YB213" s="6"/>
      <c r="YC213" s="6"/>
      <c r="YD213" s="6"/>
      <c r="YE213" s="6"/>
      <c r="YF213" s="6"/>
      <c r="YG213" s="6"/>
      <c r="YH213" s="6"/>
      <c r="YI213" s="6"/>
      <c r="YJ213" s="6"/>
      <c r="YK213" s="6"/>
      <c r="YL213" s="6"/>
      <c r="YM213" s="6"/>
      <c r="YN213" s="6"/>
      <c r="YO213" s="6"/>
      <c r="YP213" s="6"/>
      <c r="YQ213" s="6"/>
      <c r="YR213" s="6"/>
      <c r="YS213" s="6"/>
      <c r="YT213" s="6"/>
      <c r="YU213" s="6"/>
      <c r="YV213" s="6"/>
      <c r="YW213" s="6"/>
      <c r="YX213" s="6"/>
      <c r="YY213" s="6"/>
      <c r="YZ213" s="6"/>
      <c r="ZA213" s="6"/>
      <c r="ZB213" s="6"/>
      <c r="ZC213" s="6"/>
      <c r="ZD213" s="6"/>
      <c r="ZE213" s="6"/>
      <c r="ZF213" s="6"/>
      <c r="ZG213" s="6"/>
      <c r="ZH213" s="6"/>
      <c r="ZI213" s="6"/>
      <c r="ZJ213" s="6"/>
      <c r="ZK213" s="6"/>
      <c r="ZL213" s="6"/>
      <c r="ZM213" s="6"/>
      <c r="ZN213" s="6"/>
      <c r="ZO213" s="6"/>
      <c r="ZP213" s="6"/>
      <c r="ZQ213" s="6"/>
      <c r="ZR213" s="6"/>
      <c r="ZS213" s="6"/>
      <c r="ZT213" s="6"/>
      <c r="ZU213" s="6"/>
      <c r="ZV213" s="6"/>
      <c r="ZW213" s="6"/>
      <c r="ZX213" s="6"/>
      <c r="ZY213" s="6"/>
      <c r="ZZ213" s="6"/>
      <c r="AAA213" s="6"/>
      <c r="AAB213" s="6"/>
      <c r="AAC213" s="6"/>
      <c r="AAD213" s="6"/>
      <c r="AAE213" s="6"/>
      <c r="AAF213" s="6"/>
      <c r="AAG213" s="6"/>
      <c r="AAH213" s="6"/>
      <c r="AAI213" s="6"/>
      <c r="AAJ213" s="6"/>
      <c r="AAK213" s="6"/>
      <c r="AAL213" s="6"/>
      <c r="AAM213" s="6"/>
      <c r="AAN213" s="6"/>
      <c r="AAO213" s="6"/>
      <c r="AAP213" s="6"/>
      <c r="AAQ213" s="6"/>
      <c r="AAR213" s="6"/>
      <c r="AAS213" s="6"/>
      <c r="AAT213" s="6"/>
      <c r="AAU213" s="6"/>
      <c r="AAV213" s="6"/>
      <c r="AAW213" s="6"/>
      <c r="AAX213" s="6"/>
      <c r="AAY213" s="6"/>
      <c r="AAZ213" s="6"/>
      <c r="ABA213" s="6"/>
      <c r="ABB213" s="6"/>
      <c r="ABC213" s="6"/>
      <c r="ABD213" s="6"/>
      <c r="ABE213" s="6"/>
      <c r="ABF213" s="6"/>
      <c r="ABG213" s="6"/>
      <c r="ABH213" s="6"/>
      <c r="ABI213" s="6"/>
      <c r="ABJ213" s="6"/>
      <c r="ABK213" s="6"/>
      <c r="ABL213" s="6"/>
      <c r="ABM213" s="6"/>
      <c r="ABN213" s="6"/>
      <c r="ABO213" s="6"/>
      <c r="ABP213" s="6"/>
      <c r="ABQ213" s="6"/>
      <c r="ABR213" s="6"/>
      <c r="ABS213" s="6"/>
      <c r="ABT213" s="6"/>
      <c r="ABU213" s="6"/>
      <c r="ABV213" s="6"/>
      <c r="ABW213" s="6"/>
      <c r="ABX213" s="6"/>
      <c r="ABY213" s="6"/>
      <c r="ABZ213" s="6"/>
      <c r="ACA213" s="6"/>
      <c r="ACB213" s="6"/>
      <c r="ACC213" s="6"/>
      <c r="ACD213" s="6"/>
      <c r="ACE213" s="6"/>
      <c r="ACF213" s="6"/>
      <c r="ACG213" s="6"/>
      <c r="ACH213" s="6"/>
      <c r="ACI213" s="6"/>
      <c r="ACJ213" s="6"/>
      <c r="ACK213" s="6"/>
      <c r="ACL213" s="6"/>
      <c r="ACM213" s="6"/>
      <c r="ACN213" s="6"/>
      <c r="ACO213" s="6"/>
      <c r="ACP213" s="6"/>
      <c r="ACQ213" s="6"/>
      <c r="ACR213" s="6"/>
      <c r="ACS213" s="6"/>
      <c r="ACT213" s="6"/>
      <c r="ACU213" s="6"/>
      <c r="ACV213" s="6"/>
      <c r="ACW213" s="6"/>
      <c r="ACX213" s="6"/>
      <c r="ACY213" s="6"/>
      <c r="ACZ213" s="6"/>
      <c r="ADA213" s="6"/>
      <c r="ADB213" s="6"/>
      <c r="ADC213" s="6"/>
      <c r="ADD213" s="6"/>
      <c r="ADE213" s="6"/>
      <c r="ADF213" s="6"/>
      <c r="ADG213" s="6"/>
      <c r="ADH213" s="6"/>
      <c r="ADI213" s="6"/>
      <c r="ADJ213" s="6"/>
      <c r="ADK213" s="6"/>
      <c r="ADL213" s="6"/>
      <c r="ADM213" s="6"/>
      <c r="ADN213" s="6"/>
      <c r="ADO213" s="6"/>
      <c r="ADP213" s="6"/>
      <c r="ADQ213" s="6"/>
      <c r="ADR213" s="6"/>
      <c r="ADS213" s="6"/>
      <c r="ADT213" s="6"/>
      <c r="ADU213" s="6"/>
      <c r="ADV213" s="6"/>
      <c r="ADW213" s="6"/>
      <c r="ADX213" s="6"/>
      <c r="ADY213" s="6"/>
      <c r="ADZ213" s="6"/>
      <c r="AEA213" s="6"/>
      <c r="AEB213" s="6"/>
      <c r="AEC213" s="6"/>
      <c r="AED213" s="6"/>
      <c r="AEE213" s="6"/>
      <c r="AEF213" s="6"/>
      <c r="AEG213" s="6"/>
      <c r="AEH213" s="6"/>
      <c r="AEI213" s="6"/>
      <c r="AEJ213" s="6"/>
      <c r="AEK213" s="6"/>
      <c r="AEL213" s="6"/>
      <c r="AEM213" s="6"/>
      <c r="AEN213" s="6"/>
      <c r="AEO213" s="6"/>
      <c r="AEP213" s="6"/>
      <c r="AEQ213" s="6"/>
      <c r="AER213" s="6"/>
      <c r="AES213" s="6"/>
      <c r="AET213" s="6"/>
      <c r="AEU213" s="6"/>
      <c r="AEV213" s="6"/>
      <c r="AEW213" s="6"/>
      <c r="AEX213" s="6"/>
      <c r="AEY213" s="6"/>
      <c r="AEZ213" s="6"/>
      <c r="AFA213" s="6"/>
      <c r="AFB213" s="6"/>
      <c r="AFC213" s="6"/>
      <c r="AFD213" s="6"/>
      <c r="AFE213" s="6"/>
      <c r="AFF213" s="6"/>
      <c r="AFG213" s="6"/>
      <c r="AFH213" s="6"/>
      <c r="AFI213" s="6"/>
      <c r="AFJ213" s="6"/>
      <c r="AFK213" s="6"/>
      <c r="AFL213" s="6"/>
      <c r="AFM213" s="6"/>
      <c r="AFN213" s="6"/>
      <c r="AFO213" s="6"/>
      <c r="AFP213" s="6"/>
      <c r="AFQ213" s="6"/>
      <c r="AFR213" s="6"/>
      <c r="AFS213" s="6"/>
      <c r="AFT213" s="6"/>
      <c r="AFU213" s="6"/>
      <c r="AFV213" s="6"/>
      <c r="AFW213" s="6"/>
      <c r="AFX213" s="6"/>
      <c r="AFY213" s="6"/>
      <c r="AFZ213" s="6"/>
      <c r="AGA213" s="6"/>
      <c r="AGB213" s="6"/>
      <c r="AGC213" s="6"/>
      <c r="AGD213" s="6"/>
      <c r="AGE213" s="6"/>
      <c r="AGF213" s="6"/>
      <c r="AGG213" s="6"/>
      <c r="AGH213" s="6"/>
      <c r="AGI213" s="6"/>
      <c r="AGJ213" s="6"/>
      <c r="AGK213" s="6"/>
      <c r="AGL213" s="6"/>
      <c r="AGM213" s="6"/>
      <c r="AGN213" s="6"/>
      <c r="AGO213" s="6"/>
      <c r="AGP213" s="6"/>
      <c r="AGQ213" s="6"/>
      <c r="AGR213" s="6"/>
      <c r="AGS213" s="6"/>
      <c r="AGT213" s="6"/>
      <c r="AGU213" s="6"/>
      <c r="AGV213" s="6"/>
      <c r="AGW213" s="6"/>
      <c r="AGX213" s="6"/>
      <c r="AGY213" s="6"/>
      <c r="AGZ213" s="6"/>
      <c r="AHA213" s="6"/>
      <c r="AHB213" s="6"/>
      <c r="AHC213" s="6"/>
      <c r="AHD213" s="6"/>
      <c r="AHE213" s="6"/>
      <c r="AHF213" s="6"/>
      <c r="AHG213" s="6"/>
      <c r="AHH213" s="6"/>
      <c r="AHI213" s="6"/>
      <c r="AHJ213" s="6"/>
      <c r="AHK213" s="6"/>
      <c r="AHL213" s="6"/>
      <c r="AHM213" s="6"/>
      <c r="AHN213" s="6"/>
      <c r="AHO213" s="6"/>
      <c r="AHP213" s="6"/>
      <c r="AHQ213" s="6"/>
      <c r="AHR213" s="6"/>
      <c r="AHS213" s="6"/>
      <c r="AHT213" s="6"/>
      <c r="AHU213" s="6"/>
      <c r="AHV213" s="6"/>
      <c r="AHW213" s="6"/>
      <c r="AHX213" s="6"/>
      <c r="AHY213" s="6"/>
      <c r="AHZ213" s="6"/>
      <c r="AIA213" s="6"/>
      <c r="AIB213" s="6"/>
      <c r="AIC213" s="6"/>
      <c r="AID213" s="6"/>
      <c r="AIE213" s="6"/>
      <c r="AIF213" s="6"/>
      <c r="AIG213" s="6"/>
      <c r="AIH213" s="6"/>
      <c r="AII213" s="6"/>
      <c r="AIJ213" s="6"/>
      <c r="AIK213" s="6"/>
      <c r="AIL213" s="6"/>
      <c r="AIM213" s="6"/>
      <c r="AIN213" s="6"/>
      <c r="AIO213" s="6"/>
      <c r="AIP213" s="6"/>
      <c r="AIQ213" s="6"/>
      <c r="AIR213" s="6"/>
      <c r="AIS213" s="6"/>
      <c r="AIT213" s="6"/>
      <c r="AIU213" s="6"/>
      <c r="AIV213" s="6"/>
      <c r="AIW213" s="6"/>
      <c r="AIX213" s="6"/>
      <c r="AIY213" s="6"/>
      <c r="AIZ213" s="6"/>
      <c r="AJA213" s="6"/>
      <c r="AJB213" s="6"/>
      <c r="AJC213" s="6"/>
      <c r="AJD213" s="6"/>
      <c r="AJE213" s="6"/>
      <c r="AJF213" s="6"/>
      <c r="AJG213" s="6"/>
      <c r="AJH213" s="6"/>
      <c r="AJI213" s="6"/>
      <c r="AJJ213" s="6"/>
      <c r="AJK213" s="6"/>
      <c r="AJL213" s="6"/>
      <c r="AJM213" s="6"/>
      <c r="AJN213" s="6"/>
      <c r="AJO213" s="6"/>
      <c r="AJP213" s="6"/>
      <c r="AJQ213" s="6"/>
      <c r="AJR213" s="6"/>
      <c r="AJS213" s="6"/>
      <c r="AJT213" s="6"/>
      <c r="AJU213" s="6"/>
      <c r="AJV213" s="6"/>
      <c r="AJW213" s="6"/>
      <c r="AJX213" s="6"/>
      <c r="AJY213" s="6"/>
      <c r="AJZ213" s="6"/>
      <c r="AKA213" s="6"/>
      <c r="AKB213" s="6"/>
      <c r="AKC213" s="6"/>
      <c r="AKD213" s="6"/>
      <c r="AKE213" s="6"/>
      <c r="AKF213" s="6"/>
      <c r="AKG213" s="6"/>
      <c r="AKH213" s="6"/>
      <c r="AKI213" s="6"/>
      <c r="AKJ213" s="6"/>
      <c r="AKK213" s="6"/>
      <c r="AKL213" s="6"/>
      <c r="AKM213" s="6"/>
      <c r="AKN213" s="6"/>
      <c r="AKO213" s="6"/>
      <c r="AKP213" s="6"/>
      <c r="AKQ213" s="6"/>
      <c r="AKR213" s="6"/>
      <c r="AKS213" s="6"/>
      <c r="AKT213" s="6"/>
      <c r="AKU213" s="6"/>
      <c r="AKV213" s="6"/>
      <c r="AKW213" s="6"/>
      <c r="AKX213" s="6"/>
      <c r="AKY213" s="6"/>
      <c r="AKZ213" s="6"/>
      <c r="ALA213" s="6"/>
      <c r="ALB213" s="6"/>
      <c r="ALC213" s="6"/>
      <c r="ALD213" s="6"/>
      <c r="ALE213" s="6"/>
      <c r="ALF213" s="6"/>
      <c r="ALG213" s="6"/>
      <c r="ALH213" s="6"/>
      <c r="ALI213" s="6"/>
      <c r="ALJ213" s="6"/>
      <c r="ALK213" s="6"/>
      <c r="ALL213" s="6"/>
      <c r="ALM213" s="6"/>
      <c r="ALN213" s="6"/>
      <c r="ALO213" s="6"/>
      <c r="ALP213" s="6"/>
      <c r="ALQ213" s="6"/>
      <c r="ALR213" s="6"/>
      <c r="ALS213" s="6"/>
      <c r="ALT213" s="6"/>
      <c r="ALU213" s="6"/>
      <c r="ALV213" s="6"/>
      <c r="ALW213" s="6"/>
      <c r="ALX213" s="6"/>
      <c r="ALY213" s="6"/>
      <c r="ALZ213" s="6"/>
      <c r="AMA213" s="6"/>
      <c r="AMB213" s="6"/>
      <c r="AMC213" s="6"/>
      <c r="AMD213" s="6"/>
      <c r="AME213" s="6"/>
      <c r="AMF213" s="6"/>
      <c r="AMG213" s="6"/>
      <c r="AMH213" s="6"/>
      <c r="AMI213" s="6"/>
      <c r="AMJ213" s="6"/>
      <c r="AMK213" s="6"/>
      <c r="AML213" s="6"/>
      <c r="AMM213" s="6"/>
      <c r="AMN213" s="6"/>
      <c r="AMO213" s="6"/>
      <c r="AMP213" s="6"/>
    </row>
    <row r="214" spans="1:1030" x14ac:dyDescent="0.2">
      <c r="A214" s="3" t="str">
        <f t="shared" si="669"/>
        <v>opsd_bovin_4J4Q</v>
      </c>
      <c r="B214" s="3" t="s">
        <v>920</v>
      </c>
      <c r="C214" s="3" t="s">
        <v>1044</v>
      </c>
      <c r="D214" s="3" t="str">
        <f>IFERROR(MID(VLOOKUP($B214,Seqs!$A:$B,2,0),E214,1),"")</f>
        <v>E</v>
      </c>
      <c r="E214" s="105">
        <v>33</v>
      </c>
      <c r="F214" s="3" t="str">
        <f>IFERROR(MID(VLOOKUP($B214,Seqs!$A:$B,2,0),G214,1),"")</f>
        <v>H</v>
      </c>
      <c r="G214" s="3">
        <v>65</v>
      </c>
      <c r="H214" s="3" t="str">
        <f>IFERROR(MID(VLOOKUP($B214,Seqs!$A:$B,2,0),I214,1),"")</f>
        <v>K</v>
      </c>
      <c r="I214" s="23">
        <v>66</v>
      </c>
      <c r="J214" s="3" t="str">
        <f>IFERROR(MID(VLOOKUP($B214,Seqs!$A:$B,2,0),K214,1),"")</f>
        <v>R</v>
      </c>
      <c r="K214" s="23">
        <v>69</v>
      </c>
      <c r="L214" s="3" t="str">
        <f>IFERROR(MID(VLOOKUP($B214,Seqs!$A:$B,2,0),M214,1),"")</f>
        <v>T</v>
      </c>
      <c r="M214" s="3">
        <v>70</v>
      </c>
      <c r="N214" s="3" t="str">
        <f>IFERROR(MID(VLOOKUP($B214,Seqs!$A:$B,2,0),O214,1),"")</f>
        <v>H</v>
      </c>
      <c r="O214" s="3">
        <v>100</v>
      </c>
      <c r="P214" s="3" t="str">
        <f>IFERROR(MID(VLOOKUP($B214,Seqs!$A:$B,2,0),Q214,1),"")</f>
        <v>Y</v>
      </c>
      <c r="Q214" s="3">
        <v>102</v>
      </c>
      <c r="R214" s="3" t="str">
        <f>IFERROR(MID(VLOOKUP($B214,Seqs!$A:$B,2,0),S214,1),"")</f>
        <v>F</v>
      </c>
      <c r="S214" s="3">
        <v>105</v>
      </c>
      <c r="T214" s="3" t="str">
        <f>IFERROR(MID(VLOOKUP($B214,Seqs!$A:$B,2,0),U214,1),"")</f>
        <v>G</v>
      </c>
      <c r="U214" s="3">
        <v>106</v>
      </c>
      <c r="V214" s="3" t="str">
        <f>IFERROR(MID(VLOOKUP($B214,Seqs!$A:$B,2,0),W214,1),"")</f>
        <v>K</v>
      </c>
      <c r="W214" s="3">
        <v>141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G</v>
      </c>
      <c r="AC214" s="9">
        <v>149</v>
      </c>
      <c r="AD214" s="3" t="str">
        <f>IFERROR(MID(VLOOKUP($B214,Seqs!$A:$B,2,0),AE214,1),"")</f>
        <v>V</v>
      </c>
      <c r="AE214" s="3">
        <v>173</v>
      </c>
      <c r="AF214" s="3" t="str">
        <f>IFERROR(MID(VLOOKUP($B214,Seqs!$A:$B,2,0),AG214,1),"")</f>
        <v>C</v>
      </c>
      <c r="AG214" s="3">
        <v>187</v>
      </c>
      <c r="AH214" s="3" t="str">
        <f>IFERROR(MID(VLOOKUP($B214,Seqs!$A:$B,2,0),AI214,1),"")</f>
        <v>I</v>
      </c>
      <c r="AI214" s="3">
        <v>189</v>
      </c>
      <c r="AJ214" s="3" t="str">
        <f>IFERROR(MID(VLOOKUP($B214,Seqs!$A:$B,2,0),AK214,1),"")</f>
        <v>N</v>
      </c>
      <c r="AK214" s="3">
        <v>199</v>
      </c>
      <c r="AL214" s="3" t="str">
        <f>IFERROR(MID(VLOOKUP($B214,Seqs!$A:$B,2,0),AM214,1),"")</f>
        <v>Q</v>
      </c>
      <c r="AM214" s="3">
        <v>237</v>
      </c>
      <c r="AN214" s="3" t="str">
        <f>IFERROR(MID(VLOOKUP($B214,Seqs!$A:$B,2,0),AO214,1),"")</f>
        <v>A</v>
      </c>
      <c r="AO214" s="3">
        <v>241</v>
      </c>
      <c r="AP214" s="3" t="str">
        <f>IFERROR(MID(VLOOKUP($B214,Seqs!$A:$B,2,0),AQ214,1),"")</f>
        <v>H</v>
      </c>
      <c r="AQ214" s="3">
        <v>278</v>
      </c>
      <c r="AR214" s="3" t="str">
        <f>IFERROR(MID(VLOOKUP($B214,Seqs!$A:$B,2,0),AS214,1),"")</f>
        <v>G</v>
      </c>
      <c r="AS214" s="3">
        <v>284</v>
      </c>
      <c r="AT214" s="3" t="str">
        <f>IFERROR(MID(VLOOKUP($B214,Seqs!$A:$B,2,0),AU214,1),"")</f>
        <v>M</v>
      </c>
      <c r="AU214" s="3">
        <v>309</v>
      </c>
      <c r="AV214" s="3" t="str">
        <f>IFERROR(MID(VLOOKUP($B214,Seqs!$A:$B,2,0),AW214,1),"")</f>
        <v>N</v>
      </c>
      <c r="AW214" s="3">
        <v>310</v>
      </c>
      <c r="AX214" s="3" t="str">
        <f>IFERROR(MID(VLOOKUP($B214,Seqs!$A:$B,2,0),AY214,1),"")</f>
        <v>C</v>
      </c>
      <c r="AY214" s="3">
        <v>322</v>
      </c>
      <c r="AZ214" s="77" t="str">
        <f>VLOOKUP(B214,Classification!A:D,2,0)</f>
        <v>A</v>
      </c>
      <c r="BA214" s="94" t="str">
        <f>VLOOKUP(B214,Classification!A:D,4,0)</f>
        <v>Opsins</v>
      </c>
      <c r="BB214" s="27" t="b">
        <f t="shared" si="670"/>
        <v>1</v>
      </c>
      <c r="BC214" s="23">
        <f t="shared" ref="BC214:BC275" si="727">_xlfn.AGGREGATE(9,6,CH214:CS214)-_xlfn.AGGREGATE(9,6,BV214:CG214)+12</f>
        <v>253</v>
      </c>
      <c r="BD214" s="4" t="s">
        <v>23</v>
      </c>
      <c r="BE214" s="3" t="s">
        <v>1297</v>
      </c>
      <c r="BF214" s="119">
        <v>2.65</v>
      </c>
      <c r="BG214" s="49" t="s">
        <v>1384</v>
      </c>
      <c r="BH214" s="49" t="s">
        <v>1384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ref="BV214:BV275" si="728">E214</f>
        <v>33</v>
      </c>
      <c r="BW214" s="71">
        <f t="shared" ref="BW214:BW275" si="729">I214</f>
        <v>66</v>
      </c>
      <c r="BX214" s="72">
        <f t="shared" ref="BX214:BX275" si="730">M214</f>
        <v>70</v>
      </c>
      <c r="BY214" s="71">
        <f t="shared" ref="BY214:BY275" si="731">Q214</f>
        <v>102</v>
      </c>
      <c r="BZ214" s="72">
        <f t="shared" ref="BZ214:BZ275" si="732">U214</f>
        <v>106</v>
      </c>
      <c r="CA214" s="71" t="str">
        <f t="shared" ref="CA214:CA275" si="733">Y214</f>
        <v>-</v>
      </c>
      <c r="CB214" s="72">
        <f t="shared" ref="CB214:CB275" si="734">AC214</f>
        <v>149</v>
      </c>
      <c r="CC214" s="71">
        <f t="shared" ref="CC214:CC275" si="735">AG214</f>
        <v>187</v>
      </c>
      <c r="CD214" s="72">
        <f t="shared" ref="CD214:CD275" si="736">AK214</f>
        <v>199</v>
      </c>
      <c r="CE214" s="71">
        <f t="shared" ref="CE214:CE275" si="737">AO214</f>
        <v>241</v>
      </c>
      <c r="CF214" s="72">
        <f t="shared" ref="CF214:CF275" si="738">AS214</f>
        <v>284</v>
      </c>
      <c r="CG214" s="71">
        <f t="shared" ref="CG214:CG275" si="739">AW214</f>
        <v>310</v>
      </c>
      <c r="CH214" s="70">
        <f t="shared" ref="CH214:CH275" si="740">G214</f>
        <v>65</v>
      </c>
      <c r="CI214" s="71">
        <f t="shared" ref="CI214:CI275" si="741">K214</f>
        <v>69</v>
      </c>
      <c r="CJ214" s="72">
        <f t="shared" ref="CJ214:CJ275" si="742">O214</f>
        <v>100</v>
      </c>
      <c r="CK214" s="72">
        <f t="shared" ref="CK214:CK275" si="743">S214</f>
        <v>105</v>
      </c>
      <c r="CL214" s="72">
        <f t="shared" ref="CL214:CL275" si="744">W214</f>
        <v>141</v>
      </c>
      <c r="CM214" s="72" t="str">
        <f t="shared" ref="CM214:CM275" si="745">AA214</f>
        <v>-</v>
      </c>
      <c r="CN214" s="72">
        <f t="shared" ref="CN214:CN275" si="746">AE214</f>
        <v>173</v>
      </c>
      <c r="CO214" s="72">
        <f t="shared" ref="CO214:CO275" si="747">AI214</f>
        <v>189</v>
      </c>
      <c r="CP214" s="72">
        <f t="shared" ref="CP214:CP275" si="748">AM214</f>
        <v>237</v>
      </c>
      <c r="CQ214" s="72">
        <f t="shared" ref="CQ214:CQ275" si="749">AQ214</f>
        <v>278</v>
      </c>
      <c r="CR214" s="72">
        <f t="shared" ref="CR214:CR275" si="750">AU214</f>
        <v>309</v>
      </c>
      <c r="CS214" s="72">
        <f t="shared" ref="CS214:CS275" si="751">AY214</f>
        <v>322</v>
      </c>
      <c r="CT214" s="23">
        <f t="shared" ref="CT214:CT275" si="752">M214-K214</f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669"/>
        <v>opsd_bovin_5DYS</v>
      </c>
      <c r="B215" s="3" t="s">
        <v>920</v>
      </c>
      <c r="C215" s="3" t="s">
        <v>1363</v>
      </c>
      <c r="D215" s="3" t="str">
        <f>IFERROR(MID(VLOOKUP($B215,Seqs!$A:$B,2,0),E215,1),"")</f>
        <v>E</v>
      </c>
      <c r="E215" s="105">
        <v>33</v>
      </c>
      <c r="F215" s="3" t="str">
        <f>IFERROR(MID(VLOOKUP($B215,Seqs!$A:$B,2,0),G215,1),"")</f>
        <v>H</v>
      </c>
      <c r="G215" s="3">
        <v>65</v>
      </c>
      <c r="H215" s="3" t="str">
        <f>IFERROR(MID(VLOOKUP($B215,Seqs!$A:$B,2,0),I215,1),"")</f>
        <v>K</v>
      </c>
      <c r="I215" s="23">
        <v>66</v>
      </c>
      <c r="J215" s="3" t="str">
        <f>IFERROR(MID(VLOOKUP($B215,Seqs!$A:$B,2,0),K215,1),"")</f>
        <v>R</v>
      </c>
      <c r="K215" s="23">
        <v>69</v>
      </c>
      <c r="L215" s="3" t="str">
        <f>IFERROR(MID(VLOOKUP($B215,Seqs!$A:$B,2,0),M215,1),"")</f>
        <v>T</v>
      </c>
      <c r="M215" s="3">
        <v>70</v>
      </c>
      <c r="N215" s="3" t="str">
        <f>IFERROR(MID(VLOOKUP($B215,Seqs!$A:$B,2,0),O215,1),"")</f>
        <v>H</v>
      </c>
      <c r="O215" s="3">
        <v>100</v>
      </c>
      <c r="P215" s="3" t="str">
        <f>IFERROR(MID(VLOOKUP($B215,Seqs!$A:$B,2,0),Q215,1),"")</f>
        <v>Y</v>
      </c>
      <c r="Q215" s="3">
        <v>102</v>
      </c>
      <c r="R215" s="3" t="str">
        <f>IFERROR(MID(VLOOKUP($B215,Seqs!$A:$B,2,0),S215,1),"")</f>
        <v>F</v>
      </c>
      <c r="S215" s="3">
        <v>105</v>
      </c>
      <c r="T215" s="3" t="str">
        <f>IFERROR(MID(VLOOKUP($B215,Seqs!$A:$B,2,0),U215,1),"")</f>
        <v>G</v>
      </c>
      <c r="U215" s="3">
        <v>106</v>
      </c>
      <c r="V215" s="3" t="str">
        <f>IFERROR(MID(VLOOKUP($B215,Seqs!$A:$B,2,0),W215,1),"")</f>
        <v>K</v>
      </c>
      <c r="W215" s="3">
        <v>141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G</v>
      </c>
      <c r="AC215" s="9">
        <v>149</v>
      </c>
      <c r="AD215" s="3" t="str">
        <f>IFERROR(MID(VLOOKUP($B215,Seqs!$A:$B,2,0),AE215,1),"")</f>
        <v>V</v>
      </c>
      <c r="AE215" s="3">
        <v>173</v>
      </c>
      <c r="AF215" s="3" t="str">
        <f>IFERROR(MID(VLOOKUP($B215,Seqs!$A:$B,2,0),AG215,1),"")</f>
        <v>C</v>
      </c>
      <c r="AG215" s="3">
        <v>187</v>
      </c>
      <c r="AH215" s="3" t="str">
        <f>IFERROR(MID(VLOOKUP($B215,Seqs!$A:$B,2,0),AI215,1),"")</f>
        <v>I</v>
      </c>
      <c r="AI215" s="3">
        <v>189</v>
      </c>
      <c r="AJ215" s="3" t="str">
        <f>IFERROR(MID(VLOOKUP($B215,Seqs!$A:$B,2,0),AK215,1),"")</f>
        <v>N</v>
      </c>
      <c r="AK215" s="3">
        <v>199</v>
      </c>
      <c r="AL215" s="3" t="str">
        <f>IFERROR(MID(VLOOKUP($B215,Seqs!$A:$B,2,0),AM215,1),"")</f>
        <v>Q</v>
      </c>
      <c r="AM215" s="3">
        <v>237</v>
      </c>
      <c r="AN215" s="3" t="str">
        <f>IFERROR(MID(VLOOKUP($B215,Seqs!$A:$B,2,0),AO215,1),"")</f>
        <v>A</v>
      </c>
      <c r="AO215" s="3">
        <v>241</v>
      </c>
      <c r="AP215" s="3" t="str">
        <f>IFERROR(MID(VLOOKUP($B215,Seqs!$A:$B,2,0),AQ215,1),"")</f>
        <v>H</v>
      </c>
      <c r="AQ215" s="3">
        <v>278</v>
      </c>
      <c r="AR215" s="3" t="str">
        <f>IFERROR(MID(VLOOKUP($B215,Seqs!$A:$B,2,0),AS215,1),"")</f>
        <v>G</v>
      </c>
      <c r="AS215" s="3">
        <v>284</v>
      </c>
      <c r="AT215" s="3" t="str">
        <f>IFERROR(MID(VLOOKUP($B215,Seqs!$A:$B,2,0),AU215,1),"")</f>
        <v>M</v>
      </c>
      <c r="AU215" s="3">
        <v>309</v>
      </c>
      <c r="AV215" s="3" t="str">
        <f>IFERROR(MID(VLOOKUP($B215,Seqs!$A:$B,2,0),AW215,1),"")</f>
        <v>N</v>
      </c>
      <c r="AW215" s="3">
        <v>310</v>
      </c>
      <c r="AX215" s="3" t="str">
        <f>IFERROR(MID(VLOOKUP($B215,Seqs!$A:$B,2,0),AY215,1),"")</f>
        <v>C</v>
      </c>
      <c r="AY215" s="3">
        <v>322</v>
      </c>
      <c r="AZ215" s="77" t="str">
        <f>VLOOKUP(B215,Classification!A:D,2,0)</f>
        <v>A</v>
      </c>
      <c r="BA215" s="94" t="str">
        <f>VLOOKUP(B215,Classification!A:D,4,0)</f>
        <v>Opsins</v>
      </c>
      <c r="BB215" s="27" t="b">
        <f t="shared" si="670"/>
        <v>1</v>
      </c>
      <c r="BC215" s="23">
        <f t="shared" si="727"/>
        <v>253</v>
      </c>
      <c r="BD215" s="5" t="s">
        <v>1382</v>
      </c>
      <c r="BE215" s="3" t="s">
        <v>1297</v>
      </c>
      <c r="BF215" s="119">
        <v>2.2999999999999998</v>
      </c>
      <c r="BG215" s="49" t="s">
        <v>1384</v>
      </c>
      <c r="BH215" s="49" t="s">
        <v>1384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 t="shared" si="728"/>
        <v>33</v>
      </c>
      <c r="BW215" s="71">
        <f t="shared" si="729"/>
        <v>66</v>
      </c>
      <c r="BX215" s="72">
        <f t="shared" si="730"/>
        <v>70</v>
      </c>
      <c r="BY215" s="71">
        <f t="shared" si="731"/>
        <v>102</v>
      </c>
      <c r="BZ215" s="72">
        <f t="shared" si="732"/>
        <v>106</v>
      </c>
      <c r="CA215" s="71" t="str">
        <f t="shared" si="733"/>
        <v>-</v>
      </c>
      <c r="CB215" s="72">
        <f t="shared" si="734"/>
        <v>149</v>
      </c>
      <c r="CC215" s="71">
        <f t="shared" si="735"/>
        <v>187</v>
      </c>
      <c r="CD215" s="72">
        <f t="shared" si="736"/>
        <v>199</v>
      </c>
      <c r="CE215" s="71">
        <f t="shared" si="737"/>
        <v>241</v>
      </c>
      <c r="CF215" s="72">
        <f t="shared" si="738"/>
        <v>284</v>
      </c>
      <c r="CG215" s="71">
        <f t="shared" si="739"/>
        <v>310</v>
      </c>
      <c r="CH215" s="70">
        <f t="shared" si="740"/>
        <v>65</v>
      </c>
      <c r="CI215" s="71">
        <f t="shared" si="741"/>
        <v>69</v>
      </c>
      <c r="CJ215" s="72">
        <f t="shared" si="742"/>
        <v>100</v>
      </c>
      <c r="CK215" s="72">
        <f t="shared" si="743"/>
        <v>105</v>
      </c>
      <c r="CL215" s="72">
        <f t="shared" si="744"/>
        <v>141</v>
      </c>
      <c r="CM215" s="72" t="str">
        <f t="shared" si="745"/>
        <v>-</v>
      </c>
      <c r="CN215" s="72">
        <f t="shared" si="746"/>
        <v>173</v>
      </c>
      <c r="CO215" s="72">
        <f t="shared" si="747"/>
        <v>189</v>
      </c>
      <c r="CP215" s="72">
        <f t="shared" si="748"/>
        <v>237</v>
      </c>
      <c r="CQ215" s="72">
        <f t="shared" si="749"/>
        <v>278</v>
      </c>
      <c r="CR215" s="72">
        <f t="shared" si="750"/>
        <v>309</v>
      </c>
      <c r="CS215" s="72">
        <f t="shared" si="751"/>
        <v>322</v>
      </c>
      <c r="CT215" s="23">
        <f t="shared" si="752"/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ref="A216:A291" si="753">CONCATENATE(B216,"_",C216)</f>
        <v>opsd_bovin_5EN0</v>
      </c>
      <c r="B216" s="3" t="s">
        <v>920</v>
      </c>
      <c r="C216" s="3" t="s">
        <v>1364</v>
      </c>
      <c r="D216" s="3" t="str">
        <f>IFERROR(MID(VLOOKUP($B216,Seqs!$A:$B,2,0),E216,1),"")</f>
        <v>E</v>
      </c>
      <c r="E216" s="105">
        <v>33</v>
      </c>
      <c r="F216" s="3" t="str">
        <f>IFERROR(MID(VLOOKUP($B216,Seqs!$A:$B,2,0),G216,1),"")</f>
        <v>H</v>
      </c>
      <c r="G216" s="3">
        <v>65</v>
      </c>
      <c r="H216" s="3" t="str">
        <f>IFERROR(MID(VLOOKUP($B216,Seqs!$A:$B,2,0),I216,1),"")</f>
        <v>K</v>
      </c>
      <c r="I216" s="23">
        <v>66</v>
      </c>
      <c r="J216" s="3" t="str">
        <f>IFERROR(MID(VLOOKUP($B216,Seqs!$A:$B,2,0),K216,1),"")</f>
        <v>R</v>
      </c>
      <c r="K216" s="23">
        <v>69</v>
      </c>
      <c r="L216" s="3" t="str">
        <f>IFERROR(MID(VLOOKUP($B216,Seqs!$A:$B,2,0),M216,1),"")</f>
        <v>T</v>
      </c>
      <c r="M216" s="3">
        <v>70</v>
      </c>
      <c r="N216" s="3" t="str">
        <f>IFERROR(MID(VLOOKUP($B216,Seqs!$A:$B,2,0),O216,1),"")</f>
        <v>H</v>
      </c>
      <c r="O216" s="3">
        <v>100</v>
      </c>
      <c r="P216" s="3" t="str">
        <f>IFERROR(MID(VLOOKUP($B216,Seqs!$A:$B,2,0),Q216,1),"")</f>
        <v>Y</v>
      </c>
      <c r="Q216" s="3">
        <v>102</v>
      </c>
      <c r="R216" s="3" t="str">
        <f>IFERROR(MID(VLOOKUP($B216,Seqs!$A:$B,2,0),S216,1),"")</f>
        <v>F</v>
      </c>
      <c r="S216" s="3">
        <v>105</v>
      </c>
      <c r="T216" s="3" t="str">
        <f>IFERROR(MID(VLOOKUP($B216,Seqs!$A:$B,2,0),U216,1),"")</f>
        <v>G</v>
      </c>
      <c r="U216" s="3">
        <v>106</v>
      </c>
      <c r="V216" s="3" t="str">
        <f>IFERROR(MID(VLOOKUP($B216,Seqs!$A:$B,2,0),W216,1),"")</f>
        <v>K</v>
      </c>
      <c r="W216" s="3">
        <v>141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G</v>
      </c>
      <c r="AC216" s="9">
        <v>149</v>
      </c>
      <c r="AD216" s="3" t="str">
        <f>IFERROR(MID(VLOOKUP($B216,Seqs!$A:$B,2,0),AE216,1),"")</f>
        <v>V</v>
      </c>
      <c r="AE216" s="3">
        <v>173</v>
      </c>
      <c r="AF216" s="3" t="str">
        <f>IFERROR(MID(VLOOKUP($B216,Seqs!$A:$B,2,0),AG216,1),"")</f>
        <v>C</v>
      </c>
      <c r="AG216" s="3">
        <v>187</v>
      </c>
      <c r="AH216" s="3" t="str">
        <f>IFERROR(MID(VLOOKUP($B216,Seqs!$A:$B,2,0),AI216,1),"")</f>
        <v>I</v>
      </c>
      <c r="AI216" s="3">
        <v>189</v>
      </c>
      <c r="AJ216" s="3" t="str">
        <f>IFERROR(MID(VLOOKUP($B216,Seqs!$A:$B,2,0),AK216,1),"")</f>
        <v>N</v>
      </c>
      <c r="AK216" s="3">
        <v>199</v>
      </c>
      <c r="AL216" s="3" t="str">
        <f>IFERROR(MID(VLOOKUP($B216,Seqs!$A:$B,2,0),AM216,1),"")</f>
        <v>Q</v>
      </c>
      <c r="AM216" s="3">
        <v>237</v>
      </c>
      <c r="AN216" s="3" t="str">
        <f>IFERROR(MID(VLOOKUP($B216,Seqs!$A:$B,2,0),AO216,1),"")</f>
        <v>A</v>
      </c>
      <c r="AO216" s="3">
        <v>241</v>
      </c>
      <c r="AP216" s="3" t="str">
        <f>IFERROR(MID(VLOOKUP($B216,Seqs!$A:$B,2,0),AQ216,1),"")</f>
        <v>H</v>
      </c>
      <c r="AQ216" s="3">
        <v>278</v>
      </c>
      <c r="AR216" s="3" t="str">
        <f>IFERROR(MID(VLOOKUP($B216,Seqs!$A:$B,2,0),AS216,1),"")</f>
        <v>G</v>
      </c>
      <c r="AS216" s="3">
        <v>284</v>
      </c>
      <c r="AT216" s="3" t="str">
        <f>IFERROR(MID(VLOOKUP($B216,Seqs!$A:$B,2,0),AU216,1),"")</f>
        <v>M</v>
      </c>
      <c r="AU216" s="3">
        <v>309</v>
      </c>
      <c r="AV216" s="3" t="str">
        <f>IFERROR(MID(VLOOKUP($B216,Seqs!$A:$B,2,0),AW216,1),"")</f>
        <v>N</v>
      </c>
      <c r="AW216" s="3">
        <v>310</v>
      </c>
      <c r="AX216" s="3" t="str">
        <f>IFERROR(MID(VLOOKUP($B216,Seqs!$A:$B,2,0),AY216,1),"")</f>
        <v>C</v>
      </c>
      <c r="AY216" s="3">
        <v>322</v>
      </c>
      <c r="AZ216" s="77" t="str">
        <f>VLOOKUP(B216,Classification!A:D,2,0)</f>
        <v>A</v>
      </c>
      <c r="BA216" s="94" t="str">
        <f>VLOOKUP(B216,Classification!A:D,4,0)</f>
        <v>Opsins</v>
      </c>
      <c r="BB216" s="27" t="b">
        <f t="shared" ref="BB216:BB291" si="754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si="727"/>
        <v>253</v>
      </c>
      <c r="BD216" s="4" t="s">
        <v>23</v>
      </c>
      <c r="BE216" s="3" t="s">
        <v>1297</v>
      </c>
      <c r="BF216" s="119">
        <v>2.81</v>
      </c>
      <c r="BG216" s="49" t="s">
        <v>1384</v>
      </c>
      <c r="BH216" s="49" t="s">
        <v>1384</v>
      </c>
      <c r="BI216" s="1"/>
      <c r="BJ216" s="70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0">
        <f t="shared" si="728"/>
        <v>33</v>
      </c>
      <c r="BW216" s="71">
        <f t="shared" si="729"/>
        <v>66</v>
      </c>
      <c r="BX216" s="72">
        <f t="shared" si="730"/>
        <v>70</v>
      </c>
      <c r="BY216" s="71">
        <f t="shared" si="731"/>
        <v>102</v>
      </c>
      <c r="BZ216" s="72">
        <f t="shared" si="732"/>
        <v>106</v>
      </c>
      <c r="CA216" s="71" t="str">
        <f t="shared" si="733"/>
        <v>-</v>
      </c>
      <c r="CB216" s="72">
        <f t="shared" si="734"/>
        <v>149</v>
      </c>
      <c r="CC216" s="71">
        <f t="shared" si="735"/>
        <v>187</v>
      </c>
      <c r="CD216" s="72">
        <f t="shared" si="736"/>
        <v>199</v>
      </c>
      <c r="CE216" s="71">
        <f t="shared" si="737"/>
        <v>241</v>
      </c>
      <c r="CF216" s="72">
        <f t="shared" si="738"/>
        <v>284</v>
      </c>
      <c r="CG216" s="71">
        <f t="shared" si="739"/>
        <v>310</v>
      </c>
      <c r="CH216" s="70">
        <f t="shared" si="740"/>
        <v>65</v>
      </c>
      <c r="CI216" s="71">
        <f t="shared" si="741"/>
        <v>69</v>
      </c>
      <c r="CJ216" s="72">
        <f t="shared" si="742"/>
        <v>100</v>
      </c>
      <c r="CK216" s="72">
        <f t="shared" si="743"/>
        <v>105</v>
      </c>
      <c r="CL216" s="72">
        <f t="shared" si="744"/>
        <v>141</v>
      </c>
      <c r="CM216" s="72" t="str">
        <f t="shared" si="745"/>
        <v>-</v>
      </c>
      <c r="CN216" s="72">
        <f t="shared" si="746"/>
        <v>173</v>
      </c>
      <c r="CO216" s="72">
        <f t="shared" si="747"/>
        <v>189</v>
      </c>
      <c r="CP216" s="72">
        <f t="shared" si="748"/>
        <v>237</v>
      </c>
      <c r="CQ216" s="72">
        <f t="shared" si="749"/>
        <v>278</v>
      </c>
      <c r="CR216" s="72">
        <f t="shared" si="750"/>
        <v>309</v>
      </c>
      <c r="CS216" s="72">
        <f t="shared" si="751"/>
        <v>322</v>
      </c>
      <c r="CT216" s="23">
        <f t="shared" si="752"/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ref="A217:A227" si="755">CONCATENATE(B217,"_",C217)</f>
        <v>opsd_bovin_5TE3</v>
      </c>
      <c r="B217" s="3" t="s">
        <v>920</v>
      </c>
      <c r="C217" s="3" t="s">
        <v>1407</v>
      </c>
      <c r="D217" s="3" t="str">
        <f>IFERROR(MID(VLOOKUP($B217,Seqs!$A:$B,2,0),E217,1),"")</f>
        <v>E</v>
      </c>
      <c r="E217" s="105">
        <v>33</v>
      </c>
      <c r="F217" s="3" t="str">
        <f>IFERROR(MID(VLOOKUP($B217,Seqs!$A:$B,2,0),G217,1),"")</f>
        <v>H</v>
      </c>
      <c r="G217" s="3">
        <v>65</v>
      </c>
      <c r="H217" s="3" t="str">
        <f>IFERROR(MID(VLOOKUP($B217,Seqs!$A:$B,2,0),I217,1),"")</f>
        <v>K</v>
      </c>
      <c r="I217" s="23">
        <v>66</v>
      </c>
      <c r="J217" s="3" t="str">
        <f>IFERROR(MID(VLOOKUP($B217,Seqs!$A:$B,2,0),K217,1),"")</f>
        <v>R</v>
      </c>
      <c r="K217" s="23">
        <v>69</v>
      </c>
      <c r="L217" s="3" t="str">
        <f>IFERROR(MID(VLOOKUP($B217,Seqs!$A:$B,2,0),M217,1),"")</f>
        <v>T</v>
      </c>
      <c r="M217" s="3">
        <v>70</v>
      </c>
      <c r="N217" s="3" t="str">
        <f>IFERROR(MID(VLOOKUP($B217,Seqs!$A:$B,2,0),O217,1),"")</f>
        <v>H</v>
      </c>
      <c r="O217" s="3">
        <v>100</v>
      </c>
      <c r="P217" s="3" t="str">
        <f>IFERROR(MID(VLOOKUP($B217,Seqs!$A:$B,2,0),Q217,1),"")</f>
        <v>Y</v>
      </c>
      <c r="Q217" s="3">
        <v>102</v>
      </c>
      <c r="R217" s="3" t="str">
        <f>IFERROR(MID(VLOOKUP($B217,Seqs!$A:$B,2,0),S217,1),"")</f>
        <v>F</v>
      </c>
      <c r="S217" s="3">
        <v>105</v>
      </c>
      <c r="T217" s="3" t="str">
        <f>IFERROR(MID(VLOOKUP($B217,Seqs!$A:$B,2,0),U217,1),"")</f>
        <v>G</v>
      </c>
      <c r="U217" s="3">
        <v>106</v>
      </c>
      <c r="V217" s="3" t="str">
        <f>IFERROR(MID(VLOOKUP($B217,Seqs!$A:$B,2,0),W217,1),"")</f>
        <v>K</v>
      </c>
      <c r="W217" s="3">
        <v>141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G</v>
      </c>
      <c r="AC217" s="3">
        <v>149</v>
      </c>
      <c r="AD217" s="3" t="str">
        <f>IFERROR(MID(VLOOKUP($B217,Seqs!$A:$B,2,0),AE217,1),"")</f>
        <v>V</v>
      </c>
      <c r="AE217" s="3">
        <v>173</v>
      </c>
      <c r="AF217" s="3" t="str">
        <f>IFERROR(MID(VLOOKUP($B217,Seqs!$A:$B,2,0),AG217,1),"")</f>
        <v>C</v>
      </c>
      <c r="AG217" s="3">
        <v>187</v>
      </c>
      <c r="AH217" s="3" t="str">
        <f>IFERROR(MID(VLOOKUP($B217,Seqs!$A:$B,2,0),AI217,1),"")</f>
        <v>I</v>
      </c>
      <c r="AI217" s="3">
        <v>189</v>
      </c>
      <c r="AJ217" s="3" t="str">
        <f>IFERROR(MID(VLOOKUP($B217,Seqs!$A:$B,2,0),AK217,1),"")</f>
        <v>N</v>
      </c>
      <c r="AK217" s="3">
        <v>199</v>
      </c>
      <c r="AL217" s="3" t="str">
        <f>IFERROR(MID(VLOOKUP($B217,Seqs!$A:$B,2,0),AM217,1),"")</f>
        <v>Q</v>
      </c>
      <c r="AM217" s="3">
        <v>237</v>
      </c>
      <c r="AN217" s="3" t="str">
        <f>IFERROR(MID(VLOOKUP($B217,Seqs!$A:$B,2,0),AO217,1),"")</f>
        <v>A</v>
      </c>
      <c r="AO217" s="3">
        <v>241</v>
      </c>
      <c r="AP217" s="3" t="str">
        <f>IFERROR(MID(VLOOKUP($B217,Seqs!$A:$B,2,0),AQ217,1),"")</f>
        <v>H</v>
      </c>
      <c r="AQ217" s="3">
        <v>278</v>
      </c>
      <c r="AR217" s="3" t="str">
        <f>IFERROR(MID(VLOOKUP($B217,Seqs!$A:$B,2,0),AS217,1),"")</f>
        <v>G</v>
      </c>
      <c r="AS217" s="3">
        <v>284</v>
      </c>
      <c r="AT217" s="3" t="str">
        <f>IFERROR(MID(VLOOKUP($B217,Seqs!$A:$B,2,0),AU217,1),"")</f>
        <v>M</v>
      </c>
      <c r="AU217" s="3">
        <v>309</v>
      </c>
      <c r="AV217" s="3" t="str">
        <f>IFERROR(MID(VLOOKUP($B217,Seqs!$A:$B,2,0),AW217,1),"")</f>
        <v>N</v>
      </c>
      <c r="AW217" s="3">
        <v>310</v>
      </c>
      <c r="AX217" s="3" t="str">
        <f>IFERROR(MID(VLOOKUP($B217,Seqs!$A:$B,2,0),AY217,1),"")</f>
        <v>C</v>
      </c>
      <c r="AY217" s="3">
        <v>322</v>
      </c>
      <c r="AZ217" s="77" t="str">
        <f>VLOOKUP(B217,Classification!A:D,2,0)</f>
        <v>A</v>
      </c>
      <c r="BA217" s="94" t="str">
        <f>VLOOKUP(B217,Classification!A:D,4,0)</f>
        <v>Opsins</v>
      </c>
      <c r="BB217" s="27" t="b">
        <f t="shared" ref="BB217:BB227" si="756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:BC227" si="757">_xlfn.AGGREGATE(9,6,CH217:CS217)-_xlfn.AGGREGATE(9,6,BV217:CG217)+12</f>
        <v>253</v>
      </c>
      <c r="BD217" s="2" t="s">
        <v>23</v>
      </c>
      <c r="BE217" s="3" t="s">
        <v>1297</v>
      </c>
      <c r="BF217" s="119">
        <v>2.7</v>
      </c>
      <c r="BG217" s="49" t="s">
        <v>1</v>
      </c>
      <c r="BH217" s="49" t="s">
        <v>1384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 t="shared" ref="BV217:BV227" si="758">E217</f>
        <v>33</v>
      </c>
      <c r="BW217" s="71">
        <f t="shared" ref="BW217:BW227" si="759">I217</f>
        <v>66</v>
      </c>
      <c r="BX217" s="72">
        <f t="shared" ref="BX217:BX227" si="760">M217</f>
        <v>70</v>
      </c>
      <c r="BY217" s="71">
        <f t="shared" ref="BY217:BY227" si="761">Q217</f>
        <v>102</v>
      </c>
      <c r="BZ217" s="72">
        <f t="shared" ref="BZ217:BZ227" si="762">U217</f>
        <v>106</v>
      </c>
      <c r="CA217" s="71" t="str">
        <f t="shared" ref="CA217:CA227" si="763">Y217</f>
        <v>-</v>
      </c>
      <c r="CB217" s="72">
        <f t="shared" ref="CB217:CB227" si="764">AC217</f>
        <v>149</v>
      </c>
      <c r="CC217" s="71">
        <f t="shared" ref="CC217:CC227" si="765">AG217</f>
        <v>187</v>
      </c>
      <c r="CD217" s="72">
        <f t="shared" ref="CD217:CD227" si="766">AK217</f>
        <v>199</v>
      </c>
      <c r="CE217" s="71">
        <f t="shared" ref="CE217:CE227" si="767">AO217</f>
        <v>241</v>
      </c>
      <c r="CF217" s="72">
        <f t="shared" ref="CF217:CF227" si="768">AS217</f>
        <v>284</v>
      </c>
      <c r="CG217" s="71">
        <f t="shared" ref="CG217:CG227" si="769">AW217</f>
        <v>310</v>
      </c>
      <c r="CH217" s="70">
        <f t="shared" ref="CH217:CH227" si="770">G217</f>
        <v>65</v>
      </c>
      <c r="CI217" s="71">
        <f t="shared" ref="CI217:CI227" si="771">K217</f>
        <v>69</v>
      </c>
      <c r="CJ217" s="72">
        <f t="shared" ref="CJ217:CJ227" si="772">O217</f>
        <v>100</v>
      </c>
      <c r="CK217" s="72">
        <f t="shared" ref="CK217:CK227" si="773">S217</f>
        <v>105</v>
      </c>
      <c r="CL217" s="72">
        <f t="shared" ref="CL217:CL227" si="774">W217</f>
        <v>141</v>
      </c>
      <c r="CM217" s="72" t="str">
        <f t="shared" ref="CM217:CM227" si="775">AA217</f>
        <v>-</v>
      </c>
      <c r="CN217" s="72">
        <f t="shared" ref="CN217:CN227" si="776">AE217</f>
        <v>173</v>
      </c>
      <c r="CO217" s="72">
        <f t="shared" ref="CO217:CO227" si="777">AI217</f>
        <v>189</v>
      </c>
      <c r="CP217" s="72">
        <f t="shared" ref="CP217:CP227" si="778">AM217</f>
        <v>237</v>
      </c>
      <c r="CQ217" s="72">
        <f t="shared" ref="CQ217:CQ227" si="779">AQ217</f>
        <v>278</v>
      </c>
      <c r="CR217" s="72">
        <f t="shared" ref="CR217:CR227" si="780">AU217</f>
        <v>309</v>
      </c>
      <c r="CS217" s="72">
        <f t="shared" ref="CS217:CS227" si="781">AY217</f>
        <v>322</v>
      </c>
      <c r="CT217" s="23">
        <f t="shared" ref="CT217:CT227" si="782"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755"/>
        <v>opsd_bovin_5TE5</v>
      </c>
      <c r="B218" s="3" t="s">
        <v>920</v>
      </c>
      <c r="C218" s="3" t="s">
        <v>1408</v>
      </c>
      <c r="D218" s="3" t="str">
        <f>IFERROR(MID(VLOOKUP($B218,Seqs!$A:$B,2,0),E218,1),"")</f>
        <v>Q</v>
      </c>
      <c r="E218" s="3">
        <v>36</v>
      </c>
      <c r="F218" s="3" t="str">
        <f>IFERROR(MID(VLOOKUP($B218,Seqs!$A:$B,2,0),G218,1),"")</f>
        <v>H</v>
      </c>
      <c r="G218" s="3">
        <v>65</v>
      </c>
      <c r="H218" s="3" t="str">
        <f>IFERROR(MID(VLOOKUP($B218,Seqs!$A:$B,2,0),I218,1),"")</f>
        <v>K</v>
      </c>
      <c r="I218" s="23">
        <v>66</v>
      </c>
      <c r="J218" s="3" t="str">
        <f>IFERROR(MID(VLOOKUP($B218,Seqs!$A:$B,2,0),K218,1),"")</f>
        <v>R</v>
      </c>
      <c r="K218" s="23">
        <v>69</v>
      </c>
      <c r="L218" s="3" t="str">
        <f>IFERROR(MID(VLOOKUP($B218,Seqs!$A:$B,2,0),M218,1),"")</f>
        <v>T</v>
      </c>
      <c r="M218" s="3">
        <v>70</v>
      </c>
      <c r="N218" s="3" t="str">
        <f>IFERROR(MID(VLOOKUP($B218,Seqs!$A:$B,2,0),O218,1),"")</f>
        <v>G</v>
      </c>
      <c r="O218" s="3">
        <v>101</v>
      </c>
      <c r="P218" s="3" t="str">
        <f>IFERROR(MID(VLOOKUP($B218,Seqs!$A:$B,2,0),Q218,1),"")</f>
        <v>Y</v>
      </c>
      <c r="Q218" s="3">
        <v>102</v>
      </c>
      <c r="R218" s="3" t="str">
        <f>IFERROR(MID(VLOOKUP($B218,Seqs!$A:$B,2,0),S218,1),"")</f>
        <v>F</v>
      </c>
      <c r="S218" s="3">
        <v>105</v>
      </c>
      <c r="T218" s="3" t="str">
        <f>IFERROR(MID(VLOOKUP($B218,Seqs!$A:$B,2,0),U218,1),"")</f>
        <v>G</v>
      </c>
      <c r="U218" s="3">
        <v>106</v>
      </c>
      <c r="V218" s="3" t="str">
        <f>IFERROR(MID(VLOOKUP($B218,Seqs!$A:$B,2,0),W218,1),"")</f>
        <v>K</v>
      </c>
      <c r="W218" s="3">
        <v>141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G</v>
      </c>
      <c r="AC218" s="3">
        <v>149</v>
      </c>
      <c r="AD218" s="3" t="str">
        <f>IFERROR(MID(VLOOKUP($B218,Seqs!$A:$B,2,0),AE218,1),"")</f>
        <v>V</v>
      </c>
      <c r="AE218" s="3">
        <v>173</v>
      </c>
      <c r="AF218" s="3" t="str">
        <f>IFERROR(MID(VLOOKUP($B218,Seqs!$A:$B,2,0),AG218,1),"")</f>
        <v>C</v>
      </c>
      <c r="AG218" s="3">
        <v>187</v>
      </c>
      <c r="AH218" s="3" t="str">
        <f>IFERROR(MID(VLOOKUP($B218,Seqs!$A:$B,2,0),AI218,1),"")</f>
        <v>I</v>
      </c>
      <c r="AI218" s="3">
        <v>189</v>
      </c>
      <c r="AJ218" s="3" t="str">
        <f>IFERROR(MID(VLOOKUP($B218,Seqs!$A:$B,2,0),AK218,1),"")</f>
        <v>S</v>
      </c>
      <c r="AK218" s="3">
        <v>202</v>
      </c>
      <c r="AL218" s="3" t="str">
        <f>IFERROR(MID(VLOOKUP($B218,Seqs!$A:$B,2,0),AM218,1),"")</f>
        <v>L</v>
      </c>
      <c r="AM218" s="3">
        <v>226</v>
      </c>
      <c r="AN218" s="3" t="str">
        <f>IFERROR(MID(VLOOKUP($B218,Seqs!$A:$B,2,0),AO218,1),"")</f>
        <v>T</v>
      </c>
      <c r="AO218" s="3">
        <v>243</v>
      </c>
      <c r="AP218" s="3" t="str">
        <f>IFERROR(MID(VLOOKUP($B218,Seqs!$A:$B,2,0),AQ218,1),"")</f>
        <v>H</v>
      </c>
      <c r="AQ218" s="3">
        <v>278</v>
      </c>
      <c r="AR218" s="3" t="str">
        <f>IFERROR(MID(VLOOKUP($B218,Seqs!$A:$B,2,0),AS218,1),"")</f>
        <v>P</v>
      </c>
      <c r="AS218" s="3">
        <v>285</v>
      </c>
      <c r="AT218" s="3" t="str">
        <f>IFERROR(MID(VLOOKUP($B218,Seqs!$A:$B,2,0),AU218,1),"")</f>
        <v>M</v>
      </c>
      <c r="AU218" s="3">
        <v>309</v>
      </c>
      <c r="AV218" s="3" t="str">
        <f>IFERROR(MID(VLOOKUP($B218,Seqs!$A:$B,2,0),AW218,1),"")</f>
        <v>N</v>
      </c>
      <c r="AW218" s="3">
        <v>310</v>
      </c>
      <c r="AX218" s="3" t="str">
        <f>IFERROR(MID(VLOOKUP($B218,Seqs!$A:$B,2,0),AY218,1),"")</f>
        <v>C</v>
      </c>
      <c r="AY218" s="3">
        <v>323</v>
      </c>
      <c r="AZ218" s="77" t="str">
        <f>VLOOKUP(B218,Classification!A:D,2,0)</f>
        <v>A</v>
      </c>
      <c r="BA218" s="94" t="str">
        <f>VLOOKUP(B218,Classification!A:D,4,0)</f>
        <v>Opsins</v>
      </c>
      <c r="BB218" s="27" t="b">
        <f t="shared" si="756"/>
        <v>1</v>
      </c>
      <c r="BC218" s="23">
        <f t="shared" si="757"/>
        <v>235</v>
      </c>
      <c r="BD218" s="2" t="s">
        <v>23</v>
      </c>
      <c r="BE218" s="3" t="s">
        <v>1381</v>
      </c>
      <c r="BF218" s="119">
        <v>4.01</v>
      </c>
      <c r="BG218" s="49" t="s">
        <v>1384</v>
      </c>
      <c r="BH218" s="49" t="s">
        <v>1384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 t="shared" si="758"/>
        <v>36</v>
      </c>
      <c r="BW218" s="71">
        <f t="shared" si="759"/>
        <v>66</v>
      </c>
      <c r="BX218" s="72">
        <f t="shared" si="760"/>
        <v>70</v>
      </c>
      <c r="BY218" s="71">
        <f t="shared" si="761"/>
        <v>102</v>
      </c>
      <c r="BZ218" s="72">
        <f t="shared" si="762"/>
        <v>106</v>
      </c>
      <c r="CA218" s="71" t="str">
        <f t="shared" si="763"/>
        <v>-</v>
      </c>
      <c r="CB218" s="72">
        <f t="shared" si="764"/>
        <v>149</v>
      </c>
      <c r="CC218" s="71">
        <f t="shared" si="765"/>
        <v>187</v>
      </c>
      <c r="CD218" s="72">
        <f t="shared" si="766"/>
        <v>202</v>
      </c>
      <c r="CE218" s="71">
        <f t="shared" si="767"/>
        <v>243</v>
      </c>
      <c r="CF218" s="72">
        <f t="shared" si="768"/>
        <v>285</v>
      </c>
      <c r="CG218" s="71">
        <f t="shared" si="769"/>
        <v>310</v>
      </c>
      <c r="CH218" s="70">
        <f t="shared" si="770"/>
        <v>65</v>
      </c>
      <c r="CI218" s="71">
        <f t="shared" si="771"/>
        <v>69</v>
      </c>
      <c r="CJ218" s="72">
        <f t="shared" si="772"/>
        <v>101</v>
      </c>
      <c r="CK218" s="72">
        <f t="shared" si="773"/>
        <v>105</v>
      </c>
      <c r="CL218" s="72">
        <f t="shared" si="774"/>
        <v>141</v>
      </c>
      <c r="CM218" s="72" t="str">
        <f t="shared" si="775"/>
        <v>-</v>
      </c>
      <c r="CN218" s="72">
        <f t="shared" si="776"/>
        <v>173</v>
      </c>
      <c r="CO218" s="72">
        <f t="shared" si="777"/>
        <v>189</v>
      </c>
      <c r="CP218" s="72">
        <f t="shared" si="778"/>
        <v>226</v>
      </c>
      <c r="CQ218" s="72">
        <f t="shared" si="779"/>
        <v>278</v>
      </c>
      <c r="CR218" s="72">
        <f t="shared" si="780"/>
        <v>309</v>
      </c>
      <c r="CS218" s="72">
        <f t="shared" si="781"/>
        <v>323</v>
      </c>
      <c r="CT218" s="23">
        <f t="shared" si="782"/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755"/>
        <v>opsd_bovin_5WKT</v>
      </c>
      <c r="B219" s="3" t="s">
        <v>920</v>
      </c>
      <c r="C219" s="3" t="s">
        <v>1462</v>
      </c>
      <c r="D219" s="3" t="str">
        <f>IFERROR(MID(VLOOKUP($B219,Seqs!$A:$B,2,0),E219,1),"")</f>
        <v>E</v>
      </c>
      <c r="E219" s="3">
        <v>33</v>
      </c>
      <c r="F219" s="3" t="str">
        <f>IFERROR(MID(VLOOKUP($B219,Seqs!$A:$B,2,0),G219,1),"")</f>
        <v>Q</v>
      </c>
      <c r="G219" s="3">
        <v>64</v>
      </c>
      <c r="H219" s="3" t="str">
        <f>IFERROR(MID(VLOOKUP($B219,Seqs!$A:$B,2,0),I219,1),"")</f>
        <v>K</v>
      </c>
      <c r="I219" s="23">
        <v>66</v>
      </c>
      <c r="J219" s="3" t="str">
        <f>IFERROR(MID(VLOOKUP($B219,Seqs!$A:$B,2,0),K219,1),"")</f>
        <v>R</v>
      </c>
      <c r="K219" s="23">
        <v>69</v>
      </c>
      <c r="L219" s="3" t="str">
        <f>IFERROR(MID(VLOOKUP($B219,Seqs!$A:$B,2,0),M219,1),"")</f>
        <v>N</v>
      </c>
      <c r="M219" s="3">
        <v>73</v>
      </c>
      <c r="N219" s="3" t="str">
        <f>IFERROR(MID(VLOOKUP($B219,Seqs!$A:$B,2,0),O219,1),"")</f>
        <v>G</v>
      </c>
      <c r="O219" s="3">
        <v>101</v>
      </c>
      <c r="P219" s="3" t="str">
        <f>IFERROR(MID(VLOOKUP($B219,Seqs!$A:$B,2,0),Q219,1),"")</f>
        <v>Y</v>
      </c>
      <c r="Q219" s="3">
        <v>102</v>
      </c>
      <c r="R219" s="3" t="str">
        <f>IFERROR(MID(VLOOKUP($B219,Seqs!$A:$B,2,0),S219,1),"")</f>
        <v>G</v>
      </c>
      <c r="S219" s="3">
        <v>106</v>
      </c>
      <c r="T219" s="3" t="str">
        <f>IFERROR(MID(VLOOKUP($B219,Seqs!$A:$B,2,0),U219,1),"")</f>
        <v>P</v>
      </c>
      <c r="U219" s="3">
        <v>107</v>
      </c>
      <c r="V219" s="3" t="str">
        <f>IFERROR(MID(VLOOKUP($B219,Seqs!$A:$B,2,0),W219,1),"")</f>
        <v>K</v>
      </c>
      <c r="W219" s="3">
        <v>141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G</v>
      </c>
      <c r="AC219" s="3">
        <v>149</v>
      </c>
      <c r="AD219" s="3" t="str">
        <f>IFERROR(MID(VLOOKUP($B219,Seqs!$A:$B,2,0),AE219,1),"")</f>
        <v>V</v>
      </c>
      <c r="AE219" s="3">
        <v>173</v>
      </c>
      <c r="AF219" s="3" t="str">
        <f>IFERROR(MID(VLOOKUP($B219,Seqs!$A:$B,2,0),AG219,1),"")</f>
        <v>C</v>
      </c>
      <c r="AG219" s="3">
        <v>187</v>
      </c>
      <c r="AH219" s="3" t="str">
        <f>IFERROR(MID(VLOOKUP($B219,Seqs!$A:$B,2,0),AI219,1),"")</f>
        <v>I</v>
      </c>
      <c r="AI219" s="3">
        <v>189</v>
      </c>
      <c r="AJ219" s="3" t="str">
        <f>IFERROR(MID(VLOOKUP($B219,Seqs!$A:$B,2,0),AK219,1),"")</f>
        <v>N</v>
      </c>
      <c r="AK219" s="3">
        <v>199</v>
      </c>
      <c r="AL219" s="3" t="str">
        <f>IFERROR(MID(VLOOKUP($B219,Seqs!$A:$B,2,0),AM219,1),"")</f>
        <v>Q</v>
      </c>
      <c r="AM219" s="3">
        <v>236</v>
      </c>
      <c r="AN219" s="3" t="str">
        <f>IFERROR(MID(VLOOKUP($B219,Seqs!$A:$B,2,0),AO219,1),"")</f>
        <v>S</v>
      </c>
      <c r="AO219" s="3">
        <v>240</v>
      </c>
      <c r="AP219" s="3" t="str">
        <f>IFERROR(MID(VLOOKUP($B219,Seqs!$A:$B,2,0),AQ219,1),"")</f>
        <v>H</v>
      </c>
      <c r="AQ219" s="3">
        <v>278</v>
      </c>
      <c r="AR219" s="3" t="str">
        <f>IFERROR(MID(VLOOKUP($B219,Seqs!$A:$B,2,0),AS219,1),"")</f>
        <v>G</v>
      </c>
      <c r="AS219" s="3">
        <v>284</v>
      </c>
      <c r="AT219" s="3" t="str">
        <f>IFERROR(MID(VLOOKUP($B219,Seqs!$A:$B,2,0),AU219,1),"")</f>
        <v>M</v>
      </c>
      <c r="AU219" s="3">
        <v>309</v>
      </c>
      <c r="AV219" s="3" t="str">
        <f>IFERROR(MID(VLOOKUP($B219,Seqs!$A:$B,2,0),AW219,1),"")</f>
        <v>N</v>
      </c>
      <c r="AW219" s="3">
        <v>310</v>
      </c>
      <c r="AX219" s="3" t="str">
        <f>IFERROR(MID(VLOOKUP($B219,Seqs!$A:$B,2,0),AY219,1),"")</f>
        <v>C</v>
      </c>
      <c r="AY219" s="3">
        <v>322</v>
      </c>
      <c r="AZ219" s="77" t="str">
        <f>VLOOKUP(B219,Classification!A:D,2,0)</f>
        <v>A</v>
      </c>
      <c r="BA219" s="94" t="str">
        <f>VLOOKUP(B219,Classification!A:D,4,0)</f>
        <v>Opsins</v>
      </c>
      <c r="BB219" s="27" t="b">
        <f t="shared" si="756"/>
        <v>1</v>
      </c>
      <c r="BC219" s="23">
        <f t="shared" si="757"/>
        <v>250</v>
      </c>
      <c r="BD219" s="2" t="s">
        <v>23</v>
      </c>
      <c r="BE219" s="3" t="s">
        <v>1297</v>
      </c>
      <c r="BF219" s="119">
        <v>3.2</v>
      </c>
      <c r="BG219" s="49" t="s">
        <v>1</v>
      </c>
      <c r="BH219" s="49" t="s">
        <v>1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si="758"/>
        <v>33</v>
      </c>
      <c r="BW219" s="71">
        <f t="shared" si="759"/>
        <v>66</v>
      </c>
      <c r="BX219" s="72">
        <f t="shared" si="760"/>
        <v>73</v>
      </c>
      <c r="BY219" s="71">
        <f t="shared" si="761"/>
        <v>102</v>
      </c>
      <c r="BZ219" s="72">
        <f t="shared" si="762"/>
        <v>107</v>
      </c>
      <c r="CA219" s="71" t="str">
        <f t="shared" si="763"/>
        <v>-</v>
      </c>
      <c r="CB219" s="72">
        <f t="shared" si="764"/>
        <v>149</v>
      </c>
      <c r="CC219" s="71">
        <f t="shared" si="765"/>
        <v>187</v>
      </c>
      <c r="CD219" s="72">
        <f t="shared" si="766"/>
        <v>199</v>
      </c>
      <c r="CE219" s="71">
        <f t="shared" si="767"/>
        <v>240</v>
      </c>
      <c r="CF219" s="72">
        <f t="shared" si="768"/>
        <v>284</v>
      </c>
      <c r="CG219" s="71">
        <f t="shared" si="769"/>
        <v>310</v>
      </c>
      <c r="CH219" s="70">
        <f t="shared" si="770"/>
        <v>64</v>
      </c>
      <c r="CI219" s="71">
        <f t="shared" si="771"/>
        <v>69</v>
      </c>
      <c r="CJ219" s="72">
        <f t="shared" si="772"/>
        <v>101</v>
      </c>
      <c r="CK219" s="72">
        <f t="shared" si="773"/>
        <v>106</v>
      </c>
      <c r="CL219" s="72">
        <f t="shared" si="774"/>
        <v>141</v>
      </c>
      <c r="CM219" s="72" t="str">
        <f t="shared" si="775"/>
        <v>-</v>
      </c>
      <c r="CN219" s="72">
        <f t="shared" si="776"/>
        <v>173</v>
      </c>
      <c r="CO219" s="72">
        <f t="shared" si="777"/>
        <v>189</v>
      </c>
      <c r="CP219" s="72">
        <f t="shared" si="778"/>
        <v>236</v>
      </c>
      <c r="CQ219" s="72">
        <f t="shared" si="779"/>
        <v>278</v>
      </c>
      <c r="CR219" s="72">
        <f t="shared" si="780"/>
        <v>309</v>
      </c>
      <c r="CS219" s="72">
        <f t="shared" si="781"/>
        <v>322</v>
      </c>
      <c r="CT219" s="23">
        <f t="shared" si="782"/>
        <v>4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755"/>
        <v>opsd_bovin_6FK6</v>
      </c>
      <c r="B220" s="3" t="s">
        <v>920</v>
      </c>
      <c r="C220" s="3" t="s">
        <v>1495</v>
      </c>
      <c r="D220" s="3" t="str">
        <f>IFERROR(MID(VLOOKUP($B220,Seqs!$A:$B,2,0),E220,1),"")</f>
        <v>E</v>
      </c>
      <c r="E220" s="3">
        <v>33</v>
      </c>
      <c r="F220" s="3" t="str">
        <f>IFERROR(MID(VLOOKUP($B220,Seqs!$A:$B,2,0),G220,1),"")</f>
        <v>Q</v>
      </c>
      <c r="G220" s="3">
        <v>64</v>
      </c>
      <c r="H220" s="3" t="str">
        <f>IFERROR(MID(VLOOKUP($B220,Seqs!$A:$B,2,0),I220,1),"")</f>
        <v>K</v>
      </c>
      <c r="I220" s="23">
        <v>66</v>
      </c>
      <c r="J220" s="3" t="str">
        <f>IFERROR(MID(VLOOKUP($B220,Seqs!$A:$B,2,0),K220,1),"")</f>
        <v>R</v>
      </c>
      <c r="K220" s="23">
        <v>69</v>
      </c>
      <c r="L220" s="3" t="str">
        <f>IFERROR(MID(VLOOKUP($B220,Seqs!$A:$B,2,0),M220,1),"")</f>
        <v>N</v>
      </c>
      <c r="M220" s="3">
        <v>73</v>
      </c>
      <c r="N220" s="3" t="str">
        <f>IFERROR(MID(VLOOKUP($B220,Seqs!$A:$B,2,0),O220,1),"")</f>
        <v>G</v>
      </c>
      <c r="O220" s="3">
        <v>101</v>
      </c>
      <c r="P220" s="3" t="str">
        <f>IFERROR(MID(VLOOKUP($B220,Seqs!$A:$B,2,0),Q220,1),"")</f>
        <v>Y</v>
      </c>
      <c r="Q220" s="3">
        <v>102</v>
      </c>
      <c r="R220" s="3" t="str">
        <f>IFERROR(MID(VLOOKUP($B220,Seqs!$A:$B,2,0),S220,1),"")</f>
        <v>G</v>
      </c>
      <c r="S220" s="3">
        <v>106</v>
      </c>
      <c r="T220" s="3" t="str">
        <f>IFERROR(MID(VLOOKUP($B220,Seqs!$A:$B,2,0),U220,1),"")</f>
        <v>P</v>
      </c>
      <c r="U220" s="3">
        <v>107</v>
      </c>
      <c r="V220" s="3" t="str">
        <f>IFERROR(MID(VLOOKUP($B220,Seqs!$A:$B,2,0),W220,1),"")</f>
        <v>K</v>
      </c>
      <c r="W220" s="3">
        <v>141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G</v>
      </c>
      <c r="AC220" s="3">
        <v>149</v>
      </c>
      <c r="AD220" s="3" t="str">
        <f>IFERROR(MID(VLOOKUP($B220,Seqs!$A:$B,2,0),AE220,1),"")</f>
        <v>V</v>
      </c>
      <c r="AE220" s="3">
        <v>173</v>
      </c>
      <c r="AF220" s="3" t="str">
        <f>IFERROR(MID(VLOOKUP($B220,Seqs!$A:$B,2,0),AG220,1),"")</f>
        <v>C</v>
      </c>
      <c r="AG220" s="3">
        <v>187</v>
      </c>
      <c r="AH220" s="3" t="str">
        <f>IFERROR(MID(VLOOKUP($B220,Seqs!$A:$B,2,0),AI220,1),"")</f>
        <v>I</v>
      </c>
      <c r="AI220" s="3">
        <v>189</v>
      </c>
      <c r="AJ220" s="3" t="str">
        <f>IFERROR(MID(VLOOKUP($B220,Seqs!$A:$B,2,0),AK220,1),"")</f>
        <v>N</v>
      </c>
      <c r="AK220" s="3">
        <v>199</v>
      </c>
      <c r="AL220" s="3" t="str">
        <f>IFERROR(MID(VLOOKUP($B220,Seqs!$A:$B,2,0),AM220,1),"")</f>
        <v>Q</v>
      </c>
      <c r="AM220" s="3">
        <v>236</v>
      </c>
      <c r="AN220" s="3" t="str">
        <f>IFERROR(MID(VLOOKUP($B220,Seqs!$A:$B,2,0),AO220,1),"")</f>
        <v>S</v>
      </c>
      <c r="AO220" s="3">
        <v>240</v>
      </c>
      <c r="AP220" s="3" t="str">
        <f>IFERROR(MID(VLOOKUP($B220,Seqs!$A:$B,2,0),AQ220,1),"")</f>
        <v>H</v>
      </c>
      <c r="AQ220" s="3">
        <v>278</v>
      </c>
      <c r="AR220" s="3" t="str">
        <f>IFERROR(MID(VLOOKUP($B220,Seqs!$A:$B,2,0),AS220,1),"")</f>
        <v>G</v>
      </c>
      <c r="AS220" s="3">
        <v>284</v>
      </c>
      <c r="AT220" s="3" t="str">
        <f>IFERROR(MID(VLOOKUP($B220,Seqs!$A:$B,2,0),AU220,1),"")</f>
        <v>M</v>
      </c>
      <c r="AU220" s="3">
        <v>309</v>
      </c>
      <c r="AV220" s="3" t="str">
        <f>IFERROR(MID(VLOOKUP($B220,Seqs!$A:$B,2,0),AW220,1),"")</f>
        <v>N</v>
      </c>
      <c r="AW220" s="3">
        <v>310</v>
      </c>
      <c r="AX220" s="3" t="str">
        <f>IFERROR(MID(VLOOKUP($B220,Seqs!$A:$B,2,0),AY220,1),"")</f>
        <v>C</v>
      </c>
      <c r="AY220" s="3">
        <v>322</v>
      </c>
      <c r="AZ220" s="77" t="str">
        <f>VLOOKUP(B220,Classification!A:D,2,0)</f>
        <v>A</v>
      </c>
      <c r="BA220" s="94" t="str">
        <f>VLOOKUP(B220,Classification!A:D,4,0)</f>
        <v>Opsins</v>
      </c>
      <c r="BB220" s="27" t="b">
        <f t="shared" si="756"/>
        <v>1</v>
      </c>
      <c r="BC220" s="23">
        <f t="shared" si="757"/>
        <v>250</v>
      </c>
      <c r="BD220" s="2" t="s">
        <v>23</v>
      </c>
      <c r="BE220" s="3" t="s">
        <v>1297</v>
      </c>
      <c r="BF220" s="119">
        <v>2.36</v>
      </c>
      <c r="BG220" s="49" t="s">
        <v>1</v>
      </c>
      <c r="BH220" s="49" t="s">
        <v>1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758"/>
        <v>33</v>
      </c>
      <c r="BW220" s="71">
        <f t="shared" si="759"/>
        <v>66</v>
      </c>
      <c r="BX220" s="72">
        <f t="shared" si="760"/>
        <v>73</v>
      </c>
      <c r="BY220" s="71">
        <f t="shared" si="761"/>
        <v>102</v>
      </c>
      <c r="BZ220" s="72">
        <f t="shared" si="762"/>
        <v>107</v>
      </c>
      <c r="CA220" s="71" t="str">
        <f t="shared" si="763"/>
        <v>-</v>
      </c>
      <c r="CB220" s="72">
        <f t="shared" si="764"/>
        <v>149</v>
      </c>
      <c r="CC220" s="71">
        <f t="shared" si="765"/>
        <v>187</v>
      </c>
      <c r="CD220" s="72">
        <f t="shared" si="766"/>
        <v>199</v>
      </c>
      <c r="CE220" s="71">
        <f t="shared" si="767"/>
        <v>240</v>
      </c>
      <c r="CF220" s="72">
        <f t="shared" si="768"/>
        <v>284</v>
      </c>
      <c r="CG220" s="71">
        <f t="shared" si="769"/>
        <v>310</v>
      </c>
      <c r="CH220" s="70">
        <f t="shared" si="770"/>
        <v>64</v>
      </c>
      <c r="CI220" s="71">
        <f t="shared" si="771"/>
        <v>69</v>
      </c>
      <c r="CJ220" s="72">
        <f t="shared" si="772"/>
        <v>101</v>
      </c>
      <c r="CK220" s="72">
        <f t="shared" si="773"/>
        <v>106</v>
      </c>
      <c r="CL220" s="72">
        <f t="shared" si="774"/>
        <v>141</v>
      </c>
      <c r="CM220" s="72" t="str">
        <f t="shared" si="775"/>
        <v>-</v>
      </c>
      <c r="CN220" s="72">
        <f t="shared" si="776"/>
        <v>173</v>
      </c>
      <c r="CO220" s="72">
        <f t="shared" si="777"/>
        <v>189</v>
      </c>
      <c r="CP220" s="72">
        <f t="shared" si="778"/>
        <v>236</v>
      </c>
      <c r="CQ220" s="72">
        <f t="shared" si="779"/>
        <v>278</v>
      </c>
      <c r="CR220" s="72">
        <f t="shared" si="780"/>
        <v>309</v>
      </c>
      <c r="CS220" s="72">
        <f t="shared" si="781"/>
        <v>322</v>
      </c>
      <c r="CT220" s="23">
        <f t="shared" si="782"/>
        <v>4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755"/>
        <v>opsd_bovin_6FK7</v>
      </c>
      <c r="B221" s="3" t="s">
        <v>920</v>
      </c>
      <c r="C221" s="3" t="s">
        <v>1496</v>
      </c>
      <c r="D221" s="3" t="str">
        <f>IFERROR(MID(VLOOKUP($B221,Seqs!$A:$B,2,0),E221,1),"")</f>
        <v>E</v>
      </c>
      <c r="E221" s="3">
        <v>33</v>
      </c>
      <c r="F221" s="3" t="str">
        <f>IFERROR(MID(VLOOKUP($B221,Seqs!$A:$B,2,0),G221,1),"")</f>
        <v>Q</v>
      </c>
      <c r="G221" s="3">
        <v>64</v>
      </c>
      <c r="H221" s="3" t="str">
        <f>IFERROR(MID(VLOOKUP($B221,Seqs!$A:$B,2,0),I221,1),"")</f>
        <v>K</v>
      </c>
      <c r="I221" s="23">
        <v>66</v>
      </c>
      <c r="J221" s="3" t="str">
        <f>IFERROR(MID(VLOOKUP($B221,Seqs!$A:$B,2,0),K221,1),"")</f>
        <v>R</v>
      </c>
      <c r="K221" s="23">
        <v>69</v>
      </c>
      <c r="L221" s="3" t="str">
        <f>IFERROR(MID(VLOOKUP($B221,Seqs!$A:$B,2,0),M221,1),"")</f>
        <v>N</v>
      </c>
      <c r="M221" s="3">
        <v>73</v>
      </c>
      <c r="N221" s="3" t="str">
        <f>IFERROR(MID(VLOOKUP($B221,Seqs!$A:$B,2,0),O221,1),"")</f>
        <v>G</v>
      </c>
      <c r="O221" s="3">
        <v>101</v>
      </c>
      <c r="P221" s="3" t="str">
        <f>IFERROR(MID(VLOOKUP($B221,Seqs!$A:$B,2,0),Q221,1),"")</f>
        <v>Y</v>
      </c>
      <c r="Q221" s="3">
        <v>102</v>
      </c>
      <c r="R221" s="3" t="str">
        <f>IFERROR(MID(VLOOKUP($B221,Seqs!$A:$B,2,0),S221,1),"")</f>
        <v>G</v>
      </c>
      <c r="S221" s="3">
        <v>106</v>
      </c>
      <c r="T221" s="3" t="str">
        <f>IFERROR(MID(VLOOKUP($B221,Seqs!$A:$B,2,0),U221,1),"")</f>
        <v>P</v>
      </c>
      <c r="U221" s="3">
        <v>107</v>
      </c>
      <c r="V221" s="3" t="str">
        <f>IFERROR(MID(VLOOKUP($B221,Seqs!$A:$B,2,0),W221,1),"")</f>
        <v>K</v>
      </c>
      <c r="W221" s="3">
        <v>141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G</v>
      </c>
      <c r="AC221" s="3">
        <v>149</v>
      </c>
      <c r="AD221" s="3" t="str">
        <f>IFERROR(MID(VLOOKUP($B221,Seqs!$A:$B,2,0),AE221,1),"")</f>
        <v>V</v>
      </c>
      <c r="AE221" s="3">
        <v>173</v>
      </c>
      <c r="AF221" s="3" t="str">
        <f>IFERROR(MID(VLOOKUP($B221,Seqs!$A:$B,2,0),AG221,1),"")</f>
        <v>C</v>
      </c>
      <c r="AG221" s="3">
        <v>187</v>
      </c>
      <c r="AH221" s="3" t="str">
        <f>IFERROR(MID(VLOOKUP($B221,Seqs!$A:$B,2,0),AI221,1),"")</f>
        <v>I</v>
      </c>
      <c r="AI221" s="3">
        <v>189</v>
      </c>
      <c r="AJ221" s="3" t="str">
        <f>IFERROR(MID(VLOOKUP($B221,Seqs!$A:$B,2,0),AK221,1),"")</f>
        <v>N</v>
      </c>
      <c r="AK221" s="3">
        <v>199</v>
      </c>
      <c r="AL221" s="3" t="str">
        <f>IFERROR(MID(VLOOKUP($B221,Seqs!$A:$B,2,0),AM221,1),"")</f>
        <v>Q</v>
      </c>
      <c r="AM221" s="3">
        <v>236</v>
      </c>
      <c r="AN221" s="3" t="str">
        <f>IFERROR(MID(VLOOKUP($B221,Seqs!$A:$B,2,0),AO221,1),"")</f>
        <v>S</v>
      </c>
      <c r="AO221" s="3">
        <v>240</v>
      </c>
      <c r="AP221" s="3" t="str">
        <f>IFERROR(MID(VLOOKUP($B221,Seqs!$A:$B,2,0),AQ221,1),"")</f>
        <v>H</v>
      </c>
      <c r="AQ221" s="3">
        <v>278</v>
      </c>
      <c r="AR221" s="3" t="str">
        <f>IFERROR(MID(VLOOKUP($B221,Seqs!$A:$B,2,0),AS221,1),"")</f>
        <v>G</v>
      </c>
      <c r="AS221" s="3">
        <v>284</v>
      </c>
      <c r="AT221" s="3" t="str">
        <f>IFERROR(MID(VLOOKUP($B221,Seqs!$A:$B,2,0),AU221,1),"")</f>
        <v>M</v>
      </c>
      <c r="AU221" s="3">
        <v>309</v>
      </c>
      <c r="AV221" s="3" t="str">
        <f>IFERROR(MID(VLOOKUP($B221,Seqs!$A:$B,2,0),AW221,1),"")</f>
        <v>N</v>
      </c>
      <c r="AW221" s="3">
        <v>310</v>
      </c>
      <c r="AX221" s="3" t="str">
        <f>IFERROR(MID(VLOOKUP($B221,Seqs!$A:$B,2,0),AY221,1),"")</f>
        <v>C</v>
      </c>
      <c r="AY221" s="3">
        <v>322</v>
      </c>
      <c r="AZ221" s="77" t="str">
        <f>VLOOKUP(B221,Classification!A:D,2,0)</f>
        <v>A</v>
      </c>
      <c r="BA221" s="94" t="str">
        <f>VLOOKUP(B221,Classification!A:D,4,0)</f>
        <v>Opsins</v>
      </c>
      <c r="BB221" s="27" t="b">
        <f t="shared" si="756"/>
        <v>1</v>
      </c>
      <c r="BC221" s="23">
        <f t="shared" si="757"/>
        <v>250</v>
      </c>
      <c r="BD221" s="2" t="s">
        <v>23</v>
      </c>
      <c r="BE221" s="3" t="s">
        <v>1297</v>
      </c>
      <c r="BF221" s="119">
        <v>2.62</v>
      </c>
      <c r="BG221" s="49" t="s">
        <v>1</v>
      </c>
      <c r="BH221" s="49" t="s">
        <v>1</v>
      </c>
      <c r="BI221" s="1"/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758"/>
        <v>33</v>
      </c>
      <c r="BW221" s="71">
        <f t="shared" si="759"/>
        <v>66</v>
      </c>
      <c r="BX221" s="72">
        <f t="shared" si="760"/>
        <v>73</v>
      </c>
      <c r="BY221" s="71">
        <f t="shared" si="761"/>
        <v>102</v>
      </c>
      <c r="BZ221" s="72">
        <f t="shared" si="762"/>
        <v>107</v>
      </c>
      <c r="CA221" s="71" t="str">
        <f t="shared" si="763"/>
        <v>-</v>
      </c>
      <c r="CB221" s="72">
        <f t="shared" si="764"/>
        <v>149</v>
      </c>
      <c r="CC221" s="71">
        <f t="shared" si="765"/>
        <v>187</v>
      </c>
      <c r="CD221" s="72">
        <f t="shared" si="766"/>
        <v>199</v>
      </c>
      <c r="CE221" s="71">
        <f t="shared" si="767"/>
        <v>240</v>
      </c>
      <c r="CF221" s="72">
        <f t="shared" si="768"/>
        <v>284</v>
      </c>
      <c r="CG221" s="71">
        <f t="shared" si="769"/>
        <v>310</v>
      </c>
      <c r="CH221" s="70">
        <f t="shared" si="770"/>
        <v>64</v>
      </c>
      <c r="CI221" s="71">
        <f t="shared" si="771"/>
        <v>69</v>
      </c>
      <c r="CJ221" s="72">
        <f t="shared" si="772"/>
        <v>101</v>
      </c>
      <c r="CK221" s="72">
        <f t="shared" si="773"/>
        <v>106</v>
      </c>
      <c r="CL221" s="72">
        <f t="shared" si="774"/>
        <v>141</v>
      </c>
      <c r="CM221" s="72" t="str">
        <f t="shared" si="775"/>
        <v>-</v>
      </c>
      <c r="CN221" s="72">
        <f t="shared" si="776"/>
        <v>173</v>
      </c>
      <c r="CO221" s="72">
        <f t="shared" si="777"/>
        <v>189</v>
      </c>
      <c r="CP221" s="72">
        <f t="shared" si="778"/>
        <v>236</v>
      </c>
      <c r="CQ221" s="72">
        <f t="shared" si="779"/>
        <v>278</v>
      </c>
      <c r="CR221" s="72">
        <f t="shared" si="780"/>
        <v>309</v>
      </c>
      <c r="CS221" s="72">
        <f t="shared" si="781"/>
        <v>322</v>
      </c>
      <c r="CT221" s="23">
        <f t="shared" si="782"/>
        <v>4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755"/>
        <v>opsd_bovin_6FK8</v>
      </c>
      <c r="B222" s="3" t="s">
        <v>920</v>
      </c>
      <c r="C222" s="3" t="s">
        <v>1497</v>
      </c>
      <c r="D222" s="3" t="str">
        <f>IFERROR(MID(VLOOKUP($B222,Seqs!$A:$B,2,0),E222,1),"")</f>
        <v>E</v>
      </c>
      <c r="E222" s="3">
        <v>33</v>
      </c>
      <c r="F222" s="3" t="str">
        <f>IFERROR(MID(VLOOKUP($B222,Seqs!$A:$B,2,0),G222,1),"")</f>
        <v>Q</v>
      </c>
      <c r="G222" s="3">
        <v>64</v>
      </c>
      <c r="H222" s="3" t="str">
        <f>IFERROR(MID(VLOOKUP($B222,Seqs!$A:$B,2,0),I222,1),"")</f>
        <v>K</v>
      </c>
      <c r="I222" s="23">
        <v>66</v>
      </c>
      <c r="J222" s="3" t="str">
        <f>IFERROR(MID(VLOOKUP($B222,Seqs!$A:$B,2,0),K222,1),"")</f>
        <v>R</v>
      </c>
      <c r="K222" s="23">
        <v>69</v>
      </c>
      <c r="L222" s="3" t="str">
        <f>IFERROR(MID(VLOOKUP($B222,Seqs!$A:$B,2,0),M222,1),"")</f>
        <v>N</v>
      </c>
      <c r="M222" s="3">
        <v>73</v>
      </c>
      <c r="N222" s="3" t="str">
        <f>IFERROR(MID(VLOOKUP($B222,Seqs!$A:$B,2,0),O222,1),"")</f>
        <v>G</v>
      </c>
      <c r="O222" s="3">
        <v>101</v>
      </c>
      <c r="P222" s="3" t="str">
        <f>IFERROR(MID(VLOOKUP($B222,Seqs!$A:$B,2,0),Q222,1),"")</f>
        <v>Y</v>
      </c>
      <c r="Q222" s="3">
        <v>102</v>
      </c>
      <c r="R222" s="3" t="str">
        <f>IFERROR(MID(VLOOKUP($B222,Seqs!$A:$B,2,0),S222,1),"")</f>
        <v>G</v>
      </c>
      <c r="S222" s="3">
        <v>106</v>
      </c>
      <c r="T222" s="3" t="str">
        <f>IFERROR(MID(VLOOKUP($B222,Seqs!$A:$B,2,0),U222,1),"")</f>
        <v>P</v>
      </c>
      <c r="U222" s="3">
        <v>107</v>
      </c>
      <c r="V222" s="3" t="str">
        <f>IFERROR(MID(VLOOKUP($B222,Seqs!$A:$B,2,0),W222,1),"")</f>
        <v>K</v>
      </c>
      <c r="W222" s="3">
        <v>141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G</v>
      </c>
      <c r="AC222" s="3">
        <v>149</v>
      </c>
      <c r="AD222" s="3" t="str">
        <f>IFERROR(MID(VLOOKUP($B222,Seqs!$A:$B,2,0),AE222,1),"")</f>
        <v>V</v>
      </c>
      <c r="AE222" s="3">
        <v>173</v>
      </c>
      <c r="AF222" s="3" t="str">
        <f>IFERROR(MID(VLOOKUP($B222,Seqs!$A:$B,2,0),AG222,1),"")</f>
        <v>C</v>
      </c>
      <c r="AG222" s="3">
        <v>187</v>
      </c>
      <c r="AH222" s="3" t="str">
        <f>IFERROR(MID(VLOOKUP($B222,Seqs!$A:$B,2,0),AI222,1),"")</f>
        <v>I</v>
      </c>
      <c r="AI222" s="3">
        <v>189</v>
      </c>
      <c r="AJ222" s="3" t="str">
        <f>IFERROR(MID(VLOOKUP($B222,Seqs!$A:$B,2,0),AK222,1),"")</f>
        <v>N</v>
      </c>
      <c r="AK222" s="3">
        <v>199</v>
      </c>
      <c r="AL222" s="3" t="str">
        <f>IFERROR(MID(VLOOKUP($B222,Seqs!$A:$B,2,0),AM222,1),"")</f>
        <v>Q</v>
      </c>
      <c r="AM222" s="3">
        <v>236</v>
      </c>
      <c r="AN222" s="3" t="str">
        <f>IFERROR(MID(VLOOKUP($B222,Seqs!$A:$B,2,0),AO222,1),"")</f>
        <v>S</v>
      </c>
      <c r="AO222" s="3">
        <v>240</v>
      </c>
      <c r="AP222" s="3" t="str">
        <f>IFERROR(MID(VLOOKUP($B222,Seqs!$A:$B,2,0),AQ222,1),"")</f>
        <v>H</v>
      </c>
      <c r="AQ222" s="3">
        <v>278</v>
      </c>
      <c r="AR222" s="3" t="str">
        <f>IFERROR(MID(VLOOKUP($B222,Seqs!$A:$B,2,0),AS222,1),"")</f>
        <v>G</v>
      </c>
      <c r="AS222" s="3">
        <v>284</v>
      </c>
      <c r="AT222" s="3" t="str">
        <f>IFERROR(MID(VLOOKUP($B222,Seqs!$A:$B,2,0),AU222,1),"")</f>
        <v>M</v>
      </c>
      <c r="AU222" s="3">
        <v>309</v>
      </c>
      <c r="AV222" s="3" t="str">
        <f>IFERROR(MID(VLOOKUP($B222,Seqs!$A:$B,2,0),AW222,1),"")</f>
        <v>N</v>
      </c>
      <c r="AW222" s="3">
        <v>310</v>
      </c>
      <c r="AX222" s="3" t="str">
        <f>IFERROR(MID(VLOOKUP($B222,Seqs!$A:$B,2,0),AY222,1),"")</f>
        <v>C</v>
      </c>
      <c r="AY222" s="3">
        <v>322</v>
      </c>
      <c r="AZ222" s="77" t="str">
        <f>VLOOKUP(B222,Classification!A:D,2,0)</f>
        <v>A</v>
      </c>
      <c r="BA222" s="94" t="str">
        <f>VLOOKUP(B222,Classification!A:D,4,0)</f>
        <v>Opsins</v>
      </c>
      <c r="BB222" s="27" t="b">
        <f t="shared" si="756"/>
        <v>1</v>
      </c>
      <c r="BC222" s="23">
        <f t="shared" si="757"/>
        <v>250</v>
      </c>
      <c r="BD222" s="2" t="s">
        <v>23</v>
      </c>
      <c r="BE222" s="3" t="s">
        <v>1297</v>
      </c>
      <c r="BF222" s="119">
        <v>2.87</v>
      </c>
      <c r="BG222" s="49" t="s">
        <v>1</v>
      </c>
      <c r="BH222" s="49" t="s">
        <v>1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758"/>
        <v>33</v>
      </c>
      <c r="BW222" s="71">
        <f t="shared" si="759"/>
        <v>66</v>
      </c>
      <c r="BX222" s="72">
        <f t="shared" si="760"/>
        <v>73</v>
      </c>
      <c r="BY222" s="71">
        <f t="shared" si="761"/>
        <v>102</v>
      </c>
      <c r="BZ222" s="72">
        <f t="shared" si="762"/>
        <v>107</v>
      </c>
      <c r="CA222" s="71" t="str">
        <f t="shared" si="763"/>
        <v>-</v>
      </c>
      <c r="CB222" s="72">
        <f t="shared" si="764"/>
        <v>149</v>
      </c>
      <c r="CC222" s="71">
        <f t="shared" si="765"/>
        <v>187</v>
      </c>
      <c r="CD222" s="72">
        <f t="shared" si="766"/>
        <v>199</v>
      </c>
      <c r="CE222" s="71">
        <f t="shared" si="767"/>
        <v>240</v>
      </c>
      <c r="CF222" s="72">
        <f t="shared" si="768"/>
        <v>284</v>
      </c>
      <c r="CG222" s="71">
        <f t="shared" si="769"/>
        <v>310</v>
      </c>
      <c r="CH222" s="70">
        <f t="shared" si="770"/>
        <v>64</v>
      </c>
      <c r="CI222" s="71">
        <f t="shared" si="771"/>
        <v>69</v>
      </c>
      <c r="CJ222" s="72">
        <f t="shared" si="772"/>
        <v>101</v>
      </c>
      <c r="CK222" s="72">
        <f t="shared" si="773"/>
        <v>106</v>
      </c>
      <c r="CL222" s="72">
        <f t="shared" si="774"/>
        <v>141</v>
      </c>
      <c r="CM222" s="72" t="str">
        <f t="shared" si="775"/>
        <v>-</v>
      </c>
      <c r="CN222" s="72">
        <f t="shared" si="776"/>
        <v>173</v>
      </c>
      <c r="CO222" s="72">
        <f t="shared" si="777"/>
        <v>189</v>
      </c>
      <c r="CP222" s="72">
        <f t="shared" si="778"/>
        <v>236</v>
      </c>
      <c r="CQ222" s="72">
        <f t="shared" si="779"/>
        <v>278</v>
      </c>
      <c r="CR222" s="72">
        <f t="shared" si="780"/>
        <v>309</v>
      </c>
      <c r="CS222" s="72">
        <f t="shared" si="781"/>
        <v>322</v>
      </c>
      <c r="CT222" s="23">
        <f t="shared" si="782"/>
        <v>4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755"/>
        <v>opsd_bovin_6FK9</v>
      </c>
      <c r="B223" s="3" t="s">
        <v>920</v>
      </c>
      <c r="C223" s="3" t="s">
        <v>1498</v>
      </c>
      <c r="D223" s="3" t="str">
        <f>IFERROR(MID(VLOOKUP($B223,Seqs!$A:$B,2,0),E223,1),"")</f>
        <v>E</v>
      </c>
      <c r="E223" s="3">
        <v>33</v>
      </c>
      <c r="F223" s="3" t="str">
        <f>IFERROR(MID(VLOOKUP($B223,Seqs!$A:$B,2,0),G223,1),"")</f>
        <v>Q</v>
      </c>
      <c r="G223" s="3">
        <v>64</v>
      </c>
      <c r="H223" s="3" t="str">
        <f>IFERROR(MID(VLOOKUP($B223,Seqs!$A:$B,2,0),I223,1),"")</f>
        <v>K</v>
      </c>
      <c r="I223" s="23">
        <v>66</v>
      </c>
      <c r="J223" s="3" t="str">
        <f>IFERROR(MID(VLOOKUP($B223,Seqs!$A:$B,2,0),K223,1),"")</f>
        <v>R</v>
      </c>
      <c r="K223" s="23">
        <v>69</v>
      </c>
      <c r="L223" s="3" t="str">
        <f>IFERROR(MID(VLOOKUP($B223,Seqs!$A:$B,2,0),M223,1),"")</f>
        <v>N</v>
      </c>
      <c r="M223" s="3">
        <v>73</v>
      </c>
      <c r="N223" s="3" t="str">
        <f>IFERROR(MID(VLOOKUP($B223,Seqs!$A:$B,2,0),O223,1),"")</f>
        <v>G</v>
      </c>
      <c r="O223" s="3">
        <v>101</v>
      </c>
      <c r="P223" s="3" t="str">
        <f>IFERROR(MID(VLOOKUP($B223,Seqs!$A:$B,2,0),Q223,1),"")</f>
        <v>Y</v>
      </c>
      <c r="Q223" s="3">
        <v>102</v>
      </c>
      <c r="R223" s="3" t="str">
        <f>IFERROR(MID(VLOOKUP($B223,Seqs!$A:$B,2,0),S223,1),"")</f>
        <v>G</v>
      </c>
      <c r="S223" s="3">
        <v>106</v>
      </c>
      <c r="T223" s="3" t="str">
        <f>IFERROR(MID(VLOOKUP($B223,Seqs!$A:$B,2,0),U223,1),"")</f>
        <v>P</v>
      </c>
      <c r="U223" s="3">
        <v>107</v>
      </c>
      <c r="V223" s="3" t="str">
        <f>IFERROR(MID(VLOOKUP($B223,Seqs!$A:$B,2,0),W223,1),"")</f>
        <v>K</v>
      </c>
      <c r="W223" s="3">
        <v>141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G</v>
      </c>
      <c r="AC223" s="3">
        <v>149</v>
      </c>
      <c r="AD223" s="3" t="str">
        <f>IFERROR(MID(VLOOKUP($B223,Seqs!$A:$B,2,0),AE223,1),"")</f>
        <v>V</v>
      </c>
      <c r="AE223" s="3">
        <v>173</v>
      </c>
      <c r="AF223" s="3" t="str">
        <f>IFERROR(MID(VLOOKUP($B223,Seqs!$A:$B,2,0),AG223,1),"")</f>
        <v>C</v>
      </c>
      <c r="AG223" s="3">
        <v>187</v>
      </c>
      <c r="AH223" s="3" t="str">
        <f>IFERROR(MID(VLOOKUP($B223,Seqs!$A:$B,2,0),AI223,1),"")</f>
        <v>I</v>
      </c>
      <c r="AI223" s="3">
        <v>189</v>
      </c>
      <c r="AJ223" s="3" t="str">
        <f>IFERROR(MID(VLOOKUP($B223,Seqs!$A:$B,2,0),AK223,1),"")</f>
        <v>N</v>
      </c>
      <c r="AK223" s="3">
        <v>199</v>
      </c>
      <c r="AL223" s="3" t="str">
        <f>IFERROR(MID(VLOOKUP($B223,Seqs!$A:$B,2,0),AM223,1),"")</f>
        <v>Q</v>
      </c>
      <c r="AM223" s="3">
        <v>236</v>
      </c>
      <c r="AN223" s="3" t="str">
        <f>IFERROR(MID(VLOOKUP($B223,Seqs!$A:$B,2,0),AO223,1),"")</f>
        <v>S</v>
      </c>
      <c r="AO223" s="3">
        <v>240</v>
      </c>
      <c r="AP223" s="3" t="str">
        <f>IFERROR(MID(VLOOKUP($B223,Seqs!$A:$B,2,0),AQ223,1),"")</f>
        <v>H</v>
      </c>
      <c r="AQ223" s="3">
        <v>278</v>
      </c>
      <c r="AR223" s="3" t="str">
        <f>IFERROR(MID(VLOOKUP($B223,Seqs!$A:$B,2,0),AS223,1),"")</f>
        <v>G</v>
      </c>
      <c r="AS223" s="3">
        <v>284</v>
      </c>
      <c r="AT223" s="3" t="str">
        <f>IFERROR(MID(VLOOKUP($B223,Seqs!$A:$B,2,0),AU223,1),"")</f>
        <v>M</v>
      </c>
      <c r="AU223" s="3">
        <v>309</v>
      </c>
      <c r="AV223" s="3" t="str">
        <f>IFERROR(MID(VLOOKUP($B223,Seqs!$A:$B,2,0),AW223,1),"")</f>
        <v>N</v>
      </c>
      <c r="AW223" s="3">
        <v>310</v>
      </c>
      <c r="AX223" s="3" t="str">
        <f>IFERROR(MID(VLOOKUP($B223,Seqs!$A:$B,2,0),AY223,1),"")</f>
        <v>C</v>
      </c>
      <c r="AY223" s="3">
        <v>322</v>
      </c>
      <c r="AZ223" s="77" t="str">
        <f>VLOOKUP(B223,Classification!A:D,2,0)</f>
        <v>A</v>
      </c>
      <c r="BA223" s="94" t="str">
        <f>VLOOKUP(B223,Classification!A:D,4,0)</f>
        <v>Opsins</v>
      </c>
      <c r="BB223" s="27" t="b">
        <f t="shared" si="756"/>
        <v>1</v>
      </c>
      <c r="BC223" s="23">
        <f t="shared" si="757"/>
        <v>250</v>
      </c>
      <c r="BD223" s="2" t="s">
        <v>23</v>
      </c>
      <c r="BE223" s="3" t="s">
        <v>1297</v>
      </c>
      <c r="BF223" s="119">
        <v>2.63</v>
      </c>
      <c r="BG223" s="49" t="s">
        <v>1</v>
      </c>
      <c r="BH223" s="49" t="s">
        <v>1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758"/>
        <v>33</v>
      </c>
      <c r="BW223" s="71">
        <f t="shared" si="759"/>
        <v>66</v>
      </c>
      <c r="BX223" s="72">
        <f t="shared" si="760"/>
        <v>73</v>
      </c>
      <c r="BY223" s="71">
        <f t="shared" si="761"/>
        <v>102</v>
      </c>
      <c r="BZ223" s="72">
        <f t="shared" si="762"/>
        <v>107</v>
      </c>
      <c r="CA223" s="71" t="str">
        <f t="shared" si="763"/>
        <v>-</v>
      </c>
      <c r="CB223" s="72">
        <f t="shared" si="764"/>
        <v>149</v>
      </c>
      <c r="CC223" s="71">
        <f t="shared" si="765"/>
        <v>187</v>
      </c>
      <c r="CD223" s="72">
        <f t="shared" si="766"/>
        <v>199</v>
      </c>
      <c r="CE223" s="71">
        <f t="shared" si="767"/>
        <v>240</v>
      </c>
      <c r="CF223" s="72">
        <f t="shared" si="768"/>
        <v>284</v>
      </c>
      <c r="CG223" s="71">
        <f t="shared" si="769"/>
        <v>310</v>
      </c>
      <c r="CH223" s="70">
        <f t="shared" si="770"/>
        <v>64</v>
      </c>
      <c r="CI223" s="71">
        <f t="shared" si="771"/>
        <v>69</v>
      </c>
      <c r="CJ223" s="72">
        <f t="shared" si="772"/>
        <v>101</v>
      </c>
      <c r="CK223" s="72">
        <f t="shared" si="773"/>
        <v>106</v>
      </c>
      <c r="CL223" s="72">
        <f t="shared" si="774"/>
        <v>141</v>
      </c>
      <c r="CM223" s="72" t="str">
        <f t="shared" si="775"/>
        <v>-</v>
      </c>
      <c r="CN223" s="72">
        <f t="shared" si="776"/>
        <v>173</v>
      </c>
      <c r="CO223" s="72">
        <f t="shared" si="777"/>
        <v>189</v>
      </c>
      <c r="CP223" s="72">
        <f t="shared" si="778"/>
        <v>236</v>
      </c>
      <c r="CQ223" s="72">
        <f t="shared" si="779"/>
        <v>278</v>
      </c>
      <c r="CR223" s="72">
        <f t="shared" si="780"/>
        <v>309</v>
      </c>
      <c r="CS223" s="72">
        <f t="shared" si="781"/>
        <v>322</v>
      </c>
      <c r="CT223" s="23">
        <f t="shared" si="782"/>
        <v>4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755"/>
        <v>opsd_bovin_6FKA</v>
      </c>
      <c r="B224" s="3" t="s">
        <v>920</v>
      </c>
      <c r="C224" s="3" t="s">
        <v>1499</v>
      </c>
      <c r="D224" s="3" t="str">
        <f>IFERROR(MID(VLOOKUP($B224,Seqs!$A:$B,2,0),E224,1),"")</f>
        <v>E</v>
      </c>
      <c r="E224" s="3">
        <v>33</v>
      </c>
      <c r="F224" s="3" t="str">
        <f>IFERROR(MID(VLOOKUP($B224,Seqs!$A:$B,2,0),G224,1),"")</f>
        <v>Q</v>
      </c>
      <c r="G224" s="3">
        <v>64</v>
      </c>
      <c r="H224" s="3" t="str">
        <f>IFERROR(MID(VLOOKUP($B224,Seqs!$A:$B,2,0),I224,1),"")</f>
        <v>K</v>
      </c>
      <c r="I224" s="23">
        <v>66</v>
      </c>
      <c r="J224" s="3" t="str">
        <f>IFERROR(MID(VLOOKUP($B224,Seqs!$A:$B,2,0),K224,1),"")</f>
        <v>R</v>
      </c>
      <c r="K224" s="23">
        <v>69</v>
      </c>
      <c r="L224" s="3" t="str">
        <f>IFERROR(MID(VLOOKUP($B224,Seqs!$A:$B,2,0),M224,1),"")</f>
        <v>N</v>
      </c>
      <c r="M224" s="3">
        <v>73</v>
      </c>
      <c r="N224" s="3" t="str">
        <f>IFERROR(MID(VLOOKUP($B224,Seqs!$A:$B,2,0),O224,1),"")</f>
        <v>G</v>
      </c>
      <c r="O224" s="3">
        <v>101</v>
      </c>
      <c r="P224" s="3" t="str">
        <f>IFERROR(MID(VLOOKUP($B224,Seqs!$A:$B,2,0),Q224,1),"")</f>
        <v>Y</v>
      </c>
      <c r="Q224" s="3">
        <v>102</v>
      </c>
      <c r="R224" s="3" t="str">
        <f>IFERROR(MID(VLOOKUP($B224,Seqs!$A:$B,2,0),S224,1),"")</f>
        <v>G</v>
      </c>
      <c r="S224" s="3">
        <v>106</v>
      </c>
      <c r="T224" s="3" t="str">
        <f>IFERROR(MID(VLOOKUP($B224,Seqs!$A:$B,2,0),U224,1),"")</f>
        <v>P</v>
      </c>
      <c r="U224" s="3">
        <v>107</v>
      </c>
      <c r="V224" s="3" t="str">
        <f>IFERROR(MID(VLOOKUP($B224,Seqs!$A:$B,2,0),W224,1),"")</f>
        <v>K</v>
      </c>
      <c r="W224" s="3">
        <v>141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G</v>
      </c>
      <c r="AC224" s="3">
        <v>149</v>
      </c>
      <c r="AD224" s="3" t="str">
        <f>IFERROR(MID(VLOOKUP($B224,Seqs!$A:$B,2,0),AE224,1),"")</f>
        <v>V</v>
      </c>
      <c r="AE224" s="3">
        <v>173</v>
      </c>
      <c r="AF224" s="3" t="str">
        <f>IFERROR(MID(VLOOKUP($B224,Seqs!$A:$B,2,0),AG224,1),"")</f>
        <v>C</v>
      </c>
      <c r="AG224" s="3">
        <v>187</v>
      </c>
      <c r="AH224" s="3" t="str">
        <f>IFERROR(MID(VLOOKUP($B224,Seqs!$A:$B,2,0),AI224,1),"")</f>
        <v>I</v>
      </c>
      <c r="AI224" s="3">
        <v>189</v>
      </c>
      <c r="AJ224" s="3" t="str">
        <f>IFERROR(MID(VLOOKUP($B224,Seqs!$A:$B,2,0),AK224,1),"")</f>
        <v>N</v>
      </c>
      <c r="AK224" s="3">
        <v>199</v>
      </c>
      <c r="AL224" s="3" t="str">
        <f>IFERROR(MID(VLOOKUP($B224,Seqs!$A:$B,2,0),AM224,1),"")</f>
        <v>Q</v>
      </c>
      <c r="AM224" s="3">
        <v>236</v>
      </c>
      <c r="AN224" s="3" t="str">
        <f>IFERROR(MID(VLOOKUP($B224,Seqs!$A:$B,2,0),AO224,1),"")</f>
        <v>S</v>
      </c>
      <c r="AO224" s="3">
        <v>240</v>
      </c>
      <c r="AP224" s="3" t="str">
        <f>IFERROR(MID(VLOOKUP($B224,Seqs!$A:$B,2,0),AQ224,1),"")</f>
        <v>H</v>
      </c>
      <c r="AQ224" s="3">
        <v>278</v>
      </c>
      <c r="AR224" s="3" t="str">
        <f>IFERROR(MID(VLOOKUP($B224,Seqs!$A:$B,2,0),AS224,1),"")</f>
        <v>G</v>
      </c>
      <c r="AS224" s="3">
        <v>284</v>
      </c>
      <c r="AT224" s="3" t="str">
        <f>IFERROR(MID(VLOOKUP($B224,Seqs!$A:$B,2,0),AU224,1),"")</f>
        <v>M</v>
      </c>
      <c r="AU224" s="3">
        <v>309</v>
      </c>
      <c r="AV224" s="3" t="str">
        <f>IFERROR(MID(VLOOKUP($B224,Seqs!$A:$B,2,0),AW224,1),"")</f>
        <v>N</v>
      </c>
      <c r="AW224" s="3">
        <v>310</v>
      </c>
      <c r="AX224" s="3" t="str">
        <f>IFERROR(MID(VLOOKUP($B224,Seqs!$A:$B,2,0),AY224,1),"")</f>
        <v>C</v>
      </c>
      <c r="AY224" s="3">
        <v>322</v>
      </c>
      <c r="AZ224" s="77" t="str">
        <f>VLOOKUP(B224,Classification!A:D,2,0)</f>
        <v>A</v>
      </c>
      <c r="BA224" s="94" t="str">
        <f>VLOOKUP(B224,Classification!A:D,4,0)</f>
        <v>Opsins</v>
      </c>
      <c r="BB224" s="27" t="b">
        <f t="shared" si="756"/>
        <v>1</v>
      </c>
      <c r="BC224" s="23">
        <f t="shared" si="757"/>
        <v>250</v>
      </c>
      <c r="BD224" s="2" t="s">
        <v>23</v>
      </c>
      <c r="BE224" s="3" t="s">
        <v>1297</v>
      </c>
      <c r="BF224" s="119">
        <v>2.7</v>
      </c>
      <c r="BG224" s="49" t="s">
        <v>1</v>
      </c>
      <c r="BH224" s="49" t="s">
        <v>1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758"/>
        <v>33</v>
      </c>
      <c r="BW224" s="71">
        <f t="shared" si="759"/>
        <v>66</v>
      </c>
      <c r="BX224" s="72">
        <f t="shared" si="760"/>
        <v>73</v>
      </c>
      <c r="BY224" s="71">
        <f t="shared" si="761"/>
        <v>102</v>
      </c>
      <c r="BZ224" s="72">
        <f t="shared" si="762"/>
        <v>107</v>
      </c>
      <c r="CA224" s="71" t="str">
        <f t="shared" si="763"/>
        <v>-</v>
      </c>
      <c r="CB224" s="72">
        <f t="shared" si="764"/>
        <v>149</v>
      </c>
      <c r="CC224" s="71">
        <f t="shared" si="765"/>
        <v>187</v>
      </c>
      <c r="CD224" s="72">
        <f t="shared" si="766"/>
        <v>199</v>
      </c>
      <c r="CE224" s="71">
        <f t="shared" si="767"/>
        <v>240</v>
      </c>
      <c r="CF224" s="72">
        <f t="shared" si="768"/>
        <v>284</v>
      </c>
      <c r="CG224" s="71">
        <f t="shared" si="769"/>
        <v>310</v>
      </c>
      <c r="CH224" s="70">
        <f t="shared" si="770"/>
        <v>64</v>
      </c>
      <c r="CI224" s="71">
        <f t="shared" si="771"/>
        <v>69</v>
      </c>
      <c r="CJ224" s="72">
        <f t="shared" si="772"/>
        <v>101</v>
      </c>
      <c r="CK224" s="72">
        <f t="shared" si="773"/>
        <v>106</v>
      </c>
      <c r="CL224" s="72">
        <f t="shared" si="774"/>
        <v>141</v>
      </c>
      <c r="CM224" s="72" t="str">
        <f t="shared" si="775"/>
        <v>-</v>
      </c>
      <c r="CN224" s="72">
        <f t="shared" si="776"/>
        <v>173</v>
      </c>
      <c r="CO224" s="72">
        <f t="shared" si="777"/>
        <v>189</v>
      </c>
      <c r="CP224" s="72">
        <f t="shared" si="778"/>
        <v>236</v>
      </c>
      <c r="CQ224" s="72">
        <f t="shared" si="779"/>
        <v>278</v>
      </c>
      <c r="CR224" s="72">
        <f t="shared" si="780"/>
        <v>309</v>
      </c>
      <c r="CS224" s="72">
        <f t="shared" si="781"/>
        <v>322</v>
      </c>
      <c r="CT224" s="23">
        <f t="shared" si="782"/>
        <v>4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755"/>
        <v>opsd_bovin_6FKB</v>
      </c>
      <c r="B225" s="3" t="s">
        <v>920</v>
      </c>
      <c r="C225" s="3" t="s">
        <v>1500</v>
      </c>
      <c r="D225" s="3" t="str">
        <f>IFERROR(MID(VLOOKUP($B225,Seqs!$A:$B,2,0),E225,1),"")</f>
        <v>E</v>
      </c>
      <c r="E225" s="3">
        <v>33</v>
      </c>
      <c r="F225" s="3" t="str">
        <f>IFERROR(MID(VLOOKUP($B225,Seqs!$A:$B,2,0),G225,1),"")</f>
        <v>Q</v>
      </c>
      <c r="G225" s="3">
        <v>64</v>
      </c>
      <c r="H225" s="3" t="str">
        <f>IFERROR(MID(VLOOKUP($B225,Seqs!$A:$B,2,0),I225,1),"")</f>
        <v>K</v>
      </c>
      <c r="I225" s="23">
        <v>66</v>
      </c>
      <c r="J225" s="3" t="str">
        <f>IFERROR(MID(VLOOKUP($B225,Seqs!$A:$B,2,0),K225,1),"")</f>
        <v>R</v>
      </c>
      <c r="K225" s="23">
        <v>69</v>
      </c>
      <c r="L225" s="3" t="str">
        <f>IFERROR(MID(VLOOKUP($B225,Seqs!$A:$B,2,0),M225,1),"")</f>
        <v>N</v>
      </c>
      <c r="M225" s="3">
        <v>73</v>
      </c>
      <c r="N225" s="3" t="str">
        <f>IFERROR(MID(VLOOKUP($B225,Seqs!$A:$B,2,0),O225,1),"")</f>
        <v>G</v>
      </c>
      <c r="O225" s="3">
        <v>101</v>
      </c>
      <c r="P225" s="3" t="str">
        <f>IFERROR(MID(VLOOKUP($B225,Seqs!$A:$B,2,0),Q225,1),"")</f>
        <v>Y</v>
      </c>
      <c r="Q225" s="3">
        <v>102</v>
      </c>
      <c r="R225" s="3" t="str">
        <f>IFERROR(MID(VLOOKUP($B225,Seqs!$A:$B,2,0),S225,1),"")</f>
        <v>G</v>
      </c>
      <c r="S225" s="3">
        <v>106</v>
      </c>
      <c r="T225" s="3" t="str">
        <f>IFERROR(MID(VLOOKUP($B225,Seqs!$A:$B,2,0),U225,1),"")</f>
        <v>P</v>
      </c>
      <c r="U225" s="3">
        <v>107</v>
      </c>
      <c r="V225" s="3" t="str">
        <f>IFERROR(MID(VLOOKUP($B225,Seqs!$A:$B,2,0),W225,1),"")</f>
        <v>K</v>
      </c>
      <c r="W225" s="3">
        <v>141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G</v>
      </c>
      <c r="AC225" s="3">
        <v>149</v>
      </c>
      <c r="AD225" s="3" t="str">
        <f>IFERROR(MID(VLOOKUP($B225,Seqs!$A:$B,2,0),AE225,1),"")</f>
        <v>V</v>
      </c>
      <c r="AE225" s="3">
        <v>173</v>
      </c>
      <c r="AF225" s="3" t="str">
        <f>IFERROR(MID(VLOOKUP($B225,Seqs!$A:$B,2,0),AG225,1),"")</f>
        <v>C</v>
      </c>
      <c r="AG225" s="3">
        <v>187</v>
      </c>
      <c r="AH225" s="3" t="str">
        <f>IFERROR(MID(VLOOKUP($B225,Seqs!$A:$B,2,0),AI225,1),"")</f>
        <v>I</v>
      </c>
      <c r="AI225" s="3">
        <v>189</v>
      </c>
      <c r="AJ225" s="3" t="str">
        <f>IFERROR(MID(VLOOKUP($B225,Seqs!$A:$B,2,0),AK225,1),"")</f>
        <v>N</v>
      </c>
      <c r="AK225" s="3">
        <v>199</v>
      </c>
      <c r="AL225" s="3" t="str">
        <f>IFERROR(MID(VLOOKUP($B225,Seqs!$A:$B,2,0),AM225,1),"")</f>
        <v>Q</v>
      </c>
      <c r="AM225" s="3">
        <v>236</v>
      </c>
      <c r="AN225" s="3" t="str">
        <f>IFERROR(MID(VLOOKUP($B225,Seqs!$A:$B,2,0),AO225,1),"")</f>
        <v>S</v>
      </c>
      <c r="AO225" s="3">
        <v>240</v>
      </c>
      <c r="AP225" s="3" t="str">
        <f>IFERROR(MID(VLOOKUP($B225,Seqs!$A:$B,2,0),AQ225,1),"")</f>
        <v>H</v>
      </c>
      <c r="AQ225" s="3">
        <v>278</v>
      </c>
      <c r="AR225" s="3" t="str">
        <f>IFERROR(MID(VLOOKUP($B225,Seqs!$A:$B,2,0),AS225,1),"")</f>
        <v>G</v>
      </c>
      <c r="AS225" s="3">
        <v>284</v>
      </c>
      <c r="AT225" s="3" t="str">
        <f>IFERROR(MID(VLOOKUP($B225,Seqs!$A:$B,2,0),AU225,1),"")</f>
        <v>M</v>
      </c>
      <c r="AU225" s="3">
        <v>309</v>
      </c>
      <c r="AV225" s="3" t="str">
        <f>IFERROR(MID(VLOOKUP($B225,Seqs!$A:$B,2,0),AW225,1),"")</f>
        <v>N</v>
      </c>
      <c r="AW225" s="3">
        <v>310</v>
      </c>
      <c r="AX225" s="3" t="str">
        <f>IFERROR(MID(VLOOKUP($B225,Seqs!$A:$B,2,0),AY225,1),"")</f>
        <v>C</v>
      </c>
      <c r="AY225" s="3">
        <v>322</v>
      </c>
      <c r="AZ225" s="77" t="str">
        <f>VLOOKUP(B225,Classification!A:D,2,0)</f>
        <v>A</v>
      </c>
      <c r="BA225" s="94" t="str">
        <f>VLOOKUP(B225,Classification!A:D,4,0)</f>
        <v>Opsins</v>
      </c>
      <c r="BB225" s="27" t="b">
        <f t="shared" si="756"/>
        <v>1</v>
      </c>
      <c r="BC225" s="23">
        <f t="shared" si="757"/>
        <v>250</v>
      </c>
      <c r="BD225" s="2" t="s">
        <v>23</v>
      </c>
      <c r="BE225" s="3" t="s">
        <v>1297</v>
      </c>
      <c r="BF225" s="119">
        <v>3.03</v>
      </c>
      <c r="BG225" s="49" t="s">
        <v>1</v>
      </c>
      <c r="BH225" s="49" t="s">
        <v>1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758"/>
        <v>33</v>
      </c>
      <c r="BW225" s="71">
        <f t="shared" si="759"/>
        <v>66</v>
      </c>
      <c r="BX225" s="72">
        <f t="shared" si="760"/>
        <v>73</v>
      </c>
      <c r="BY225" s="71">
        <f t="shared" si="761"/>
        <v>102</v>
      </c>
      <c r="BZ225" s="72">
        <f t="shared" si="762"/>
        <v>107</v>
      </c>
      <c r="CA225" s="71" t="str">
        <f t="shared" si="763"/>
        <v>-</v>
      </c>
      <c r="CB225" s="72">
        <f t="shared" si="764"/>
        <v>149</v>
      </c>
      <c r="CC225" s="71">
        <f t="shared" si="765"/>
        <v>187</v>
      </c>
      <c r="CD225" s="72">
        <f t="shared" si="766"/>
        <v>199</v>
      </c>
      <c r="CE225" s="71">
        <f t="shared" si="767"/>
        <v>240</v>
      </c>
      <c r="CF225" s="72">
        <f t="shared" si="768"/>
        <v>284</v>
      </c>
      <c r="CG225" s="71">
        <f t="shared" si="769"/>
        <v>310</v>
      </c>
      <c r="CH225" s="70">
        <f t="shared" si="770"/>
        <v>64</v>
      </c>
      <c r="CI225" s="71">
        <f t="shared" si="771"/>
        <v>69</v>
      </c>
      <c r="CJ225" s="72">
        <f t="shared" si="772"/>
        <v>101</v>
      </c>
      <c r="CK225" s="72">
        <f t="shared" si="773"/>
        <v>106</v>
      </c>
      <c r="CL225" s="72">
        <f t="shared" si="774"/>
        <v>141</v>
      </c>
      <c r="CM225" s="72" t="str">
        <f t="shared" si="775"/>
        <v>-</v>
      </c>
      <c r="CN225" s="72">
        <f t="shared" si="776"/>
        <v>173</v>
      </c>
      <c r="CO225" s="72">
        <f t="shared" si="777"/>
        <v>189</v>
      </c>
      <c r="CP225" s="72">
        <f t="shared" si="778"/>
        <v>236</v>
      </c>
      <c r="CQ225" s="72">
        <f t="shared" si="779"/>
        <v>278</v>
      </c>
      <c r="CR225" s="72">
        <f t="shared" si="780"/>
        <v>309</v>
      </c>
      <c r="CS225" s="72">
        <f t="shared" si="781"/>
        <v>322</v>
      </c>
      <c r="CT225" s="23">
        <f t="shared" si="782"/>
        <v>4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755"/>
        <v>opsd_bovin_6FKC</v>
      </c>
      <c r="B226" s="3" t="s">
        <v>920</v>
      </c>
      <c r="C226" s="3" t="s">
        <v>1501</v>
      </c>
      <c r="D226" s="3" t="str">
        <f>IFERROR(MID(VLOOKUP($B226,Seqs!$A:$B,2,0),E226,1),"")</f>
        <v>E</v>
      </c>
      <c r="E226" s="3">
        <v>33</v>
      </c>
      <c r="F226" s="3" t="str">
        <f>IFERROR(MID(VLOOKUP($B226,Seqs!$A:$B,2,0),G226,1),"")</f>
        <v>Q</v>
      </c>
      <c r="G226" s="3">
        <v>64</v>
      </c>
      <c r="H226" s="3" t="str">
        <f>IFERROR(MID(VLOOKUP($B226,Seqs!$A:$B,2,0),I226,1),"")</f>
        <v>K</v>
      </c>
      <c r="I226" s="23">
        <v>66</v>
      </c>
      <c r="J226" s="3" t="str">
        <f>IFERROR(MID(VLOOKUP($B226,Seqs!$A:$B,2,0),K226,1),"")</f>
        <v>R</v>
      </c>
      <c r="K226" s="23">
        <v>69</v>
      </c>
      <c r="L226" s="3" t="str">
        <f>IFERROR(MID(VLOOKUP($B226,Seqs!$A:$B,2,0),M226,1),"")</f>
        <v>N</v>
      </c>
      <c r="M226" s="3">
        <v>73</v>
      </c>
      <c r="N226" s="3" t="str">
        <f>IFERROR(MID(VLOOKUP($B226,Seqs!$A:$B,2,0),O226,1),"")</f>
        <v>G</v>
      </c>
      <c r="O226" s="3">
        <v>101</v>
      </c>
      <c r="P226" s="3" t="str">
        <f>IFERROR(MID(VLOOKUP($B226,Seqs!$A:$B,2,0),Q226,1),"")</f>
        <v>Y</v>
      </c>
      <c r="Q226" s="3">
        <v>102</v>
      </c>
      <c r="R226" s="3" t="str">
        <f>IFERROR(MID(VLOOKUP($B226,Seqs!$A:$B,2,0),S226,1),"")</f>
        <v>G</v>
      </c>
      <c r="S226" s="3">
        <v>106</v>
      </c>
      <c r="T226" s="3" t="str">
        <f>IFERROR(MID(VLOOKUP($B226,Seqs!$A:$B,2,0),U226,1),"")</f>
        <v>P</v>
      </c>
      <c r="U226" s="3">
        <v>107</v>
      </c>
      <c r="V226" s="3" t="str">
        <f>IFERROR(MID(VLOOKUP($B226,Seqs!$A:$B,2,0),W226,1),"")</f>
        <v>K</v>
      </c>
      <c r="W226" s="3">
        <v>141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G</v>
      </c>
      <c r="AC226" s="3">
        <v>149</v>
      </c>
      <c r="AD226" s="3" t="str">
        <f>IFERROR(MID(VLOOKUP($B226,Seqs!$A:$B,2,0),AE226,1),"")</f>
        <v>V</v>
      </c>
      <c r="AE226" s="3">
        <v>173</v>
      </c>
      <c r="AF226" s="3" t="str">
        <f>IFERROR(MID(VLOOKUP($B226,Seqs!$A:$B,2,0),AG226,1),"")</f>
        <v>C</v>
      </c>
      <c r="AG226" s="3">
        <v>187</v>
      </c>
      <c r="AH226" s="3" t="str">
        <f>IFERROR(MID(VLOOKUP($B226,Seqs!$A:$B,2,0),AI226,1),"")</f>
        <v>I</v>
      </c>
      <c r="AI226" s="3">
        <v>189</v>
      </c>
      <c r="AJ226" s="3" t="str">
        <f>IFERROR(MID(VLOOKUP($B226,Seqs!$A:$B,2,0),AK226,1),"")</f>
        <v>N</v>
      </c>
      <c r="AK226" s="3">
        <v>199</v>
      </c>
      <c r="AL226" s="3" t="str">
        <f>IFERROR(MID(VLOOKUP($B226,Seqs!$A:$B,2,0),AM226,1),"")</f>
        <v>Q</v>
      </c>
      <c r="AM226" s="3">
        <v>236</v>
      </c>
      <c r="AN226" s="3" t="str">
        <f>IFERROR(MID(VLOOKUP($B226,Seqs!$A:$B,2,0),AO226,1),"")</f>
        <v>S</v>
      </c>
      <c r="AO226" s="3">
        <v>240</v>
      </c>
      <c r="AP226" s="3" t="str">
        <f>IFERROR(MID(VLOOKUP($B226,Seqs!$A:$B,2,0),AQ226,1),"")</f>
        <v>H</v>
      </c>
      <c r="AQ226" s="3">
        <v>278</v>
      </c>
      <c r="AR226" s="3" t="str">
        <f>IFERROR(MID(VLOOKUP($B226,Seqs!$A:$B,2,0),AS226,1),"")</f>
        <v>G</v>
      </c>
      <c r="AS226" s="3">
        <v>284</v>
      </c>
      <c r="AT226" s="3" t="str">
        <f>IFERROR(MID(VLOOKUP($B226,Seqs!$A:$B,2,0),AU226,1),"")</f>
        <v>M</v>
      </c>
      <c r="AU226" s="3">
        <v>309</v>
      </c>
      <c r="AV226" s="3" t="str">
        <f>IFERROR(MID(VLOOKUP($B226,Seqs!$A:$B,2,0),AW226,1),"")</f>
        <v>N</v>
      </c>
      <c r="AW226" s="3">
        <v>310</v>
      </c>
      <c r="AX226" s="3" t="str">
        <f>IFERROR(MID(VLOOKUP($B226,Seqs!$A:$B,2,0),AY226,1),"")</f>
        <v>C</v>
      </c>
      <c r="AY226" s="3">
        <v>322</v>
      </c>
      <c r="AZ226" s="77" t="str">
        <f>VLOOKUP(B226,Classification!A:D,2,0)</f>
        <v>A</v>
      </c>
      <c r="BA226" s="94" t="str">
        <f>VLOOKUP(B226,Classification!A:D,4,0)</f>
        <v>Opsins</v>
      </c>
      <c r="BB226" s="27" t="b">
        <f t="shared" si="756"/>
        <v>1</v>
      </c>
      <c r="BC226" s="23">
        <f t="shared" si="757"/>
        <v>250</v>
      </c>
      <c r="BD226" s="2" t="s">
        <v>23</v>
      </c>
      <c r="BE226" s="3" t="s">
        <v>1297</v>
      </c>
      <c r="BF226" s="119">
        <v>2.46</v>
      </c>
      <c r="BG226" s="49" t="s">
        <v>1</v>
      </c>
      <c r="BH226" s="49" t="s">
        <v>1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si="758"/>
        <v>33</v>
      </c>
      <c r="BW226" s="71">
        <f t="shared" si="759"/>
        <v>66</v>
      </c>
      <c r="BX226" s="72">
        <f t="shared" si="760"/>
        <v>73</v>
      </c>
      <c r="BY226" s="71">
        <f t="shared" si="761"/>
        <v>102</v>
      </c>
      <c r="BZ226" s="72">
        <f t="shared" si="762"/>
        <v>107</v>
      </c>
      <c r="CA226" s="71" t="str">
        <f t="shared" si="763"/>
        <v>-</v>
      </c>
      <c r="CB226" s="72">
        <f t="shared" si="764"/>
        <v>149</v>
      </c>
      <c r="CC226" s="71">
        <f t="shared" si="765"/>
        <v>187</v>
      </c>
      <c r="CD226" s="72">
        <f t="shared" si="766"/>
        <v>199</v>
      </c>
      <c r="CE226" s="71">
        <f t="shared" si="767"/>
        <v>240</v>
      </c>
      <c r="CF226" s="72">
        <f t="shared" si="768"/>
        <v>284</v>
      </c>
      <c r="CG226" s="71">
        <f t="shared" si="769"/>
        <v>310</v>
      </c>
      <c r="CH226" s="70">
        <f t="shared" si="770"/>
        <v>64</v>
      </c>
      <c r="CI226" s="71">
        <f t="shared" si="771"/>
        <v>69</v>
      </c>
      <c r="CJ226" s="72">
        <f t="shared" si="772"/>
        <v>101</v>
      </c>
      <c r="CK226" s="72">
        <f t="shared" si="773"/>
        <v>106</v>
      </c>
      <c r="CL226" s="72">
        <f t="shared" si="774"/>
        <v>141</v>
      </c>
      <c r="CM226" s="72" t="str">
        <f t="shared" si="775"/>
        <v>-</v>
      </c>
      <c r="CN226" s="72">
        <f t="shared" si="776"/>
        <v>173</v>
      </c>
      <c r="CO226" s="72">
        <f t="shared" si="777"/>
        <v>189</v>
      </c>
      <c r="CP226" s="72">
        <f t="shared" si="778"/>
        <v>236</v>
      </c>
      <c r="CQ226" s="72">
        <f t="shared" si="779"/>
        <v>278</v>
      </c>
      <c r="CR226" s="72">
        <f t="shared" si="780"/>
        <v>309</v>
      </c>
      <c r="CS226" s="72">
        <f t="shared" si="781"/>
        <v>322</v>
      </c>
      <c r="CT226" s="23">
        <f t="shared" si="782"/>
        <v>4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755"/>
        <v>opsd_bovin_6FKD</v>
      </c>
      <c r="B227" s="3" t="s">
        <v>920</v>
      </c>
      <c r="C227" s="3" t="s">
        <v>1502</v>
      </c>
      <c r="D227" s="3" t="str">
        <f>IFERROR(MID(VLOOKUP($B227,Seqs!$A:$B,2,0),E227,1),"")</f>
        <v>E</v>
      </c>
      <c r="E227" s="3">
        <v>33</v>
      </c>
      <c r="F227" s="3" t="str">
        <f>IFERROR(MID(VLOOKUP($B227,Seqs!$A:$B,2,0),G227,1),"")</f>
        <v>Q</v>
      </c>
      <c r="G227" s="3">
        <v>64</v>
      </c>
      <c r="H227" s="3" t="str">
        <f>IFERROR(MID(VLOOKUP($B227,Seqs!$A:$B,2,0),I227,1),"")</f>
        <v>K</v>
      </c>
      <c r="I227" s="23">
        <v>66</v>
      </c>
      <c r="J227" s="3" t="str">
        <f>IFERROR(MID(VLOOKUP($B227,Seqs!$A:$B,2,0),K227,1),"")</f>
        <v>R</v>
      </c>
      <c r="K227" s="23">
        <v>69</v>
      </c>
      <c r="L227" s="3" t="str">
        <f>IFERROR(MID(VLOOKUP($B227,Seqs!$A:$B,2,0),M227,1),"")</f>
        <v>N</v>
      </c>
      <c r="M227" s="3">
        <v>73</v>
      </c>
      <c r="N227" s="3" t="str">
        <f>IFERROR(MID(VLOOKUP($B227,Seqs!$A:$B,2,0),O227,1),"")</f>
        <v>G</v>
      </c>
      <c r="O227" s="3">
        <v>101</v>
      </c>
      <c r="P227" s="3" t="str">
        <f>IFERROR(MID(VLOOKUP($B227,Seqs!$A:$B,2,0),Q227,1),"")</f>
        <v>Y</v>
      </c>
      <c r="Q227" s="3">
        <v>102</v>
      </c>
      <c r="R227" s="3" t="str">
        <f>IFERROR(MID(VLOOKUP($B227,Seqs!$A:$B,2,0),S227,1),"")</f>
        <v>G</v>
      </c>
      <c r="S227" s="3">
        <v>106</v>
      </c>
      <c r="T227" s="3" t="str">
        <f>IFERROR(MID(VLOOKUP($B227,Seqs!$A:$B,2,0),U227,1),"")</f>
        <v>P</v>
      </c>
      <c r="U227" s="3">
        <v>107</v>
      </c>
      <c r="V227" s="3" t="str">
        <f>IFERROR(MID(VLOOKUP($B227,Seqs!$A:$B,2,0),W227,1),"")</f>
        <v>K</v>
      </c>
      <c r="W227" s="3">
        <v>141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G</v>
      </c>
      <c r="AC227" s="3">
        <v>149</v>
      </c>
      <c r="AD227" s="3" t="str">
        <f>IFERROR(MID(VLOOKUP($B227,Seqs!$A:$B,2,0),AE227,1),"")</f>
        <v>V</v>
      </c>
      <c r="AE227" s="3">
        <v>173</v>
      </c>
      <c r="AF227" s="3" t="str">
        <f>IFERROR(MID(VLOOKUP($B227,Seqs!$A:$B,2,0),AG227,1),"")</f>
        <v>C</v>
      </c>
      <c r="AG227" s="3">
        <v>187</v>
      </c>
      <c r="AH227" s="3" t="str">
        <f>IFERROR(MID(VLOOKUP($B227,Seqs!$A:$B,2,0),AI227,1),"")</f>
        <v>I</v>
      </c>
      <c r="AI227" s="3">
        <v>189</v>
      </c>
      <c r="AJ227" s="3" t="str">
        <f>IFERROR(MID(VLOOKUP($B227,Seqs!$A:$B,2,0),AK227,1),"")</f>
        <v>N</v>
      </c>
      <c r="AK227" s="3">
        <v>199</v>
      </c>
      <c r="AL227" s="3" t="str">
        <f>IFERROR(MID(VLOOKUP($B227,Seqs!$A:$B,2,0),AM227,1),"")</f>
        <v>Q</v>
      </c>
      <c r="AM227" s="3">
        <v>236</v>
      </c>
      <c r="AN227" s="3" t="str">
        <f>IFERROR(MID(VLOOKUP($B227,Seqs!$A:$B,2,0),AO227,1),"")</f>
        <v>S</v>
      </c>
      <c r="AO227" s="3">
        <v>240</v>
      </c>
      <c r="AP227" s="3" t="str">
        <f>IFERROR(MID(VLOOKUP($B227,Seqs!$A:$B,2,0),AQ227,1),"")</f>
        <v>H</v>
      </c>
      <c r="AQ227" s="3">
        <v>278</v>
      </c>
      <c r="AR227" s="3" t="str">
        <f>IFERROR(MID(VLOOKUP($B227,Seqs!$A:$B,2,0),AS227,1),"")</f>
        <v>G</v>
      </c>
      <c r="AS227" s="3">
        <v>284</v>
      </c>
      <c r="AT227" s="3" t="str">
        <f>IFERROR(MID(VLOOKUP($B227,Seqs!$A:$B,2,0),AU227,1),"")</f>
        <v>M</v>
      </c>
      <c r="AU227" s="3">
        <v>309</v>
      </c>
      <c r="AV227" s="3" t="str">
        <f>IFERROR(MID(VLOOKUP($B227,Seqs!$A:$B,2,0),AW227,1),"")</f>
        <v>N</v>
      </c>
      <c r="AW227" s="3">
        <v>310</v>
      </c>
      <c r="AX227" s="3" t="str">
        <f>IFERROR(MID(VLOOKUP($B227,Seqs!$A:$B,2,0),AY227,1),"")</f>
        <v>C</v>
      </c>
      <c r="AY227" s="3">
        <v>322</v>
      </c>
      <c r="AZ227" s="77" t="str">
        <f>VLOOKUP(B227,Classification!A:D,2,0)</f>
        <v>A</v>
      </c>
      <c r="BA227" s="94" t="str">
        <f>VLOOKUP(B227,Classification!A:D,4,0)</f>
        <v>Opsins</v>
      </c>
      <c r="BB227" s="27" t="b">
        <f t="shared" si="756"/>
        <v>1</v>
      </c>
      <c r="BC227" s="23">
        <f t="shared" si="757"/>
        <v>250</v>
      </c>
      <c r="BD227" s="2" t="s">
        <v>23</v>
      </c>
      <c r="BE227" s="3" t="s">
        <v>1297</v>
      </c>
      <c r="BF227" s="119">
        <v>2.4900000000000002</v>
      </c>
      <c r="BG227" s="49" t="s">
        <v>1</v>
      </c>
      <c r="BH227" s="49" t="s">
        <v>1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 t="shared" si="758"/>
        <v>33</v>
      </c>
      <c r="BW227" s="71">
        <f t="shared" si="759"/>
        <v>66</v>
      </c>
      <c r="BX227" s="72">
        <f t="shared" si="760"/>
        <v>73</v>
      </c>
      <c r="BY227" s="71">
        <f t="shared" si="761"/>
        <v>102</v>
      </c>
      <c r="BZ227" s="72">
        <f t="shared" si="762"/>
        <v>107</v>
      </c>
      <c r="CA227" s="71" t="str">
        <f t="shared" si="763"/>
        <v>-</v>
      </c>
      <c r="CB227" s="72">
        <f t="shared" si="764"/>
        <v>149</v>
      </c>
      <c r="CC227" s="71">
        <f t="shared" si="765"/>
        <v>187</v>
      </c>
      <c r="CD227" s="72">
        <f t="shared" si="766"/>
        <v>199</v>
      </c>
      <c r="CE227" s="71">
        <f t="shared" si="767"/>
        <v>240</v>
      </c>
      <c r="CF227" s="72">
        <f t="shared" si="768"/>
        <v>284</v>
      </c>
      <c r="CG227" s="71">
        <f t="shared" si="769"/>
        <v>310</v>
      </c>
      <c r="CH227" s="70">
        <f t="shared" si="770"/>
        <v>64</v>
      </c>
      <c r="CI227" s="71">
        <f t="shared" si="771"/>
        <v>69</v>
      </c>
      <c r="CJ227" s="72">
        <f t="shared" si="772"/>
        <v>101</v>
      </c>
      <c r="CK227" s="72">
        <f t="shared" si="773"/>
        <v>106</v>
      </c>
      <c r="CL227" s="72">
        <f t="shared" si="774"/>
        <v>141</v>
      </c>
      <c r="CM227" s="72" t="str">
        <f t="shared" si="775"/>
        <v>-</v>
      </c>
      <c r="CN227" s="72">
        <f t="shared" si="776"/>
        <v>173</v>
      </c>
      <c r="CO227" s="72">
        <f t="shared" si="777"/>
        <v>189</v>
      </c>
      <c r="CP227" s="72">
        <f t="shared" si="778"/>
        <v>236</v>
      </c>
      <c r="CQ227" s="72">
        <f t="shared" si="779"/>
        <v>278</v>
      </c>
      <c r="CR227" s="72">
        <f t="shared" si="780"/>
        <v>309</v>
      </c>
      <c r="CS227" s="72">
        <f t="shared" si="781"/>
        <v>322</v>
      </c>
      <c r="CT227" s="23">
        <f t="shared" si="782"/>
        <v>4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s="12" customFormat="1" x14ac:dyDescent="0.2">
      <c r="A228" s="9" t="str">
        <f t="shared" ref="A228" si="783">CONCATENATE(B228,"_",C228)</f>
        <v>opsd_bovin_6FUF</v>
      </c>
      <c r="B228" s="9" t="s">
        <v>920</v>
      </c>
      <c r="C228" s="9" t="s">
        <v>1538</v>
      </c>
      <c r="D228" s="9" t="str">
        <f>IFERROR(MID(VLOOKUP($B228,Seqs!$A:$B,2,0),E228,1),"")</f>
        <v>E</v>
      </c>
      <c r="E228" s="9">
        <v>33</v>
      </c>
      <c r="F228" s="9" t="str">
        <f>IFERROR(MID(VLOOKUP($B228,Seqs!$A:$B,2,0),G228,1),"")</f>
        <v>H</v>
      </c>
      <c r="G228" s="9">
        <v>65</v>
      </c>
      <c r="H228" s="9" t="str">
        <f>IFERROR(MID(VLOOKUP($B228,Seqs!$A:$B,2,0),I228,1),"")</f>
        <v>K</v>
      </c>
      <c r="I228" s="109">
        <v>66</v>
      </c>
      <c r="J228" s="9" t="str">
        <f>IFERROR(MID(VLOOKUP($B228,Seqs!$A:$B,2,0),K228,1),"")</f>
        <v>R</v>
      </c>
      <c r="K228" s="109">
        <v>69</v>
      </c>
      <c r="L228" s="9" t="str">
        <f>IFERROR(MID(VLOOKUP($B228,Seqs!$A:$B,2,0),M228,1),"")</f>
        <v>N</v>
      </c>
      <c r="M228" s="9">
        <v>73</v>
      </c>
      <c r="N228" s="9" t="str">
        <f>IFERROR(MID(VLOOKUP($B228,Seqs!$A:$B,2,0),O228,1),"")</f>
        <v>G</v>
      </c>
      <c r="O228" s="9">
        <v>101</v>
      </c>
      <c r="P228" s="9" t="str">
        <f>IFERROR(MID(VLOOKUP($B228,Seqs!$A:$B,2,0),Q228,1),"")</f>
        <v>Y</v>
      </c>
      <c r="Q228" s="9">
        <v>102</v>
      </c>
      <c r="R228" s="9" t="str">
        <f>IFERROR(MID(VLOOKUP($B228,Seqs!$A:$B,2,0),S228,1),"")</f>
        <v>G</v>
      </c>
      <c r="S228" s="9">
        <v>106</v>
      </c>
      <c r="T228" s="9" t="str">
        <f>IFERROR(MID(VLOOKUP($B228,Seqs!$A:$B,2,0),U228,1),"")</f>
        <v>P</v>
      </c>
      <c r="U228" s="9">
        <v>107</v>
      </c>
      <c r="V228" s="9" t="str">
        <f>IFERROR(MID(VLOOKUP($B228,Seqs!$A:$B,2,0),W228,1),"")</f>
        <v>K</v>
      </c>
      <c r="W228" s="9">
        <v>141</v>
      </c>
      <c r="X228" s="9" t="str">
        <f>IFERROR(MID(VLOOKUP($B228,Seqs!$A:$B,2,0),Y228,1),"")</f>
        <v/>
      </c>
      <c r="Y228" s="9" t="s">
        <v>23</v>
      </c>
      <c r="Z228" s="9" t="str">
        <f>IFERROR(MID(VLOOKUP($B228,Seqs!$A:$B,2,0),AA228,1),"")</f>
        <v/>
      </c>
      <c r="AA228" s="9" t="s">
        <v>23</v>
      </c>
      <c r="AB228" s="9" t="str">
        <f>IFERROR(MID(VLOOKUP($B228,Seqs!$A:$B,2,0),AC228,1),"")</f>
        <v>G</v>
      </c>
      <c r="AC228" s="9">
        <v>149</v>
      </c>
      <c r="AD228" s="9" t="str">
        <f>IFERROR(MID(VLOOKUP($B228,Seqs!$A:$B,2,0),AE228,1),"")</f>
        <v>V</v>
      </c>
      <c r="AE228" s="9">
        <v>173</v>
      </c>
      <c r="AF228" s="9" t="str">
        <f>IFERROR(MID(VLOOKUP($B228,Seqs!$A:$B,2,0),AG228,1),"")</f>
        <v>C</v>
      </c>
      <c r="AG228" s="9">
        <v>187</v>
      </c>
      <c r="AH228" s="9" t="str">
        <f>IFERROR(MID(VLOOKUP($B228,Seqs!$A:$B,2,0),AI228,1),"")</f>
        <v>I</v>
      </c>
      <c r="AI228" s="9">
        <v>189</v>
      </c>
      <c r="AJ228" s="9" t="str">
        <f>IFERROR(MID(VLOOKUP($B228,Seqs!$A:$B,2,0),AK228,1),"")</f>
        <v>N</v>
      </c>
      <c r="AK228" s="9">
        <v>199</v>
      </c>
      <c r="AL228" s="9" t="str">
        <f>IFERROR(MID(VLOOKUP($B228,Seqs!$A:$B,2,0),AM228,1),"")</f>
        <v>Q</v>
      </c>
      <c r="AM228" s="9">
        <v>237</v>
      </c>
      <c r="AN228" s="9" t="str">
        <f>IFERROR(MID(VLOOKUP($B228,Seqs!$A:$B,2,0),AO228,1),"")</f>
        <v>S</v>
      </c>
      <c r="AO228" s="9">
        <v>240</v>
      </c>
      <c r="AP228" s="9" t="str">
        <f>IFERROR(MID(VLOOKUP($B228,Seqs!$A:$B,2,0),AQ228,1),"")</f>
        <v>H</v>
      </c>
      <c r="AQ228" s="9">
        <v>278</v>
      </c>
      <c r="AR228" s="9" t="str">
        <f>IFERROR(MID(VLOOKUP($B228,Seqs!$A:$B,2,0),AS228,1),"")</f>
        <v>T</v>
      </c>
      <c r="AS228" s="9">
        <v>289</v>
      </c>
      <c r="AT228" s="9" t="str">
        <f>IFERROR(MID(VLOOKUP($B228,Seqs!$A:$B,2,0),AU228,1),"")</f>
        <v>M</v>
      </c>
      <c r="AU228" s="9">
        <v>309</v>
      </c>
      <c r="AV228" s="9" t="str">
        <f>IFERROR(MID(VLOOKUP($B228,Seqs!$A:$B,2,0),AW228,1),"")</f>
        <v>N</v>
      </c>
      <c r="AW228" s="9">
        <v>310</v>
      </c>
      <c r="AX228" s="9" t="str">
        <f>IFERROR(MID(VLOOKUP($B228,Seqs!$A:$B,2,0),AY228,1),"")</f>
        <v>R</v>
      </c>
      <c r="AY228" s="9">
        <v>314</v>
      </c>
      <c r="AZ228" s="110" t="str">
        <f>VLOOKUP(B228,Classification!A:D,2,0)</f>
        <v>A</v>
      </c>
      <c r="BA228" s="98" t="str">
        <f>VLOOKUP(B228,Classification!A:D,4,0)</f>
        <v>Opsins</v>
      </c>
      <c r="BB228" s="36" t="b">
        <f t="shared" ref="BB228" si="784"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109">
        <f t="shared" ref="BC228" si="785">_xlfn.AGGREGATE(9,6,CH228:CS228)-_xlfn.AGGREGATE(9,6,BV228:CG228)+12</f>
        <v>239</v>
      </c>
      <c r="BD228" s="40" t="s">
        <v>23</v>
      </c>
      <c r="BE228" s="9" t="s">
        <v>1297</v>
      </c>
      <c r="BF228" s="120">
        <v>3.12</v>
      </c>
      <c r="BG228" s="51" t="s">
        <v>1</v>
      </c>
      <c r="BH228" s="51" t="s">
        <v>1</v>
      </c>
      <c r="BJ228" s="111" t="s">
        <v>1293</v>
      </c>
      <c r="BK228" s="112" t="s">
        <v>1293</v>
      </c>
      <c r="BL228" s="112" t="s">
        <v>1293</v>
      </c>
      <c r="BM228" s="112" t="s">
        <v>1293</v>
      </c>
      <c r="BN228" s="112" t="s">
        <v>1293</v>
      </c>
      <c r="BO228" s="112" t="s">
        <v>1293</v>
      </c>
      <c r="BP228" s="112" t="s">
        <v>1293</v>
      </c>
      <c r="BQ228" s="112" t="s">
        <v>1293</v>
      </c>
      <c r="BR228" s="112" t="s">
        <v>1293</v>
      </c>
      <c r="BS228" s="112" t="s">
        <v>1293</v>
      </c>
      <c r="BT228" s="112" t="s">
        <v>1293</v>
      </c>
      <c r="BU228" s="112" t="s">
        <v>1293</v>
      </c>
      <c r="BV228" s="111">
        <f t="shared" ref="BV228" si="786">E228</f>
        <v>33</v>
      </c>
      <c r="BW228" s="113">
        <f t="shared" ref="BW228" si="787">I228</f>
        <v>66</v>
      </c>
      <c r="BX228" s="114">
        <f t="shared" ref="BX228" si="788">M228</f>
        <v>73</v>
      </c>
      <c r="BY228" s="113">
        <f t="shared" ref="BY228" si="789">Q228</f>
        <v>102</v>
      </c>
      <c r="BZ228" s="114">
        <f t="shared" ref="BZ228" si="790">U228</f>
        <v>107</v>
      </c>
      <c r="CA228" s="113" t="str">
        <f t="shared" ref="CA228" si="791">Y228</f>
        <v>-</v>
      </c>
      <c r="CB228" s="114">
        <f t="shared" ref="CB228" si="792">AC228</f>
        <v>149</v>
      </c>
      <c r="CC228" s="113">
        <f t="shared" ref="CC228" si="793">AG228</f>
        <v>187</v>
      </c>
      <c r="CD228" s="114">
        <f t="shared" ref="CD228" si="794">AK228</f>
        <v>199</v>
      </c>
      <c r="CE228" s="113">
        <f t="shared" ref="CE228" si="795">AO228</f>
        <v>240</v>
      </c>
      <c r="CF228" s="114">
        <f t="shared" ref="CF228" si="796">AS228</f>
        <v>289</v>
      </c>
      <c r="CG228" s="113">
        <f t="shared" ref="CG228" si="797">AW228</f>
        <v>310</v>
      </c>
      <c r="CH228" s="111">
        <f t="shared" ref="CH228" si="798">G228</f>
        <v>65</v>
      </c>
      <c r="CI228" s="113">
        <f t="shared" ref="CI228" si="799">K228</f>
        <v>69</v>
      </c>
      <c r="CJ228" s="114">
        <f t="shared" ref="CJ228" si="800">O228</f>
        <v>101</v>
      </c>
      <c r="CK228" s="114">
        <f t="shared" ref="CK228" si="801">S228</f>
        <v>106</v>
      </c>
      <c r="CL228" s="114">
        <f t="shared" ref="CL228" si="802">W228</f>
        <v>141</v>
      </c>
      <c r="CM228" s="114" t="str">
        <f t="shared" ref="CM228" si="803">AA228</f>
        <v>-</v>
      </c>
      <c r="CN228" s="114">
        <f t="shared" ref="CN228" si="804">AE228</f>
        <v>173</v>
      </c>
      <c r="CO228" s="114">
        <f t="shared" ref="CO228" si="805">AI228</f>
        <v>189</v>
      </c>
      <c r="CP228" s="114">
        <f t="shared" ref="CP228" si="806">AM228</f>
        <v>237</v>
      </c>
      <c r="CQ228" s="114">
        <f t="shared" ref="CQ228" si="807">AQ228</f>
        <v>278</v>
      </c>
      <c r="CR228" s="114">
        <f t="shared" ref="CR228" si="808">AU228</f>
        <v>309</v>
      </c>
      <c r="CS228" s="114">
        <f t="shared" ref="CS228" si="809">AY228</f>
        <v>314</v>
      </c>
      <c r="CT228" s="109">
        <f t="shared" ref="CT228" si="810">M228-K228</f>
        <v>4</v>
      </c>
    </row>
    <row r="229" spans="1:1030" x14ac:dyDescent="0.2">
      <c r="A229" s="3" t="str">
        <f t="shared" si="753"/>
        <v>opsd_human__wt</v>
      </c>
      <c r="B229" s="3" t="s">
        <v>339</v>
      </c>
      <c r="C229" s="3" t="s">
        <v>100</v>
      </c>
      <c r="D229" s="3" t="str">
        <f>IFERROR(MID(VLOOKUP($B229,Seqs!$A:$B,2,0),E229,1),"")</f>
        <v>P</v>
      </c>
      <c r="E229" s="3">
        <v>34</v>
      </c>
      <c r="F229" s="3" t="str">
        <f>IFERROR(MID(VLOOKUP($B229,Seqs!$A:$B,2,0),G229,1),"")</f>
        <v>H</v>
      </c>
      <c r="G229" s="3">
        <v>65</v>
      </c>
      <c r="H229" s="3" t="str">
        <f>IFERROR(MID(VLOOKUP($B229,Seqs!$A:$B,2,0),I229,1),"")</f>
        <v>K</v>
      </c>
      <c r="I229" s="23">
        <v>66</v>
      </c>
      <c r="J229" s="3" t="str">
        <f>IFERROR(MID(VLOOKUP($B229,Seqs!$A:$B,2,0),K229,1),"")</f>
        <v>R</v>
      </c>
      <c r="K229" s="23">
        <v>69</v>
      </c>
      <c r="L229" s="3" t="str">
        <f>IFERROR(MID(VLOOKUP($B229,Seqs!$A:$B,2,0),M229,1),"")</f>
        <v>T</v>
      </c>
      <c r="M229" s="3">
        <v>70</v>
      </c>
      <c r="N229" s="3" t="str">
        <f>IFERROR(MID(VLOOKUP($B229,Seqs!$A:$B,2,0),O229,1),"")</f>
        <v>H</v>
      </c>
      <c r="O229" s="3">
        <v>100</v>
      </c>
      <c r="P229" s="3" t="str">
        <f>IFERROR(MID(VLOOKUP($B229,Seqs!$A:$B,2,0),Q229,1),"")</f>
        <v>Y</v>
      </c>
      <c r="Q229" s="3">
        <v>102</v>
      </c>
      <c r="R229" s="3" t="str">
        <f>IFERROR(MID(VLOOKUP($B229,Seqs!$A:$B,2,0),S229,1),"")</f>
        <v>F</v>
      </c>
      <c r="S229" s="3">
        <v>105</v>
      </c>
      <c r="T229" s="3" t="str">
        <f>IFERROR(MID(VLOOKUP($B229,Seqs!$A:$B,2,0),U229,1),"")</f>
        <v>G</v>
      </c>
      <c r="U229" s="3">
        <v>106</v>
      </c>
      <c r="V229" s="3" t="str">
        <f>IFERROR(MID(VLOOKUP($B229,Seqs!$A:$B,2,0),W229,1),"")</f>
        <v>K</v>
      </c>
      <c r="W229" s="3">
        <v>141</v>
      </c>
      <c r="X229" s="3" t="str">
        <f>IFERROR(MID(VLOOKUP($B229,Seqs!$A:$B,2,0),Y229,1),"")</f>
        <v>P</v>
      </c>
      <c r="Y229" s="3">
        <v>142</v>
      </c>
      <c r="Z229" s="3" t="str">
        <f>IFERROR(MID(VLOOKUP($B229,Seqs!$A:$B,2,0),AA229,1),"")</f>
        <v>F</v>
      </c>
      <c r="AA229" s="3">
        <v>148</v>
      </c>
      <c r="AB229" s="3" t="str">
        <f>IFERROR(MID(VLOOKUP($B229,Seqs!$A:$B,2,0),AC229,1),"")</f>
        <v>G</v>
      </c>
      <c r="AC229" s="9">
        <v>149</v>
      </c>
      <c r="AD229" s="3" t="str">
        <f>IFERROR(MID(VLOOKUP($B229,Seqs!$A:$B,2,0),AE229,1),"")</f>
        <v>A</v>
      </c>
      <c r="AE229" s="3">
        <v>173</v>
      </c>
      <c r="AF229" s="3" t="str">
        <f>IFERROR(MID(VLOOKUP($B229,Seqs!$A:$B,2,0),AG229,1),"")</f>
        <v>C</v>
      </c>
      <c r="AG229" s="3">
        <v>187</v>
      </c>
      <c r="AH229" s="3" t="str">
        <f>IFERROR(MID(VLOOKUP($B229,Seqs!$A:$B,2,0),AI229,1),"")</f>
        <v>I</v>
      </c>
      <c r="AI229" s="3">
        <v>189</v>
      </c>
      <c r="AJ229" s="3" t="str">
        <f>IFERROR(MID(VLOOKUP($B229,Seqs!$A:$B,2,0),AK229,1),"")</f>
        <v>N</v>
      </c>
      <c r="AK229" s="3">
        <v>199</v>
      </c>
      <c r="AL229" s="3" t="str">
        <f>IFERROR(MID(VLOOKUP($B229,Seqs!$A:$B,2,0),AM229,1),"")</f>
        <v>Q</v>
      </c>
      <c r="AM229" s="3">
        <v>237</v>
      </c>
      <c r="AN229" s="3" t="str">
        <f>IFERROR(MID(VLOOKUP($B229,Seqs!$A:$B,2,0),AO229,1),"")</f>
        <v>A</v>
      </c>
      <c r="AO229" s="3">
        <v>241</v>
      </c>
      <c r="AP229" s="3" t="str">
        <f>IFERROR(MID(VLOOKUP($B229,Seqs!$A:$B,2,0),AQ229,1),"")</f>
        <v>H</v>
      </c>
      <c r="AQ229" s="3">
        <v>278</v>
      </c>
      <c r="AR229" s="3" t="str">
        <f>IFERROR(MID(VLOOKUP($B229,Seqs!$A:$B,2,0),AS229,1),"")</f>
        <v>G</v>
      </c>
      <c r="AS229" s="3">
        <v>284</v>
      </c>
      <c r="AT229" s="3" t="str">
        <f>IFERROR(MID(VLOOKUP($B229,Seqs!$A:$B,2,0),AU229,1),"")</f>
        <v>M</v>
      </c>
      <c r="AU229" s="3">
        <v>309</v>
      </c>
      <c r="AV229" s="3" t="str">
        <f>IFERROR(MID(VLOOKUP($B229,Seqs!$A:$B,2,0),AW229,1),"")</f>
        <v>N</v>
      </c>
      <c r="AW229" s="3">
        <v>310</v>
      </c>
      <c r="AX229" s="3" t="str">
        <f>IFERROR(MID(VLOOKUP($B229,Seqs!$A:$B,2,0),AY229,1),"")</f>
        <v>C</v>
      </c>
      <c r="AY229" s="3">
        <v>322</v>
      </c>
      <c r="AZ229" s="77" t="str">
        <f>VLOOKUP(B229,Classification!A:D,2,0)</f>
        <v>A</v>
      </c>
      <c r="BA229" s="94" t="str">
        <f>VLOOKUP(B229,Classification!A:D,4,0)</f>
        <v>Opsins</v>
      </c>
      <c r="BB229" s="27" t="b">
        <f t="shared" si="754"/>
        <v>1</v>
      </c>
      <c r="BC229" s="23">
        <f t="shared" si="727"/>
        <v>258</v>
      </c>
      <c r="BD229" s="56" t="s">
        <v>1379</v>
      </c>
      <c r="BE229" s="3" t="s">
        <v>23</v>
      </c>
      <c r="BF229" s="119" t="s">
        <v>23</v>
      </c>
      <c r="BG229" s="49" t="s">
        <v>1379</v>
      </c>
      <c r="BH229" s="49" t="s">
        <v>1384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si="728"/>
        <v>34</v>
      </c>
      <c r="BW229" s="71">
        <f t="shared" si="729"/>
        <v>66</v>
      </c>
      <c r="BX229" s="72">
        <f t="shared" si="730"/>
        <v>70</v>
      </c>
      <c r="BY229" s="71">
        <f t="shared" si="731"/>
        <v>102</v>
      </c>
      <c r="BZ229" s="72">
        <f t="shared" si="732"/>
        <v>106</v>
      </c>
      <c r="CA229" s="71">
        <f t="shared" si="733"/>
        <v>142</v>
      </c>
      <c r="CB229" s="72">
        <f t="shared" si="734"/>
        <v>149</v>
      </c>
      <c r="CC229" s="71">
        <f t="shared" si="735"/>
        <v>187</v>
      </c>
      <c r="CD229" s="72">
        <f t="shared" si="736"/>
        <v>199</v>
      </c>
      <c r="CE229" s="71">
        <f t="shared" si="737"/>
        <v>241</v>
      </c>
      <c r="CF229" s="72">
        <f t="shared" si="738"/>
        <v>284</v>
      </c>
      <c r="CG229" s="71">
        <f t="shared" si="739"/>
        <v>310</v>
      </c>
      <c r="CH229" s="70">
        <f t="shared" si="740"/>
        <v>65</v>
      </c>
      <c r="CI229" s="71">
        <f t="shared" si="741"/>
        <v>69</v>
      </c>
      <c r="CJ229" s="72">
        <f t="shared" si="742"/>
        <v>100</v>
      </c>
      <c r="CK229" s="72">
        <f t="shared" si="743"/>
        <v>105</v>
      </c>
      <c r="CL229" s="72">
        <f t="shared" si="744"/>
        <v>141</v>
      </c>
      <c r="CM229" s="72">
        <f t="shared" si="745"/>
        <v>148</v>
      </c>
      <c r="CN229" s="72">
        <f t="shared" si="746"/>
        <v>173</v>
      </c>
      <c r="CO229" s="72">
        <f t="shared" si="747"/>
        <v>189</v>
      </c>
      <c r="CP229" s="72">
        <f t="shared" si="748"/>
        <v>237</v>
      </c>
      <c r="CQ229" s="72">
        <f t="shared" si="749"/>
        <v>278</v>
      </c>
      <c r="CR229" s="72">
        <f t="shared" si="750"/>
        <v>309</v>
      </c>
      <c r="CS229" s="72">
        <f t="shared" si="751"/>
        <v>322</v>
      </c>
      <c r="CT229" s="23">
        <f t="shared" si="752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753"/>
        <v>opsd_human_4ZWJ</v>
      </c>
      <c r="B230" s="3" t="s">
        <v>339</v>
      </c>
      <c r="C230" s="3" t="s">
        <v>55</v>
      </c>
      <c r="D230" s="3" t="str">
        <f>IFERROR(MID(VLOOKUP($B230,Seqs!$A:$B,2,0),E230,1),"")</f>
        <v>P</v>
      </c>
      <c r="E230" s="3">
        <v>34</v>
      </c>
      <c r="F230" s="3" t="str">
        <f>IFERROR(MID(VLOOKUP($B230,Seqs!$A:$B,2,0),G230,1),"")</f>
        <v>H</v>
      </c>
      <c r="G230" s="3">
        <v>65</v>
      </c>
      <c r="H230" s="3" t="str">
        <f>IFERROR(MID(VLOOKUP($B230,Seqs!$A:$B,2,0),I230,1),"")</f>
        <v>K</v>
      </c>
      <c r="I230" s="23">
        <v>66</v>
      </c>
      <c r="J230" s="3" t="str">
        <f>IFERROR(MID(VLOOKUP($B230,Seqs!$A:$B,2,0),K230,1),"")</f>
        <v>R</v>
      </c>
      <c r="K230" s="23">
        <v>69</v>
      </c>
      <c r="L230" s="3" t="str">
        <f>IFERROR(MID(VLOOKUP($B230,Seqs!$A:$B,2,0),M230,1),"")</f>
        <v>T</v>
      </c>
      <c r="M230" s="3">
        <v>70</v>
      </c>
      <c r="N230" s="3" t="str">
        <f>IFERROR(MID(VLOOKUP($B230,Seqs!$A:$B,2,0),O230,1),"")</f>
        <v>H</v>
      </c>
      <c r="O230" s="3">
        <v>100</v>
      </c>
      <c r="P230" s="3" t="str">
        <f>IFERROR(MID(VLOOKUP($B230,Seqs!$A:$B,2,0),Q230,1),"")</f>
        <v>Y</v>
      </c>
      <c r="Q230" s="3">
        <v>102</v>
      </c>
      <c r="R230" s="3" t="str">
        <f>IFERROR(MID(VLOOKUP($B230,Seqs!$A:$B,2,0),S230,1),"")</f>
        <v>F</v>
      </c>
      <c r="S230" s="3">
        <v>105</v>
      </c>
      <c r="T230" s="3" t="str">
        <f>IFERROR(MID(VLOOKUP($B230,Seqs!$A:$B,2,0),U230,1),"")</f>
        <v>G</v>
      </c>
      <c r="U230" s="3">
        <v>106</v>
      </c>
      <c r="V230" s="3" t="str">
        <f>IFERROR(MID(VLOOKUP($B230,Seqs!$A:$B,2,0),W230,1),"")</f>
        <v>K</v>
      </c>
      <c r="W230" s="3">
        <v>141</v>
      </c>
      <c r="X230" s="3" t="str">
        <f>IFERROR(MID(VLOOKUP($B230,Seqs!$A:$B,2,0),Y230,1),"")</f>
        <v>P</v>
      </c>
      <c r="Y230" s="3">
        <v>142</v>
      </c>
      <c r="Z230" s="3" t="str">
        <f>IFERROR(MID(VLOOKUP($B230,Seqs!$A:$B,2,0),AA230,1),"")</f>
        <v>F</v>
      </c>
      <c r="AA230" s="3">
        <v>148</v>
      </c>
      <c r="AB230" s="3" t="str">
        <f>IFERROR(MID(VLOOKUP($B230,Seqs!$A:$B,2,0),AC230,1),"")</f>
        <v>G</v>
      </c>
      <c r="AC230" s="9">
        <v>149</v>
      </c>
      <c r="AD230" s="3" t="str">
        <f>IFERROR(MID(VLOOKUP($B230,Seqs!$A:$B,2,0),AE230,1),"")</f>
        <v>A</v>
      </c>
      <c r="AE230" s="3">
        <v>173</v>
      </c>
      <c r="AF230" s="3" t="str">
        <f>IFERROR(MID(VLOOKUP($B230,Seqs!$A:$B,2,0),AG230,1),"")</f>
        <v>C</v>
      </c>
      <c r="AG230" s="3">
        <v>187</v>
      </c>
      <c r="AH230" s="3" t="str">
        <f>IFERROR(MID(VLOOKUP($B230,Seqs!$A:$B,2,0),AI230,1),"")</f>
        <v>I</v>
      </c>
      <c r="AI230" s="3">
        <v>189</v>
      </c>
      <c r="AJ230" s="3" t="str">
        <f>IFERROR(MID(VLOOKUP($B230,Seqs!$A:$B,2,0),AK230,1),"")</f>
        <v>N</v>
      </c>
      <c r="AK230" s="3">
        <v>199</v>
      </c>
      <c r="AL230" s="3" t="str">
        <f>IFERROR(MID(VLOOKUP($B230,Seqs!$A:$B,2,0),AM230,1),"")</f>
        <v>Q</v>
      </c>
      <c r="AM230" s="3">
        <v>237</v>
      </c>
      <c r="AN230" s="3" t="str">
        <f>IFERROR(MID(VLOOKUP($B230,Seqs!$A:$B,2,0),AO230,1),"")</f>
        <v>A</v>
      </c>
      <c r="AO230" s="3">
        <v>241</v>
      </c>
      <c r="AP230" s="3" t="str">
        <f>IFERROR(MID(VLOOKUP($B230,Seqs!$A:$B,2,0),AQ230,1),"")</f>
        <v>H</v>
      </c>
      <c r="AQ230" s="3">
        <v>278</v>
      </c>
      <c r="AR230" s="3" t="str">
        <f>IFERROR(MID(VLOOKUP($B230,Seqs!$A:$B,2,0),AS230,1),"")</f>
        <v>G</v>
      </c>
      <c r="AS230" s="3">
        <v>284</v>
      </c>
      <c r="AT230" s="3" t="str">
        <f>IFERROR(MID(VLOOKUP($B230,Seqs!$A:$B,2,0),AU230,1),"")</f>
        <v>M</v>
      </c>
      <c r="AU230" s="3">
        <v>309</v>
      </c>
      <c r="AV230" s="3" t="str">
        <f>IFERROR(MID(VLOOKUP($B230,Seqs!$A:$B,2,0),AW230,1),"")</f>
        <v>N</v>
      </c>
      <c r="AW230" s="3">
        <v>310</v>
      </c>
      <c r="AX230" s="3" t="str">
        <f>IFERROR(MID(VLOOKUP($B230,Seqs!$A:$B,2,0),AY230,1),"")</f>
        <v>C</v>
      </c>
      <c r="AY230" s="3">
        <v>322</v>
      </c>
      <c r="AZ230" s="77" t="str">
        <f>VLOOKUP(B230,Classification!A:D,2,0)</f>
        <v>A</v>
      </c>
      <c r="BA230" s="94" t="str">
        <f>VLOOKUP(B230,Classification!A:D,4,0)</f>
        <v>Opsins</v>
      </c>
      <c r="BB230" s="27" t="b">
        <f t="shared" si="754"/>
        <v>1</v>
      </c>
      <c r="BC230" s="23">
        <f t="shared" si="727"/>
        <v>258</v>
      </c>
      <c r="BD230" s="2" t="s">
        <v>1382</v>
      </c>
      <c r="BE230" s="3" t="s">
        <v>1297</v>
      </c>
      <c r="BF230" s="119">
        <v>3.3</v>
      </c>
      <c r="BG230" s="49" t="s">
        <v>1384</v>
      </c>
      <c r="BH230" s="49" t="s">
        <v>1384</v>
      </c>
      <c r="BI230" s="1"/>
      <c r="BJ230" s="70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0">
        <f t="shared" si="728"/>
        <v>34</v>
      </c>
      <c r="BW230" s="71">
        <f t="shared" si="729"/>
        <v>66</v>
      </c>
      <c r="BX230" s="72">
        <f t="shared" si="730"/>
        <v>70</v>
      </c>
      <c r="BY230" s="71">
        <f t="shared" si="731"/>
        <v>102</v>
      </c>
      <c r="BZ230" s="72">
        <f t="shared" si="732"/>
        <v>106</v>
      </c>
      <c r="CA230" s="71">
        <f t="shared" si="733"/>
        <v>142</v>
      </c>
      <c r="CB230" s="72">
        <f t="shared" si="734"/>
        <v>149</v>
      </c>
      <c r="CC230" s="71">
        <f t="shared" si="735"/>
        <v>187</v>
      </c>
      <c r="CD230" s="72">
        <f t="shared" si="736"/>
        <v>199</v>
      </c>
      <c r="CE230" s="71">
        <f t="shared" si="737"/>
        <v>241</v>
      </c>
      <c r="CF230" s="72">
        <f t="shared" si="738"/>
        <v>284</v>
      </c>
      <c r="CG230" s="71">
        <f t="shared" si="739"/>
        <v>310</v>
      </c>
      <c r="CH230" s="70">
        <f t="shared" si="740"/>
        <v>65</v>
      </c>
      <c r="CI230" s="71">
        <f t="shared" si="741"/>
        <v>69</v>
      </c>
      <c r="CJ230" s="72">
        <f t="shared" si="742"/>
        <v>100</v>
      </c>
      <c r="CK230" s="72">
        <f t="shared" si="743"/>
        <v>105</v>
      </c>
      <c r="CL230" s="72">
        <f t="shared" si="744"/>
        <v>141</v>
      </c>
      <c r="CM230" s="72">
        <f t="shared" si="745"/>
        <v>148</v>
      </c>
      <c r="CN230" s="72">
        <f t="shared" si="746"/>
        <v>173</v>
      </c>
      <c r="CO230" s="72">
        <f t="shared" si="747"/>
        <v>189</v>
      </c>
      <c r="CP230" s="72">
        <f t="shared" si="748"/>
        <v>237</v>
      </c>
      <c r="CQ230" s="72">
        <f t="shared" si="749"/>
        <v>278</v>
      </c>
      <c r="CR230" s="72">
        <f t="shared" si="750"/>
        <v>309</v>
      </c>
      <c r="CS230" s="72">
        <f t="shared" si="751"/>
        <v>322</v>
      </c>
      <c r="CT230" s="23">
        <f t="shared" si="752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si="753"/>
        <v>opsd_human_5DGY</v>
      </c>
      <c r="B231" s="3" t="s">
        <v>339</v>
      </c>
      <c r="C231" s="3" t="s">
        <v>1445</v>
      </c>
      <c r="D231" s="3" t="str">
        <f>IFERROR(MID(VLOOKUP($B231,Seqs!$A:$B,2,0),E231,1),"")</f>
        <v>P</v>
      </c>
      <c r="E231" s="3">
        <v>34</v>
      </c>
      <c r="F231" s="3" t="str">
        <f>IFERROR(MID(VLOOKUP($B231,Seqs!$A:$B,2,0),G231,1),"")</f>
        <v>H</v>
      </c>
      <c r="G231" s="3">
        <v>65</v>
      </c>
      <c r="H231" s="3" t="str">
        <f>IFERROR(MID(VLOOKUP($B231,Seqs!$A:$B,2,0),I231,1),"")</f>
        <v>K</v>
      </c>
      <c r="I231" s="23">
        <v>66</v>
      </c>
      <c r="J231" s="3" t="str">
        <f>IFERROR(MID(VLOOKUP($B231,Seqs!$A:$B,2,0),K231,1),"")</f>
        <v>R</v>
      </c>
      <c r="K231" s="23">
        <v>69</v>
      </c>
      <c r="L231" s="3" t="str">
        <f>IFERROR(MID(VLOOKUP($B231,Seqs!$A:$B,2,0),M231,1),"")</f>
        <v>T</v>
      </c>
      <c r="M231" s="3">
        <v>70</v>
      </c>
      <c r="N231" s="3" t="str">
        <f>IFERROR(MID(VLOOKUP($B231,Seqs!$A:$B,2,0),O231,1),"")</f>
        <v>H</v>
      </c>
      <c r="O231" s="3">
        <v>100</v>
      </c>
      <c r="P231" s="3" t="str">
        <f>IFERROR(MID(VLOOKUP($B231,Seqs!$A:$B,2,0),Q231,1),"")</f>
        <v>Y</v>
      </c>
      <c r="Q231" s="3">
        <v>102</v>
      </c>
      <c r="R231" s="3" t="str">
        <f>IFERROR(MID(VLOOKUP($B231,Seqs!$A:$B,2,0),S231,1),"")</f>
        <v>F</v>
      </c>
      <c r="S231" s="3">
        <v>105</v>
      </c>
      <c r="T231" s="3" t="str">
        <f>IFERROR(MID(VLOOKUP($B231,Seqs!$A:$B,2,0),U231,1),"")</f>
        <v>G</v>
      </c>
      <c r="U231" s="3">
        <v>106</v>
      </c>
      <c r="V231" s="3" t="str">
        <f>IFERROR(MID(VLOOKUP($B231,Seqs!$A:$B,2,0),W231,1),"")</f>
        <v>K</v>
      </c>
      <c r="W231" s="3">
        <v>141</v>
      </c>
      <c r="X231" s="3" t="str">
        <f>IFERROR(MID(VLOOKUP($B231,Seqs!$A:$B,2,0),Y231,1),"")</f>
        <v>P</v>
      </c>
      <c r="Y231" s="3">
        <v>142</v>
      </c>
      <c r="Z231" s="3" t="str">
        <f>IFERROR(MID(VLOOKUP($B231,Seqs!$A:$B,2,0),AA231,1),"")</f>
        <v>F</v>
      </c>
      <c r="AA231" s="3">
        <v>148</v>
      </c>
      <c r="AB231" s="3" t="str">
        <f>IFERROR(MID(VLOOKUP($B231,Seqs!$A:$B,2,0),AC231,1),"")</f>
        <v>G</v>
      </c>
      <c r="AC231" s="3">
        <v>149</v>
      </c>
      <c r="AD231" s="3" t="str">
        <f>IFERROR(MID(VLOOKUP($B231,Seqs!$A:$B,2,0),AE231,1),"")</f>
        <v>A</v>
      </c>
      <c r="AE231" s="3">
        <v>173</v>
      </c>
      <c r="AF231" s="3" t="str">
        <f>IFERROR(MID(VLOOKUP($B231,Seqs!$A:$B,2,0),AG231,1),"")</f>
        <v>C</v>
      </c>
      <c r="AG231" s="3">
        <v>187</v>
      </c>
      <c r="AH231" s="3" t="str">
        <f>IFERROR(MID(VLOOKUP($B231,Seqs!$A:$B,2,0),AI231,1),"")</f>
        <v>I</v>
      </c>
      <c r="AI231" s="3">
        <v>189</v>
      </c>
      <c r="AJ231" s="3" t="str">
        <f>IFERROR(MID(VLOOKUP($B231,Seqs!$A:$B,2,0),AK231,1),"")</f>
        <v>N</v>
      </c>
      <c r="AK231" s="3">
        <v>199</v>
      </c>
      <c r="AL231" s="3" t="str">
        <f>IFERROR(MID(VLOOKUP($B231,Seqs!$A:$B,2,0),AM231,1),"")</f>
        <v>Q</v>
      </c>
      <c r="AM231" s="3">
        <v>237</v>
      </c>
      <c r="AN231" s="3" t="str">
        <f>IFERROR(MID(VLOOKUP($B231,Seqs!$A:$B,2,0),AO231,1),"")</f>
        <v>A</v>
      </c>
      <c r="AO231" s="3">
        <v>241</v>
      </c>
      <c r="AP231" s="3" t="str">
        <f>IFERROR(MID(VLOOKUP($B231,Seqs!$A:$B,2,0),AQ231,1),"")</f>
        <v>H</v>
      </c>
      <c r="AQ231" s="3">
        <v>278</v>
      </c>
      <c r="AR231" s="3" t="str">
        <f>IFERROR(MID(VLOOKUP($B231,Seqs!$A:$B,2,0),AS231,1),"")</f>
        <v>G</v>
      </c>
      <c r="AS231" s="3">
        <v>284</v>
      </c>
      <c r="AT231" s="3" t="str">
        <f>IFERROR(MID(VLOOKUP($B231,Seqs!$A:$B,2,0),AU231,1),"")</f>
        <v>M</v>
      </c>
      <c r="AU231" s="3">
        <v>309</v>
      </c>
      <c r="AV231" s="3" t="str">
        <f>IFERROR(MID(VLOOKUP($B231,Seqs!$A:$B,2,0),AW231,1),"")</f>
        <v>N</v>
      </c>
      <c r="AW231" s="3">
        <v>310</v>
      </c>
      <c r="AX231" s="3" t="str">
        <f>IFERROR(MID(VLOOKUP($B231,Seqs!$A:$B,2,0),AY231,1),"")</f>
        <v>C</v>
      </c>
      <c r="AY231" s="3">
        <v>322</v>
      </c>
      <c r="AZ231" s="77" t="str">
        <f>VLOOKUP(B231,Classification!A:D,2,0)</f>
        <v>A</v>
      </c>
      <c r="BA231" s="94" t="str">
        <f>VLOOKUP(B231,Classification!A:D,4,0)</f>
        <v>Opsins</v>
      </c>
      <c r="BB231" s="27" t="b">
        <f t="shared" si="754"/>
        <v>1</v>
      </c>
      <c r="BC231" s="23">
        <f t="shared" si="727"/>
        <v>258</v>
      </c>
      <c r="BD231" s="2" t="s">
        <v>23</v>
      </c>
      <c r="BE231" s="3" t="s">
        <v>1297</v>
      </c>
      <c r="BF231" s="119">
        <v>7.7</v>
      </c>
      <c r="BG231" s="49" t="s">
        <v>1444</v>
      </c>
      <c r="BH231" s="49" t="s">
        <v>1444</v>
      </c>
      <c r="BI231" s="1"/>
      <c r="BJ231" s="70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0">
        <f t="shared" si="728"/>
        <v>34</v>
      </c>
      <c r="BW231" s="71">
        <f t="shared" si="729"/>
        <v>66</v>
      </c>
      <c r="BX231" s="72">
        <f t="shared" si="730"/>
        <v>70</v>
      </c>
      <c r="BY231" s="71">
        <f t="shared" si="731"/>
        <v>102</v>
      </c>
      <c r="BZ231" s="72">
        <f t="shared" si="732"/>
        <v>106</v>
      </c>
      <c r="CA231" s="71">
        <f t="shared" si="733"/>
        <v>142</v>
      </c>
      <c r="CB231" s="72">
        <f t="shared" si="734"/>
        <v>149</v>
      </c>
      <c r="CC231" s="71">
        <f t="shared" si="735"/>
        <v>187</v>
      </c>
      <c r="CD231" s="72">
        <f t="shared" si="736"/>
        <v>199</v>
      </c>
      <c r="CE231" s="71">
        <f t="shared" si="737"/>
        <v>241</v>
      </c>
      <c r="CF231" s="72">
        <f t="shared" si="738"/>
        <v>284</v>
      </c>
      <c r="CG231" s="71">
        <f t="shared" si="739"/>
        <v>310</v>
      </c>
      <c r="CH231" s="70">
        <f t="shared" si="740"/>
        <v>65</v>
      </c>
      <c r="CI231" s="71">
        <f t="shared" si="741"/>
        <v>69</v>
      </c>
      <c r="CJ231" s="72">
        <f t="shared" si="742"/>
        <v>100</v>
      </c>
      <c r="CK231" s="72">
        <f t="shared" si="743"/>
        <v>105</v>
      </c>
      <c r="CL231" s="72">
        <f t="shared" si="744"/>
        <v>141</v>
      </c>
      <c r="CM231" s="72">
        <f t="shared" si="745"/>
        <v>148</v>
      </c>
      <c r="CN231" s="72">
        <f t="shared" si="746"/>
        <v>173</v>
      </c>
      <c r="CO231" s="72">
        <f t="shared" si="747"/>
        <v>189</v>
      </c>
      <c r="CP231" s="72">
        <f t="shared" si="748"/>
        <v>237</v>
      </c>
      <c r="CQ231" s="72">
        <f t="shared" si="749"/>
        <v>278</v>
      </c>
      <c r="CR231" s="72">
        <f t="shared" si="750"/>
        <v>309</v>
      </c>
      <c r="CS231" s="72">
        <f t="shared" si="751"/>
        <v>322</v>
      </c>
      <c r="CT231" s="23">
        <f t="shared" si="752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>CONCATENATE(B232,"_",C232)</f>
        <v>opsd_human_5W0P</v>
      </c>
      <c r="B232" s="3" t="s">
        <v>339</v>
      </c>
      <c r="C232" s="3" t="s">
        <v>1443</v>
      </c>
      <c r="D232" s="3" t="str">
        <f>IFERROR(MID(VLOOKUP($B232,Seqs!$A:$B,2,0),E232,1),"")</f>
        <v>P</v>
      </c>
      <c r="E232" s="3">
        <v>34</v>
      </c>
      <c r="F232" s="3" t="str">
        <f>IFERROR(MID(VLOOKUP($B232,Seqs!$A:$B,2,0),G232,1),"")</f>
        <v>H</v>
      </c>
      <c r="G232" s="3">
        <v>65</v>
      </c>
      <c r="H232" s="3" t="str">
        <f>IFERROR(MID(VLOOKUP($B232,Seqs!$A:$B,2,0),I232,1),"")</f>
        <v>K</v>
      </c>
      <c r="I232" s="23">
        <v>66</v>
      </c>
      <c r="J232" s="3" t="str">
        <f>IFERROR(MID(VLOOKUP($B232,Seqs!$A:$B,2,0),K232,1),"")</f>
        <v>R</v>
      </c>
      <c r="K232" s="23">
        <v>69</v>
      </c>
      <c r="L232" s="3" t="str">
        <f>IFERROR(MID(VLOOKUP($B232,Seqs!$A:$B,2,0),M232,1),"")</f>
        <v>T</v>
      </c>
      <c r="M232" s="3">
        <v>70</v>
      </c>
      <c r="N232" s="3" t="str">
        <f>IFERROR(MID(VLOOKUP($B232,Seqs!$A:$B,2,0),O232,1),"")</f>
        <v>H</v>
      </c>
      <c r="O232" s="3">
        <v>100</v>
      </c>
      <c r="P232" s="3" t="str">
        <f>IFERROR(MID(VLOOKUP($B232,Seqs!$A:$B,2,0),Q232,1),"")</f>
        <v>Y</v>
      </c>
      <c r="Q232" s="3">
        <v>102</v>
      </c>
      <c r="R232" s="3" t="str">
        <f>IFERROR(MID(VLOOKUP($B232,Seqs!$A:$B,2,0),S232,1),"")</f>
        <v>F</v>
      </c>
      <c r="S232" s="3">
        <v>105</v>
      </c>
      <c r="T232" s="3" t="str">
        <f>IFERROR(MID(VLOOKUP($B232,Seqs!$A:$B,2,0),U232,1),"")</f>
        <v>G</v>
      </c>
      <c r="U232" s="3">
        <v>106</v>
      </c>
      <c r="V232" s="3" t="str">
        <f>IFERROR(MID(VLOOKUP($B232,Seqs!$A:$B,2,0),W232,1),"")</f>
        <v>K</v>
      </c>
      <c r="W232" s="3">
        <v>141</v>
      </c>
      <c r="X232" s="3" t="str">
        <f>IFERROR(MID(VLOOKUP($B232,Seqs!$A:$B,2,0),Y232,1),"")</f>
        <v>P</v>
      </c>
      <c r="Y232" s="3">
        <v>142</v>
      </c>
      <c r="Z232" s="3" t="str">
        <f>IFERROR(MID(VLOOKUP($B232,Seqs!$A:$B,2,0),AA232,1),"")</f>
        <v>F</v>
      </c>
      <c r="AA232" s="3">
        <v>148</v>
      </c>
      <c r="AB232" s="3" t="str">
        <f>IFERROR(MID(VLOOKUP($B232,Seqs!$A:$B,2,0),AC232,1),"")</f>
        <v>G</v>
      </c>
      <c r="AC232" s="3">
        <v>149</v>
      </c>
      <c r="AD232" s="3" t="str">
        <f>IFERROR(MID(VLOOKUP($B232,Seqs!$A:$B,2,0),AE232,1),"")</f>
        <v>A</v>
      </c>
      <c r="AE232" s="3">
        <v>173</v>
      </c>
      <c r="AF232" s="3" t="str">
        <f>IFERROR(MID(VLOOKUP($B232,Seqs!$A:$B,2,0),AG232,1),"")</f>
        <v>C</v>
      </c>
      <c r="AG232" s="3">
        <v>187</v>
      </c>
      <c r="AH232" s="3" t="str">
        <f>IFERROR(MID(VLOOKUP($B232,Seqs!$A:$B,2,0),AI232,1),"")</f>
        <v>I</v>
      </c>
      <c r="AI232" s="3">
        <v>189</v>
      </c>
      <c r="AJ232" s="3" t="str">
        <f>IFERROR(MID(VLOOKUP($B232,Seqs!$A:$B,2,0),AK232,1),"")</f>
        <v>N</v>
      </c>
      <c r="AK232" s="3">
        <v>199</v>
      </c>
      <c r="AL232" s="3" t="str">
        <f>IFERROR(MID(VLOOKUP($B232,Seqs!$A:$B,2,0),AM232,1),"")</f>
        <v>Q</v>
      </c>
      <c r="AM232" s="3">
        <v>237</v>
      </c>
      <c r="AN232" s="3" t="str">
        <f>IFERROR(MID(VLOOKUP($B232,Seqs!$A:$B,2,0),AO232,1),"")</f>
        <v>A</v>
      </c>
      <c r="AO232" s="3">
        <v>241</v>
      </c>
      <c r="AP232" s="3" t="str">
        <f>IFERROR(MID(VLOOKUP($B232,Seqs!$A:$B,2,0),AQ232,1),"")</f>
        <v>H</v>
      </c>
      <c r="AQ232" s="3">
        <v>278</v>
      </c>
      <c r="AR232" s="3" t="str">
        <f>IFERROR(MID(VLOOKUP($B232,Seqs!$A:$B,2,0),AS232,1),"")</f>
        <v>G</v>
      </c>
      <c r="AS232" s="3">
        <v>284</v>
      </c>
      <c r="AT232" s="3" t="str">
        <f>IFERROR(MID(VLOOKUP($B232,Seqs!$A:$B,2,0),AU232,1),"")</f>
        <v>M</v>
      </c>
      <c r="AU232" s="3">
        <v>309</v>
      </c>
      <c r="AV232" s="3" t="str">
        <f>IFERROR(MID(VLOOKUP($B232,Seqs!$A:$B,2,0),AW232,1),"")</f>
        <v>N</v>
      </c>
      <c r="AW232" s="3">
        <v>310</v>
      </c>
      <c r="AX232" s="3" t="str">
        <f>IFERROR(MID(VLOOKUP($B232,Seqs!$A:$B,2,0),AY232,1),"")</f>
        <v>C</v>
      </c>
      <c r="AY232" s="3">
        <v>322</v>
      </c>
      <c r="AZ232" s="77" t="str">
        <f>VLOOKUP(B232,Classification!A:D,2,0)</f>
        <v>A</v>
      </c>
      <c r="BA232" s="94" t="str">
        <f>VLOOKUP(B232,Classification!A:D,4,0)</f>
        <v>Opsins</v>
      </c>
      <c r="BB232" s="27" t="b">
        <f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>_xlfn.AGGREGATE(9,6,CH232:CS232)-_xlfn.AGGREGATE(9,6,BV232:CG232)+12</f>
        <v>258</v>
      </c>
      <c r="BD232" s="2" t="s">
        <v>23</v>
      </c>
      <c r="BE232" s="3" t="s">
        <v>1297</v>
      </c>
      <c r="BF232" s="119">
        <v>3.01</v>
      </c>
      <c r="BG232" s="49" t="s">
        <v>1444</v>
      </c>
      <c r="BH232" s="49" t="s">
        <v>1444</v>
      </c>
      <c r="BI232" s="1"/>
      <c r="BJ232" s="70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0">
        <f>E232</f>
        <v>34</v>
      </c>
      <c r="BW232" s="71">
        <f>I232</f>
        <v>66</v>
      </c>
      <c r="BX232" s="72">
        <f>M232</f>
        <v>70</v>
      </c>
      <c r="BY232" s="71">
        <f>Q232</f>
        <v>102</v>
      </c>
      <c r="BZ232" s="72">
        <f>U232</f>
        <v>106</v>
      </c>
      <c r="CA232" s="71">
        <f>Y232</f>
        <v>142</v>
      </c>
      <c r="CB232" s="72">
        <f>AC232</f>
        <v>149</v>
      </c>
      <c r="CC232" s="71">
        <f>AG232</f>
        <v>187</v>
      </c>
      <c r="CD232" s="72">
        <f>AK232</f>
        <v>199</v>
      </c>
      <c r="CE232" s="71">
        <f>AO232</f>
        <v>241</v>
      </c>
      <c r="CF232" s="72">
        <f>AS232</f>
        <v>284</v>
      </c>
      <c r="CG232" s="71">
        <f>AW232</f>
        <v>310</v>
      </c>
      <c r="CH232" s="70">
        <f>G232</f>
        <v>65</v>
      </c>
      <c r="CI232" s="71">
        <f>K232</f>
        <v>69</v>
      </c>
      <c r="CJ232" s="72">
        <f>O232</f>
        <v>100</v>
      </c>
      <c r="CK232" s="72">
        <f>S232</f>
        <v>105</v>
      </c>
      <c r="CL232" s="72">
        <f>W232</f>
        <v>141</v>
      </c>
      <c r="CM232" s="72">
        <f>AA232</f>
        <v>148</v>
      </c>
      <c r="CN232" s="72">
        <f>AE232</f>
        <v>173</v>
      </c>
      <c r="CO232" s="72">
        <f>AI232</f>
        <v>189</v>
      </c>
      <c r="CP232" s="72">
        <f>AM232</f>
        <v>237</v>
      </c>
      <c r="CQ232" s="72">
        <f>AQ232</f>
        <v>278</v>
      </c>
      <c r="CR232" s="72">
        <f>AU232</f>
        <v>309</v>
      </c>
      <c r="CS232" s="72">
        <f>AY232</f>
        <v>322</v>
      </c>
      <c r="CT232" s="23">
        <f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s="12" customFormat="1" x14ac:dyDescent="0.2">
      <c r="A233" s="9" t="str">
        <f>CONCATENATE(B233,"_",C233)</f>
        <v>opsd_human_6CMO</v>
      </c>
      <c r="B233" s="9" t="s">
        <v>339</v>
      </c>
      <c r="C233" s="9" t="s">
        <v>1518</v>
      </c>
      <c r="D233" s="9" t="str">
        <f>IFERROR(MID(VLOOKUP($B233,Seqs!$A:$B,2,0),E233,1),"")</f>
        <v>E</v>
      </c>
      <c r="E233" s="9">
        <v>33</v>
      </c>
      <c r="F233" s="9" t="str">
        <f>IFERROR(MID(VLOOKUP($B233,Seqs!$A:$B,2,0),G233,1),"")</f>
        <v>H</v>
      </c>
      <c r="G233" s="9">
        <v>65</v>
      </c>
      <c r="H233" s="9" t="str">
        <f>IFERROR(MID(VLOOKUP($B233,Seqs!$A:$B,2,0),I233,1),"")</f>
        <v>K</v>
      </c>
      <c r="I233" s="109">
        <v>66</v>
      </c>
      <c r="J233" s="9" t="str">
        <f>IFERROR(MID(VLOOKUP($B233,Seqs!$A:$B,2,0),K233,1),"")</f>
        <v>R</v>
      </c>
      <c r="K233" s="109">
        <v>69</v>
      </c>
      <c r="L233" s="9" t="str">
        <f>IFERROR(MID(VLOOKUP($B233,Seqs!$A:$B,2,0),M233,1),"")</f>
        <v>T</v>
      </c>
      <c r="M233" s="9">
        <v>70</v>
      </c>
      <c r="N233" s="9" t="str">
        <f>IFERROR(MID(VLOOKUP($B233,Seqs!$A:$B,2,0),O233,1),"")</f>
        <v>G</v>
      </c>
      <c r="O233" s="9">
        <v>101</v>
      </c>
      <c r="P233" s="9" t="str">
        <f>IFERROR(MID(VLOOKUP($B233,Seqs!$A:$B,2,0),Q233,1),"")</f>
        <v>Y</v>
      </c>
      <c r="Q233" s="9">
        <v>102</v>
      </c>
      <c r="R233" s="9" t="str">
        <f>IFERROR(MID(VLOOKUP($B233,Seqs!$A:$B,2,0),S233,1),"")</f>
        <v>F</v>
      </c>
      <c r="S233" s="9">
        <v>105</v>
      </c>
      <c r="T233" s="9" t="str">
        <f>IFERROR(MID(VLOOKUP($B233,Seqs!$A:$B,2,0),U233,1),"")</f>
        <v>G</v>
      </c>
      <c r="U233" s="9">
        <v>106</v>
      </c>
      <c r="V233" s="9" t="str">
        <f>IFERROR(MID(VLOOKUP($B233,Seqs!$A:$B,2,0),W233,1),"")</f>
        <v>K</v>
      </c>
      <c r="W233" s="9">
        <v>141</v>
      </c>
      <c r="X233" s="9" t="str">
        <f>IFERROR(MID(VLOOKUP($B233,Seqs!$A:$B,2,0),Y233,1),"")</f>
        <v/>
      </c>
      <c r="Y233" s="9" t="s">
        <v>23</v>
      </c>
      <c r="Z233" s="9" t="str">
        <f>IFERROR(MID(VLOOKUP($B233,Seqs!$A:$B,2,0),AA233,1),"")</f>
        <v/>
      </c>
      <c r="AA233" s="9" t="s">
        <v>23</v>
      </c>
      <c r="AB233" s="9" t="str">
        <f>IFERROR(MID(VLOOKUP($B233,Seqs!$A:$B,2,0),AC233,1),"")</f>
        <v>E</v>
      </c>
      <c r="AC233" s="9">
        <v>150</v>
      </c>
      <c r="AD233" s="9" t="str">
        <f>IFERROR(MID(VLOOKUP($B233,Seqs!$A:$B,2,0),AE233,1),"")</f>
        <v>A</v>
      </c>
      <c r="AE233" s="9">
        <v>173</v>
      </c>
      <c r="AF233" s="9" t="str">
        <f>IFERROR(MID(VLOOKUP($B233,Seqs!$A:$B,2,0),AG233,1),"")</f>
        <v>C</v>
      </c>
      <c r="AG233" s="9">
        <v>187</v>
      </c>
      <c r="AH233" s="9" t="str">
        <f>IFERROR(MID(VLOOKUP($B233,Seqs!$A:$B,2,0),AI233,1),"")</f>
        <v>I</v>
      </c>
      <c r="AI233" s="9">
        <v>189</v>
      </c>
      <c r="AJ233" s="9" t="str">
        <f>IFERROR(MID(VLOOKUP($B233,Seqs!$A:$B,2,0),AK233,1),"")</f>
        <v>N</v>
      </c>
      <c r="AK233" s="9">
        <v>200</v>
      </c>
      <c r="AL233" s="9" t="str">
        <f>IFERROR(MID(VLOOKUP($B233,Seqs!$A:$B,2,0),AM233,1),"")</f>
        <v>Q</v>
      </c>
      <c r="AM233" s="9">
        <v>238</v>
      </c>
      <c r="AN233" s="9" t="str">
        <f>IFERROR(MID(VLOOKUP($B233,Seqs!$A:$B,2,0),AO233,1),"")</f>
        <v>S</v>
      </c>
      <c r="AO233" s="9">
        <v>240</v>
      </c>
      <c r="AP233" s="9" t="str">
        <f>IFERROR(MID(VLOOKUP($B233,Seqs!$A:$B,2,0),AQ233,1),"")</f>
        <v>H</v>
      </c>
      <c r="AQ233" s="9">
        <v>278</v>
      </c>
      <c r="AR233" s="9" t="str">
        <f>IFERROR(MID(VLOOKUP($B233,Seqs!$A:$B,2,0),AS233,1),"")</f>
        <v>I</v>
      </c>
      <c r="AS233" s="9">
        <v>286</v>
      </c>
      <c r="AT233" s="9" t="str">
        <f>IFERROR(MID(VLOOKUP($B233,Seqs!$A:$B,2,0),AU233,1),"")</f>
        <v>M</v>
      </c>
      <c r="AU233" s="9">
        <v>309</v>
      </c>
      <c r="AV233" s="9" t="str">
        <f>IFERROR(MID(VLOOKUP($B233,Seqs!$A:$B,2,0),AW233,1),"")</f>
        <v>N</v>
      </c>
      <c r="AW233" s="9">
        <v>310</v>
      </c>
      <c r="AX233" s="9" t="str">
        <f>IFERROR(MID(VLOOKUP($B233,Seqs!$A:$B,2,0),AY233,1),"")</f>
        <v>C</v>
      </c>
      <c r="AY233" s="9">
        <v>323</v>
      </c>
      <c r="AZ233" s="110" t="str">
        <f>VLOOKUP(B233,Classification!A:D,2,0)</f>
        <v>A</v>
      </c>
      <c r="BA233" s="98" t="str">
        <f>VLOOKUP(B233,Classification!A:D,4,0)</f>
        <v>Opsins</v>
      </c>
      <c r="BB233" s="36" t="b">
        <f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109">
        <f>_xlfn.AGGREGATE(9,6,CH233:CS233)-_xlfn.AGGREGATE(9,6,BV233:CG233)+12</f>
        <v>253</v>
      </c>
      <c r="BD233" s="40" t="s">
        <v>23</v>
      </c>
      <c r="BE233" s="9" t="s">
        <v>1297</v>
      </c>
      <c r="BF233" s="120">
        <v>4.5</v>
      </c>
      <c r="BG233" s="51" t="s">
        <v>1444</v>
      </c>
      <c r="BH233" s="51" t="s">
        <v>1444</v>
      </c>
      <c r="BJ233" s="111" t="s">
        <v>1293</v>
      </c>
      <c r="BK233" s="112" t="s">
        <v>1293</v>
      </c>
      <c r="BL233" s="112" t="s">
        <v>1293</v>
      </c>
      <c r="BM233" s="112" t="s">
        <v>1293</v>
      </c>
      <c r="BN233" s="112" t="s">
        <v>1293</v>
      </c>
      <c r="BO233" s="112" t="s">
        <v>1293</v>
      </c>
      <c r="BP233" s="112" t="s">
        <v>1293</v>
      </c>
      <c r="BQ233" s="112" t="s">
        <v>1293</v>
      </c>
      <c r="BR233" s="112" t="s">
        <v>1293</v>
      </c>
      <c r="BS233" s="112" t="s">
        <v>1293</v>
      </c>
      <c r="BT233" s="112" t="s">
        <v>1293</v>
      </c>
      <c r="BU233" s="112" t="s">
        <v>1293</v>
      </c>
      <c r="BV233" s="111">
        <f>E233</f>
        <v>33</v>
      </c>
      <c r="BW233" s="113">
        <f>I233</f>
        <v>66</v>
      </c>
      <c r="BX233" s="114">
        <f>M233</f>
        <v>70</v>
      </c>
      <c r="BY233" s="113">
        <f>Q233</f>
        <v>102</v>
      </c>
      <c r="BZ233" s="114">
        <f>U233</f>
        <v>106</v>
      </c>
      <c r="CA233" s="113" t="str">
        <f>Y233</f>
        <v>-</v>
      </c>
      <c r="CB233" s="114">
        <f>AC233</f>
        <v>150</v>
      </c>
      <c r="CC233" s="113">
        <f>AG233</f>
        <v>187</v>
      </c>
      <c r="CD233" s="114">
        <f>AK233</f>
        <v>200</v>
      </c>
      <c r="CE233" s="113">
        <f>AO233</f>
        <v>240</v>
      </c>
      <c r="CF233" s="114">
        <f>AS233</f>
        <v>286</v>
      </c>
      <c r="CG233" s="113">
        <f>AW233</f>
        <v>310</v>
      </c>
      <c r="CH233" s="111">
        <f>G233</f>
        <v>65</v>
      </c>
      <c r="CI233" s="113">
        <f>K233</f>
        <v>69</v>
      </c>
      <c r="CJ233" s="114">
        <f>O233</f>
        <v>101</v>
      </c>
      <c r="CK233" s="114">
        <f>S233</f>
        <v>105</v>
      </c>
      <c r="CL233" s="114">
        <f>W233</f>
        <v>141</v>
      </c>
      <c r="CM233" s="114" t="str">
        <f>AA233</f>
        <v>-</v>
      </c>
      <c r="CN233" s="114">
        <f>AE233</f>
        <v>173</v>
      </c>
      <c r="CO233" s="114">
        <f>AI233</f>
        <v>189</v>
      </c>
      <c r="CP233" s="114">
        <f>AM233</f>
        <v>238</v>
      </c>
      <c r="CQ233" s="114">
        <f>AQ233</f>
        <v>278</v>
      </c>
      <c r="CR233" s="114">
        <f>AU233</f>
        <v>309</v>
      </c>
      <c r="CS233" s="114">
        <f>AY233</f>
        <v>323</v>
      </c>
      <c r="CT233" s="109">
        <f>M233-K233</f>
        <v>1</v>
      </c>
    </row>
    <row r="234" spans="1:1030" x14ac:dyDescent="0.2">
      <c r="A234" s="3" t="str">
        <f t="shared" si="753"/>
        <v>opsd_todpa__wt</v>
      </c>
      <c r="B234" s="3" t="s">
        <v>922</v>
      </c>
      <c r="C234" s="3" t="s">
        <v>100</v>
      </c>
      <c r="D234" s="3" t="str">
        <f>IFERROR(MID(VLOOKUP($B234,Seqs!$A:$B,2,0),E234,1),"")</f>
        <v>D</v>
      </c>
      <c r="E234" s="3">
        <v>31</v>
      </c>
      <c r="F234" s="3" t="str">
        <f>IFERROR(MID(VLOOKUP($B234,Seqs!$A:$B,2,0),G234,1),"")</f>
        <v>T</v>
      </c>
      <c r="G234" s="3">
        <v>62</v>
      </c>
      <c r="H234" s="3" t="str">
        <f>IFERROR(MID(VLOOKUP($B234,Seqs!$A:$B,2,0),I234,1),"")</f>
        <v>K</v>
      </c>
      <c r="I234" s="23">
        <v>63</v>
      </c>
      <c r="J234" s="3" t="str">
        <f>IFERROR(MID(VLOOKUP($B234,Seqs!$A:$B,2,0),K234,1),"")</f>
        <v>Q</v>
      </c>
      <c r="K234" s="23">
        <v>66</v>
      </c>
      <c r="L234" s="3" t="str">
        <f>IFERROR(MID(VLOOKUP($B234,Seqs!$A:$B,2,0),M234,1),"")</f>
        <v>T</v>
      </c>
      <c r="M234" s="3">
        <v>67</v>
      </c>
      <c r="N234" s="3" t="str">
        <f>IFERROR(MID(VLOOKUP($B234,Seqs!$A:$B,2,0),O234,1),"")</f>
        <v>K</v>
      </c>
      <c r="O234" s="3">
        <v>99</v>
      </c>
      <c r="P234" s="3" t="str">
        <f>IFERROR(MID(VLOOKUP($B234,Seqs!$A:$B,2,0),Q234,1),"")</f>
        <v>K</v>
      </c>
      <c r="Q234" s="3">
        <v>100</v>
      </c>
      <c r="R234" s="3" t="str">
        <f>IFERROR(MID(VLOOKUP($B234,Seqs!$A:$B,2,0),S234,1),"")</f>
        <v>F</v>
      </c>
      <c r="S234" s="3">
        <v>103</v>
      </c>
      <c r="T234" s="3" t="str">
        <f>IFERROR(MID(VLOOKUP($B234,Seqs!$A:$B,2,0),U234,1),"")</f>
        <v>G</v>
      </c>
      <c r="U234" s="3">
        <v>104</v>
      </c>
      <c r="V234" s="3" t="str">
        <f>IFERROR(MID(VLOOKUP($B234,Seqs!$A:$B,2,0),W234,1),"")</f>
        <v>R</v>
      </c>
      <c r="W234" s="3">
        <v>139</v>
      </c>
      <c r="X234" s="3" t="str">
        <f>IFERROR(MID(VLOOKUP($B234,Seqs!$A:$B,2,0),Y234,1),"")</f>
        <v>P</v>
      </c>
      <c r="Y234" s="3">
        <v>140</v>
      </c>
      <c r="Z234" s="3" t="str">
        <f>IFERROR(MID(VLOOKUP($B234,Seqs!$A:$B,2,0),AA234,1),"")</f>
        <v>M</v>
      </c>
      <c r="AA234" s="3">
        <v>147</v>
      </c>
      <c r="AB234" s="3" t="str">
        <f>IFERROR(MID(VLOOKUP($B234,Seqs!$A:$B,2,0),AC234,1),"")</f>
        <v>S</v>
      </c>
      <c r="AC234" s="9">
        <v>148</v>
      </c>
      <c r="AD234" s="3" t="str">
        <f>IFERROR(MID(VLOOKUP($B234,Seqs!$A:$B,2,0),AE234,1),"")</f>
        <v>F</v>
      </c>
      <c r="AE234" s="3">
        <v>172</v>
      </c>
      <c r="AF234" s="3" t="str">
        <f>IFERROR(MID(VLOOKUP($B234,Seqs!$A:$B,2,0),AG234,1),"")</f>
        <v>C</v>
      </c>
      <c r="AG234" s="3">
        <v>186</v>
      </c>
      <c r="AH234" s="3" t="str">
        <f>IFERROR(MID(VLOOKUP($B234,Seqs!$A:$B,2,0),AI234,1),"")</f>
        <v>F</v>
      </c>
      <c r="AI234" s="3">
        <v>188</v>
      </c>
      <c r="AJ234" s="3" t="str">
        <f>IFERROR(MID(VLOOKUP($B234,Seqs!$A:$B,2,0),AK234,1),"")</f>
        <v>D</v>
      </c>
      <c r="AK234" s="3">
        <v>194</v>
      </c>
      <c r="AL234" s="3" t="str">
        <f>IFERROR(MID(VLOOKUP($B234,Seqs!$A:$B,2,0),AM234,1),"")</f>
        <v>K</v>
      </c>
      <c r="AM234" s="3">
        <v>239</v>
      </c>
      <c r="AN234" s="3" t="str">
        <f>IFERROR(MID(VLOOKUP($B234,Seqs!$A:$B,2,0),AO234,1),"")</f>
        <v>K</v>
      </c>
      <c r="AO234" s="3">
        <v>244</v>
      </c>
      <c r="AP234" s="3" t="str">
        <f>IFERROR(MID(VLOOKUP($B234,Seqs!$A:$B,2,0),AQ234,1),"")</f>
        <v>G</v>
      </c>
      <c r="AQ234" s="3">
        <v>287</v>
      </c>
      <c r="AR234" s="3" t="str">
        <f>IFERROR(MID(VLOOKUP($B234,Seqs!$A:$B,2,0),AS234,1),"")</f>
        <v>T</v>
      </c>
      <c r="AS234" s="3">
        <v>293</v>
      </c>
      <c r="AT234" s="3" t="str">
        <f>IFERROR(MID(VLOOKUP($B234,Seqs!$A:$B,2,0),AU234,1),"")</f>
        <v>S</v>
      </c>
      <c r="AU234" s="3">
        <v>318</v>
      </c>
      <c r="AV234" s="3" t="str">
        <f>IFERROR(MID(VLOOKUP($B234,Seqs!$A:$B,2,0),AW234,1),"")</f>
        <v>H</v>
      </c>
      <c r="AW234" s="3">
        <v>319</v>
      </c>
      <c r="AX234" s="3" t="str">
        <f>IFERROR(MID(VLOOKUP($B234,Seqs!$A:$B,2,0),AY234,1),"")</f>
        <v>F</v>
      </c>
      <c r="AY234" s="3">
        <v>330</v>
      </c>
      <c r="AZ234" s="77" t="str">
        <f>VLOOKUP(B234,Classification!A:D,2,0)</f>
        <v>A</v>
      </c>
      <c r="BA234" s="94" t="str">
        <f>VLOOKUP(B234,Classification!A:D,4,0)</f>
        <v>Opsins</v>
      </c>
      <c r="BB234" s="27" t="b">
        <f t="shared" si="754"/>
        <v>1</v>
      </c>
      <c r="BC234" s="23">
        <f t="shared" si="727"/>
        <v>273</v>
      </c>
      <c r="BD234" s="56" t="s">
        <v>1379</v>
      </c>
      <c r="BE234" s="3" t="s">
        <v>23</v>
      </c>
      <c r="BF234" s="119" t="s">
        <v>23</v>
      </c>
      <c r="BG234" s="49" t="s">
        <v>1379</v>
      </c>
      <c r="BH234" s="49" t="s">
        <v>1384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728"/>
        <v>31</v>
      </c>
      <c r="BW234" s="71">
        <f t="shared" si="729"/>
        <v>63</v>
      </c>
      <c r="BX234" s="72">
        <f t="shared" si="730"/>
        <v>67</v>
      </c>
      <c r="BY234" s="71">
        <f t="shared" si="731"/>
        <v>100</v>
      </c>
      <c r="BZ234" s="72">
        <f t="shared" si="732"/>
        <v>104</v>
      </c>
      <c r="CA234" s="71">
        <f t="shared" si="733"/>
        <v>140</v>
      </c>
      <c r="CB234" s="72">
        <f t="shared" si="734"/>
        <v>148</v>
      </c>
      <c r="CC234" s="71">
        <f t="shared" si="735"/>
        <v>186</v>
      </c>
      <c r="CD234" s="72">
        <f t="shared" si="736"/>
        <v>194</v>
      </c>
      <c r="CE234" s="71">
        <f t="shared" si="737"/>
        <v>244</v>
      </c>
      <c r="CF234" s="72">
        <f t="shared" si="738"/>
        <v>293</v>
      </c>
      <c r="CG234" s="71">
        <f t="shared" si="739"/>
        <v>319</v>
      </c>
      <c r="CH234" s="70">
        <f t="shared" si="740"/>
        <v>62</v>
      </c>
      <c r="CI234" s="71">
        <f t="shared" si="741"/>
        <v>66</v>
      </c>
      <c r="CJ234" s="72">
        <f t="shared" si="742"/>
        <v>99</v>
      </c>
      <c r="CK234" s="72">
        <f t="shared" si="743"/>
        <v>103</v>
      </c>
      <c r="CL234" s="72">
        <f t="shared" si="744"/>
        <v>139</v>
      </c>
      <c r="CM234" s="72">
        <f t="shared" si="745"/>
        <v>147</v>
      </c>
      <c r="CN234" s="72">
        <f t="shared" si="746"/>
        <v>172</v>
      </c>
      <c r="CO234" s="72">
        <f t="shared" si="747"/>
        <v>188</v>
      </c>
      <c r="CP234" s="72">
        <f t="shared" si="748"/>
        <v>239</v>
      </c>
      <c r="CQ234" s="72">
        <f t="shared" si="749"/>
        <v>287</v>
      </c>
      <c r="CR234" s="72">
        <f t="shared" si="750"/>
        <v>318</v>
      </c>
      <c r="CS234" s="72">
        <f t="shared" si="751"/>
        <v>330</v>
      </c>
      <c r="CT234" s="23">
        <f t="shared" si="752"/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753"/>
        <v>opsd_todpa_2Z73</v>
      </c>
      <c r="B235" s="3" t="s">
        <v>922</v>
      </c>
      <c r="C235" s="3" t="s">
        <v>97</v>
      </c>
      <c r="D235" s="3" t="str">
        <f>IFERROR(MID(VLOOKUP($B235,Seqs!$A:$B,2,0),E235,1),"")</f>
        <v>D</v>
      </c>
      <c r="E235" s="3">
        <v>31</v>
      </c>
      <c r="F235" s="3" t="str">
        <f>IFERROR(MID(VLOOKUP($B235,Seqs!$A:$B,2,0),G235,1),"")</f>
        <v>T</v>
      </c>
      <c r="G235" s="3">
        <v>62</v>
      </c>
      <c r="H235" s="3" t="str">
        <f>IFERROR(MID(VLOOKUP($B235,Seqs!$A:$B,2,0),I235,1),"")</f>
        <v>K</v>
      </c>
      <c r="I235" s="23">
        <v>63</v>
      </c>
      <c r="J235" s="3" t="str">
        <f>IFERROR(MID(VLOOKUP($B235,Seqs!$A:$B,2,0),K235,1),"")</f>
        <v>Q</v>
      </c>
      <c r="K235" s="23">
        <v>66</v>
      </c>
      <c r="L235" s="3" t="str">
        <f>IFERROR(MID(VLOOKUP($B235,Seqs!$A:$B,2,0),M235,1),"")</f>
        <v>T</v>
      </c>
      <c r="M235" s="3">
        <v>67</v>
      </c>
      <c r="N235" s="3" t="str">
        <f>IFERROR(MID(VLOOKUP($B235,Seqs!$A:$B,2,0),O235,1),"")</f>
        <v>K</v>
      </c>
      <c r="O235" s="3">
        <v>99</v>
      </c>
      <c r="P235" s="3" t="str">
        <f>IFERROR(MID(VLOOKUP($B235,Seqs!$A:$B,2,0),Q235,1),"")</f>
        <v>K</v>
      </c>
      <c r="Q235" s="3">
        <v>100</v>
      </c>
      <c r="R235" s="3" t="str">
        <f>IFERROR(MID(VLOOKUP($B235,Seqs!$A:$B,2,0),S235,1),"")</f>
        <v>F</v>
      </c>
      <c r="S235" s="3">
        <v>103</v>
      </c>
      <c r="T235" s="3" t="str">
        <f>IFERROR(MID(VLOOKUP($B235,Seqs!$A:$B,2,0),U235,1),"")</f>
        <v>G</v>
      </c>
      <c r="U235" s="3">
        <v>104</v>
      </c>
      <c r="V235" s="3" t="str">
        <f>IFERROR(MID(VLOOKUP($B235,Seqs!$A:$B,2,0),W235,1),"")</f>
        <v>R</v>
      </c>
      <c r="W235" s="3">
        <v>139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S</v>
      </c>
      <c r="AC235" s="9">
        <v>148</v>
      </c>
      <c r="AD235" s="3" t="str">
        <f>IFERROR(MID(VLOOKUP($B235,Seqs!$A:$B,2,0),AE235,1),"")</f>
        <v>F</v>
      </c>
      <c r="AE235" s="3">
        <v>172</v>
      </c>
      <c r="AF235" s="3" t="str">
        <f>IFERROR(MID(VLOOKUP($B235,Seqs!$A:$B,2,0),AG235,1),"")</f>
        <v>C</v>
      </c>
      <c r="AG235" s="3">
        <v>186</v>
      </c>
      <c r="AH235" s="3" t="str">
        <f>IFERROR(MID(VLOOKUP($B235,Seqs!$A:$B,2,0),AI235,1),"")</f>
        <v>F</v>
      </c>
      <c r="AI235" s="3">
        <v>188</v>
      </c>
      <c r="AJ235" s="3" t="str">
        <f>IFERROR(MID(VLOOKUP($B235,Seqs!$A:$B,2,0),AK235,1),"")</f>
        <v>D</v>
      </c>
      <c r="AK235" s="3">
        <v>194</v>
      </c>
      <c r="AL235" s="3" t="str">
        <f>IFERROR(MID(VLOOKUP($B235,Seqs!$A:$B,2,0),AM235,1),"")</f>
        <v>K</v>
      </c>
      <c r="AM235" s="3">
        <v>239</v>
      </c>
      <c r="AN235" s="3" t="str">
        <f>IFERROR(MID(VLOOKUP($B235,Seqs!$A:$B,2,0),AO235,1),"")</f>
        <v>K</v>
      </c>
      <c r="AO235" s="3">
        <v>244</v>
      </c>
      <c r="AP235" s="3" t="str">
        <f>IFERROR(MID(VLOOKUP($B235,Seqs!$A:$B,2,0),AQ235,1),"")</f>
        <v>G</v>
      </c>
      <c r="AQ235" s="3">
        <v>287</v>
      </c>
      <c r="AR235" s="3" t="str">
        <f>IFERROR(MID(VLOOKUP($B235,Seqs!$A:$B,2,0),AS235,1),"")</f>
        <v>T</v>
      </c>
      <c r="AS235" s="3">
        <v>293</v>
      </c>
      <c r="AT235" s="3" t="str">
        <f>IFERROR(MID(VLOOKUP($B235,Seqs!$A:$B,2,0),AU235,1),"")</f>
        <v>S</v>
      </c>
      <c r="AU235" s="3">
        <v>318</v>
      </c>
      <c r="AV235" s="3" t="str">
        <f>IFERROR(MID(VLOOKUP($B235,Seqs!$A:$B,2,0),AW235,1),"")</f>
        <v>H</v>
      </c>
      <c r="AW235" s="3">
        <v>319</v>
      </c>
      <c r="AX235" s="3" t="str">
        <f>IFERROR(MID(VLOOKUP($B235,Seqs!$A:$B,2,0),AY235,1),"")</f>
        <v>F</v>
      </c>
      <c r="AY235" s="3">
        <v>330</v>
      </c>
      <c r="AZ235" s="77" t="str">
        <f>VLOOKUP(B235,Classification!A:D,2,0)</f>
        <v>A</v>
      </c>
      <c r="BA235" s="94" t="str">
        <f>VLOOKUP(B235,Classification!A:D,4,0)</f>
        <v>Opsins</v>
      </c>
      <c r="BB235" s="27" t="b">
        <f t="shared" si="754"/>
        <v>1</v>
      </c>
      <c r="BC235" s="23">
        <f t="shared" si="727"/>
        <v>266</v>
      </c>
      <c r="BD235" s="2" t="s">
        <v>1383</v>
      </c>
      <c r="BE235" s="3" t="s">
        <v>1381</v>
      </c>
      <c r="BF235" s="119">
        <v>2.5</v>
      </c>
      <c r="BG235" s="49" t="s">
        <v>1384</v>
      </c>
      <c r="BH235" s="49" t="s">
        <v>1384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728"/>
        <v>31</v>
      </c>
      <c r="BW235" s="71">
        <f t="shared" si="729"/>
        <v>63</v>
      </c>
      <c r="BX235" s="72">
        <f t="shared" si="730"/>
        <v>67</v>
      </c>
      <c r="BY235" s="71">
        <f t="shared" si="731"/>
        <v>100</v>
      </c>
      <c r="BZ235" s="72">
        <f t="shared" si="732"/>
        <v>104</v>
      </c>
      <c r="CA235" s="71" t="str">
        <f t="shared" si="733"/>
        <v>-</v>
      </c>
      <c r="CB235" s="72">
        <f t="shared" si="734"/>
        <v>148</v>
      </c>
      <c r="CC235" s="71">
        <f t="shared" si="735"/>
        <v>186</v>
      </c>
      <c r="CD235" s="72">
        <f t="shared" si="736"/>
        <v>194</v>
      </c>
      <c r="CE235" s="71">
        <f t="shared" si="737"/>
        <v>244</v>
      </c>
      <c r="CF235" s="72">
        <f t="shared" si="738"/>
        <v>293</v>
      </c>
      <c r="CG235" s="71">
        <f t="shared" si="739"/>
        <v>319</v>
      </c>
      <c r="CH235" s="70">
        <f t="shared" si="740"/>
        <v>62</v>
      </c>
      <c r="CI235" s="71">
        <f t="shared" si="741"/>
        <v>66</v>
      </c>
      <c r="CJ235" s="72">
        <f t="shared" si="742"/>
        <v>99</v>
      </c>
      <c r="CK235" s="72">
        <f t="shared" si="743"/>
        <v>103</v>
      </c>
      <c r="CL235" s="72">
        <f t="shared" si="744"/>
        <v>139</v>
      </c>
      <c r="CM235" s="72" t="str">
        <f t="shared" si="745"/>
        <v>-</v>
      </c>
      <c r="CN235" s="72">
        <f t="shared" si="746"/>
        <v>172</v>
      </c>
      <c r="CO235" s="72">
        <f t="shared" si="747"/>
        <v>188</v>
      </c>
      <c r="CP235" s="72">
        <f t="shared" si="748"/>
        <v>239</v>
      </c>
      <c r="CQ235" s="72">
        <f t="shared" si="749"/>
        <v>287</v>
      </c>
      <c r="CR235" s="72">
        <f t="shared" si="750"/>
        <v>318</v>
      </c>
      <c r="CS235" s="72">
        <f t="shared" si="751"/>
        <v>330</v>
      </c>
      <c r="CT235" s="23">
        <f t="shared" si="752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2"/>
    </row>
    <row r="236" spans="1:1030" x14ac:dyDescent="0.2">
      <c r="A236" s="3" t="str">
        <f t="shared" si="753"/>
        <v>ox1r_human__wt</v>
      </c>
      <c r="B236" s="3" t="s">
        <v>1175</v>
      </c>
      <c r="C236" s="3" t="s">
        <v>100</v>
      </c>
      <c r="D236" s="3" t="str">
        <f>IFERROR(MID(VLOOKUP($B236,Seqs!$A:$B,2,0),E236,1),"")</f>
        <v>E</v>
      </c>
      <c r="E236" s="3">
        <v>46</v>
      </c>
      <c r="F236" s="3" t="str">
        <f>IFERROR(MID(VLOOKUP($B236,Seqs!$A:$B,2,0),G236,1),"")</f>
        <v>N</v>
      </c>
      <c r="G236" s="3">
        <v>74</v>
      </c>
      <c r="H236" s="3" t="str">
        <f>IFERROR(MID(VLOOKUP($B236,Seqs!$A:$B,2,0),I236,1),"")</f>
        <v>H</v>
      </c>
      <c r="I236" s="23">
        <v>75</v>
      </c>
      <c r="J236" s="3" t="str">
        <f>IFERROR(MID(VLOOKUP($B236,Seqs!$A:$B,2,0),K236,1),"")</f>
        <v>R</v>
      </c>
      <c r="K236" s="23">
        <v>78</v>
      </c>
      <c r="L236" s="3" t="str">
        <f>IFERROR(MID(VLOOKUP($B236,Seqs!$A:$B,2,0),M236,1),"")</f>
        <v>T</v>
      </c>
      <c r="M236" s="3">
        <v>79</v>
      </c>
      <c r="N236" s="3" t="str">
        <f>IFERROR(MID(VLOOKUP($B236,Seqs!$A:$B,2,0),O236,1),"")</f>
        <v>T</v>
      </c>
      <c r="O236" s="3">
        <v>109</v>
      </c>
      <c r="P236" s="3" t="str">
        <f>IFERROR(MID(VLOOKUP($B236,Seqs!$A:$B,2,0),Q236,1),"")</f>
        <v>S</v>
      </c>
      <c r="Q236" s="3">
        <v>111</v>
      </c>
      <c r="R236" s="3" t="str">
        <f>IFERROR(MID(VLOOKUP($B236,Seqs!$A:$B,2,0),S236,1),"")</f>
        <v>F</v>
      </c>
      <c r="S236" s="3">
        <v>114</v>
      </c>
      <c r="T236" s="3" t="str">
        <f>IFERROR(MID(VLOOKUP($B236,Seqs!$A:$B,2,0),U236,1),"")</f>
        <v>G</v>
      </c>
      <c r="U236" s="3">
        <v>115</v>
      </c>
      <c r="V236" s="3" t="str">
        <f>IFERROR(MID(VLOOKUP($B236,Seqs!$A:$B,2,0),W236,1),"")</f>
        <v>H</v>
      </c>
      <c r="W236" s="3">
        <v>150</v>
      </c>
      <c r="X236" s="3" t="str">
        <f>IFERROR(MID(VLOOKUP($B236,Seqs!$A:$B,2,0),Y236,1),"")</f>
        <v>P</v>
      </c>
      <c r="Y236" s="3">
        <v>151</v>
      </c>
      <c r="Z236" s="3" t="str">
        <f>IFERROR(MID(VLOOKUP($B236,Seqs!$A:$B,2,0),AA236,1),"")</f>
        <v>F</v>
      </c>
      <c r="AA236" s="73">
        <v>154</v>
      </c>
      <c r="AB236" s="3" t="str">
        <f>IFERROR(MID(VLOOKUP($B236,Seqs!$A:$B,2,0),AC236,1),"")</f>
        <v>T</v>
      </c>
      <c r="AC236" s="9">
        <v>157</v>
      </c>
      <c r="AD236" s="3" t="str">
        <f>IFERROR(MID(VLOOKUP($B236,Seqs!$A:$B,2,0),AE236,1),"")</f>
        <v>M</v>
      </c>
      <c r="AE236" s="3">
        <v>183</v>
      </c>
      <c r="AF236" s="3" t="str">
        <f>IFERROR(MID(VLOOKUP($B236,Seqs!$A:$B,2,0),AG236,1),"")</f>
        <v>C</v>
      </c>
      <c r="AG236" s="3">
        <v>202</v>
      </c>
      <c r="AH236" s="3" t="str">
        <f>IFERROR(MID(VLOOKUP($B236,Seqs!$A:$B,2,0),AI236,1),"")</f>
        <v>E</v>
      </c>
      <c r="AI236" s="3">
        <v>204</v>
      </c>
      <c r="AJ236" s="3" t="str">
        <f>IFERROR(MID(VLOOKUP($B236,Seqs!$A:$B,2,0),AK236,1),"")</f>
        <v>D</v>
      </c>
      <c r="AK236" s="3">
        <v>209</v>
      </c>
      <c r="AL236" s="3" t="str">
        <f>IFERROR(MID(VLOOKUP($B236,Seqs!$A:$B,2,0),AM236,1),"")</f>
        <v>P</v>
      </c>
      <c r="AM236" s="3">
        <v>248</v>
      </c>
      <c r="AN236" s="3" t="str">
        <f>IFERROR(MID(VLOOKUP($B236,Seqs!$A:$B,2,0),AO236,1),"")</f>
        <v>F</v>
      </c>
      <c r="AO236" s="3">
        <v>283</v>
      </c>
      <c r="AP236" s="3" t="str">
        <f>IFERROR(MID(VLOOKUP($B236,Seqs!$A:$B,2,0),AQ236,1),"")</f>
        <v>F</v>
      </c>
      <c r="AQ236" s="3">
        <v>324</v>
      </c>
      <c r="AR236" s="3" t="str">
        <f>IFERROR(MID(VLOOKUP($B236,Seqs!$A:$B,2,0),AS236,1),"")</f>
        <v>R</v>
      </c>
      <c r="AS236" s="3">
        <v>333</v>
      </c>
      <c r="AT236" s="3" t="str">
        <f>IFERROR(MID(VLOOKUP($B236,Seqs!$A:$B,2,0),AU236,1),"")</f>
        <v>L</v>
      </c>
      <c r="AU236" s="3">
        <v>361</v>
      </c>
      <c r="AV236" s="3" t="str">
        <f>IFERROR(MID(VLOOKUP($B236,Seqs!$A:$B,2,0),AW236,1),"")</f>
        <v>S</v>
      </c>
      <c r="AW236" s="3">
        <v>362</v>
      </c>
      <c r="AX236" s="3" t="str">
        <f>IFERROR(MID(VLOOKUP($B236,Seqs!$A:$B,2,0),AY236,1),"")</f>
        <v>F</v>
      </c>
      <c r="AY236" s="3">
        <v>373</v>
      </c>
      <c r="AZ236" s="77" t="str">
        <f>VLOOKUP(B236,Classification!A:D,2,0)</f>
        <v>A</v>
      </c>
      <c r="BA236" s="94" t="str">
        <f>VLOOKUP(B236,Classification!A:D,4,0)</f>
        <v>Orexin</v>
      </c>
      <c r="BB236" s="27" t="b">
        <f t="shared" si="754"/>
        <v>1</v>
      </c>
      <c r="BC236" s="23">
        <f t="shared" si="727"/>
        <v>261</v>
      </c>
      <c r="BD236" s="56" t="s">
        <v>1379</v>
      </c>
      <c r="BE236" s="3" t="s">
        <v>23</v>
      </c>
      <c r="BF236" s="119" t="s">
        <v>23</v>
      </c>
      <c r="BG236" s="49" t="s">
        <v>1379</v>
      </c>
      <c r="BH236" s="49" t="s">
        <v>1384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728"/>
        <v>46</v>
      </c>
      <c r="BW236" s="71">
        <f t="shared" si="729"/>
        <v>75</v>
      </c>
      <c r="BX236" s="72">
        <f t="shared" si="730"/>
        <v>79</v>
      </c>
      <c r="BY236" s="71">
        <f t="shared" si="731"/>
        <v>111</v>
      </c>
      <c r="BZ236" s="72">
        <f t="shared" si="732"/>
        <v>115</v>
      </c>
      <c r="CA236" s="71">
        <f t="shared" si="733"/>
        <v>151</v>
      </c>
      <c r="CB236" s="72">
        <f t="shared" si="734"/>
        <v>157</v>
      </c>
      <c r="CC236" s="71">
        <f t="shared" si="735"/>
        <v>202</v>
      </c>
      <c r="CD236" s="72">
        <f t="shared" si="736"/>
        <v>209</v>
      </c>
      <c r="CE236" s="71">
        <f t="shared" si="737"/>
        <v>283</v>
      </c>
      <c r="CF236" s="72">
        <f t="shared" si="738"/>
        <v>333</v>
      </c>
      <c r="CG236" s="71">
        <f t="shared" si="739"/>
        <v>362</v>
      </c>
      <c r="CH236" s="70">
        <f t="shared" si="740"/>
        <v>74</v>
      </c>
      <c r="CI236" s="71">
        <f t="shared" si="741"/>
        <v>78</v>
      </c>
      <c r="CJ236" s="72">
        <f t="shared" si="742"/>
        <v>109</v>
      </c>
      <c r="CK236" s="72">
        <f t="shared" si="743"/>
        <v>114</v>
      </c>
      <c r="CL236" s="72">
        <f t="shared" si="744"/>
        <v>150</v>
      </c>
      <c r="CM236" s="72">
        <f t="shared" si="745"/>
        <v>154</v>
      </c>
      <c r="CN236" s="72">
        <f t="shared" si="746"/>
        <v>183</v>
      </c>
      <c r="CO236" s="72">
        <f t="shared" si="747"/>
        <v>204</v>
      </c>
      <c r="CP236" s="72">
        <f t="shared" si="748"/>
        <v>248</v>
      </c>
      <c r="CQ236" s="72">
        <f t="shared" si="749"/>
        <v>324</v>
      </c>
      <c r="CR236" s="72">
        <f t="shared" si="750"/>
        <v>361</v>
      </c>
      <c r="CS236" s="72">
        <f t="shared" si="751"/>
        <v>373</v>
      </c>
      <c r="CT236" s="23">
        <f t="shared" si="752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753"/>
        <v>ox1r_human_4ZJ8</v>
      </c>
      <c r="B237" s="3" t="s">
        <v>1175</v>
      </c>
      <c r="C237" s="3" t="s">
        <v>90</v>
      </c>
      <c r="D237" s="3" t="str">
        <f>IFERROR(MID(VLOOKUP($B237,Seqs!$A:$B,2,0),E237,1),"")</f>
        <v>E</v>
      </c>
      <c r="E237" s="3">
        <v>46</v>
      </c>
      <c r="F237" s="3" t="str">
        <f>IFERROR(MID(VLOOKUP($B237,Seqs!$A:$B,2,0),G237,1),"")</f>
        <v>N</v>
      </c>
      <c r="G237" s="3">
        <v>74</v>
      </c>
      <c r="H237" s="3" t="str">
        <f>IFERROR(MID(VLOOKUP($B237,Seqs!$A:$B,2,0),I237,1),"")</f>
        <v>H</v>
      </c>
      <c r="I237" s="23">
        <v>75</v>
      </c>
      <c r="J237" s="3" t="str">
        <f>IFERROR(MID(VLOOKUP($B237,Seqs!$A:$B,2,0),K237,1),"")</f>
        <v>R</v>
      </c>
      <c r="K237" s="23">
        <v>78</v>
      </c>
      <c r="L237" s="3" t="str">
        <f>IFERROR(MID(VLOOKUP($B237,Seqs!$A:$B,2,0),M237,1),"")</f>
        <v>T</v>
      </c>
      <c r="M237" s="3">
        <v>79</v>
      </c>
      <c r="N237" s="3" t="str">
        <f>IFERROR(MID(VLOOKUP($B237,Seqs!$A:$B,2,0),O237,1),"")</f>
        <v>T</v>
      </c>
      <c r="O237" s="3">
        <v>109</v>
      </c>
      <c r="P237" s="3" t="str">
        <f>IFERROR(MID(VLOOKUP($B237,Seqs!$A:$B,2,0),Q237,1),"")</f>
        <v>S</v>
      </c>
      <c r="Q237" s="3">
        <v>111</v>
      </c>
      <c r="R237" s="3" t="str">
        <f>IFERROR(MID(VLOOKUP($B237,Seqs!$A:$B,2,0),S237,1),"")</f>
        <v>F</v>
      </c>
      <c r="S237" s="3">
        <v>114</v>
      </c>
      <c r="T237" s="3" t="str">
        <f>IFERROR(MID(VLOOKUP($B237,Seqs!$A:$B,2,0),U237,1),"")</f>
        <v>G</v>
      </c>
      <c r="U237" s="3">
        <v>115</v>
      </c>
      <c r="V237" s="3" t="str">
        <f>IFERROR(MID(VLOOKUP($B237,Seqs!$A:$B,2,0),W237,1),"")</f>
        <v>H</v>
      </c>
      <c r="W237" s="3">
        <v>150</v>
      </c>
      <c r="X237" s="3" t="str">
        <f>IFERROR(MID(VLOOKUP($B237,Seqs!$A:$B,2,0),Y237,1),"")</f>
        <v>P</v>
      </c>
      <c r="Y237" s="3">
        <v>151</v>
      </c>
      <c r="Z237" s="3" t="str">
        <f>IFERROR(MID(VLOOKUP($B237,Seqs!$A:$B,2,0),AA237,1),"")</f>
        <v>F</v>
      </c>
      <c r="AA237" s="3">
        <v>154</v>
      </c>
      <c r="AB237" s="3" t="str">
        <f>IFERROR(MID(VLOOKUP($B237,Seqs!$A:$B,2,0),AC237,1),"")</f>
        <v>T</v>
      </c>
      <c r="AC237" s="9">
        <v>157</v>
      </c>
      <c r="AD237" s="3" t="str">
        <f>IFERROR(MID(VLOOKUP($B237,Seqs!$A:$B,2,0),AE237,1),"")</f>
        <v>M</v>
      </c>
      <c r="AE237" s="3">
        <v>183</v>
      </c>
      <c r="AF237" s="3" t="str">
        <f>IFERROR(MID(VLOOKUP($B237,Seqs!$A:$B,2,0),AG237,1),"")</f>
        <v>C</v>
      </c>
      <c r="AG237" s="3">
        <v>202</v>
      </c>
      <c r="AH237" s="3" t="str">
        <f>IFERROR(MID(VLOOKUP($B237,Seqs!$A:$B,2,0),AI237,1),"")</f>
        <v>E</v>
      </c>
      <c r="AI237" s="3">
        <v>204</v>
      </c>
      <c r="AJ237" s="3" t="str">
        <f>IFERROR(MID(VLOOKUP($B237,Seqs!$A:$B,2,0),AK237,1),"")</f>
        <v>D</v>
      </c>
      <c r="AK237" s="3">
        <v>209</v>
      </c>
      <c r="AL237" s="3" t="str">
        <f>IFERROR(MID(VLOOKUP($B237,Seqs!$A:$B,2,0),AM237,1),"")</f>
        <v>L</v>
      </c>
      <c r="AM237" s="3">
        <v>242</v>
      </c>
      <c r="AN237" s="3" t="str">
        <f>IFERROR(MID(VLOOKUP($B237,Seqs!$A:$B,2,0),AO237,1),"")</f>
        <v>K</v>
      </c>
      <c r="AO237" s="3">
        <v>288</v>
      </c>
      <c r="AP237" s="3" t="str">
        <f>IFERROR(MID(VLOOKUP($B237,Seqs!$A:$B,2,0),AQ237,1),"")</f>
        <v>F</v>
      </c>
      <c r="AQ237" s="3">
        <v>324</v>
      </c>
      <c r="AR237" s="3" t="str">
        <f>IFERROR(MID(VLOOKUP($B237,Seqs!$A:$B,2,0),AS237,1),"")</f>
        <v>R</v>
      </c>
      <c r="AS237" s="3">
        <v>333</v>
      </c>
      <c r="AT237" s="3" t="str">
        <f>IFERROR(MID(VLOOKUP($B237,Seqs!$A:$B,2,0),AU237,1),"")</f>
        <v>L</v>
      </c>
      <c r="AU237" s="3">
        <v>361</v>
      </c>
      <c r="AV237" s="3" t="str">
        <f>IFERROR(MID(VLOOKUP($B237,Seqs!$A:$B,2,0),AW237,1),"")</f>
        <v>S</v>
      </c>
      <c r="AW237" s="3">
        <v>362</v>
      </c>
      <c r="AX237" s="3" t="str">
        <f>IFERROR(MID(VLOOKUP($B237,Seqs!$A:$B,2,0),AY237,1),"")</f>
        <v>F</v>
      </c>
      <c r="AY237" s="3">
        <v>373</v>
      </c>
      <c r="AZ237" s="77" t="str">
        <f>VLOOKUP(B237,Classification!A:D,2,0)</f>
        <v>A</v>
      </c>
      <c r="BA237" s="94" t="str">
        <f>VLOOKUP(B237,Classification!A:D,4,0)</f>
        <v>Orexin</v>
      </c>
      <c r="BB237" s="27" t="b">
        <f t="shared" si="754"/>
        <v>1</v>
      </c>
      <c r="BC237" s="23">
        <f t="shared" si="727"/>
        <v>250</v>
      </c>
      <c r="BD237" s="4" t="s">
        <v>1383</v>
      </c>
      <c r="BE237" s="3" t="s">
        <v>1381</v>
      </c>
      <c r="BF237" s="119">
        <v>2.75</v>
      </c>
      <c r="BG237" s="49" t="s">
        <v>1384</v>
      </c>
      <c r="BH237" s="49" t="s">
        <v>1384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728"/>
        <v>46</v>
      </c>
      <c r="BW237" s="71">
        <f t="shared" si="729"/>
        <v>75</v>
      </c>
      <c r="BX237" s="72">
        <f t="shared" si="730"/>
        <v>79</v>
      </c>
      <c r="BY237" s="71">
        <f t="shared" si="731"/>
        <v>111</v>
      </c>
      <c r="BZ237" s="72">
        <f t="shared" si="732"/>
        <v>115</v>
      </c>
      <c r="CA237" s="71">
        <f t="shared" si="733"/>
        <v>151</v>
      </c>
      <c r="CB237" s="72">
        <f t="shared" si="734"/>
        <v>157</v>
      </c>
      <c r="CC237" s="71">
        <f t="shared" si="735"/>
        <v>202</v>
      </c>
      <c r="CD237" s="72">
        <f t="shared" si="736"/>
        <v>209</v>
      </c>
      <c r="CE237" s="71">
        <f t="shared" si="737"/>
        <v>288</v>
      </c>
      <c r="CF237" s="72">
        <f t="shared" si="738"/>
        <v>333</v>
      </c>
      <c r="CG237" s="71">
        <f t="shared" si="739"/>
        <v>362</v>
      </c>
      <c r="CH237" s="70">
        <f t="shared" si="740"/>
        <v>74</v>
      </c>
      <c r="CI237" s="71">
        <f t="shared" si="741"/>
        <v>78</v>
      </c>
      <c r="CJ237" s="72">
        <f t="shared" si="742"/>
        <v>109</v>
      </c>
      <c r="CK237" s="72">
        <f t="shared" si="743"/>
        <v>114</v>
      </c>
      <c r="CL237" s="72">
        <f t="shared" si="744"/>
        <v>150</v>
      </c>
      <c r="CM237" s="72">
        <f t="shared" si="745"/>
        <v>154</v>
      </c>
      <c r="CN237" s="72">
        <f t="shared" si="746"/>
        <v>183</v>
      </c>
      <c r="CO237" s="72">
        <f t="shared" si="747"/>
        <v>204</v>
      </c>
      <c r="CP237" s="72">
        <f t="shared" si="748"/>
        <v>242</v>
      </c>
      <c r="CQ237" s="72">
        <f t="shared" si="749"/>
        <v>324</v>
      </c>
      <c r="CR237" s="72">
        <f t="shared" si="750"/>
        <v>361</v>
      </c>
      <c r="CS237" s="72">
        <f t="shared" si="751"/>
        <v>373</v>
      </c>
      <c r="CT237" s="23">
        <f t="shared" si="752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2"/>
    </row>
    <row r="238" spans="1:1030" x14ac:dyDescent="0.2">
      <c r="A238" s="3" t="str">
        <f t="shared" si="753"/>
        <v>ox1r_human_4ZJC</v>
      </c>
      <c r="B238" s="3" t="s">
        <v>1175</v>
      </c>
      <c r="C238" s="3" t="s">
        <v>91</v>
      </c>
      <c r="D238" s="3" t="str">
        <f>IFERROR(MID(VLOOKUP($B238,Seqs!$A:$B,2,0),E238,1),"")</f>
        <v>E</v>
      </c>
      <c r="E238" s="3">
        <v>46</v>
      </c>
      <c r="F238" s="3" t="str">
        <f>IFERROR(MID(VLOOKUP($B238,Seqs!$A:$B,2,0),G238,1),"")</f>
        <v>N</v>
      </c>
      <c r="G238" s="3">
        <v>74</v>
      </c>
      <c r="H238" s="3" t="str">
        <f>IFERROR(MID(VLOOKUP($B238,Seqs!$A:$B,2,0),I238,1),"")</f>
        <v>H</v>
      </c>
      <c r="I238" s="23">
        <v>75</v>
      </c>
      <c r="J238" s="3" t="str">
        <f>IFERROR(MID(VLOOKUP($B238,Seqs!$A:$B,2,0),K238,1),"")</f>
        <v>R</v>
      </c>
      <c r="K238" s="23">
        <v>78</v>
      </c>
      <c r="L238" s="3" t="str">
        <f>IFERROR(MID(VLOOKUP($B238,Seqs!$A:$B,2,0),M238,1),"")</f>
        <v>T</v>
      </c>
      <c r="M238" s="3">
        <v>79</v>
      </c>
      <c r="N238" s="3" t="str">
        <f>IFERROR(MID(VLOOKUP($B238,Seqs!$A:$B,2,0),O238,1),"")</f>
        <v>T</v>
      </c>
      <c r="O238" s="3">
        <v>109</v>
      </c>
      <c r="P238" s="3" t="str">
        <f>IFERROR(MID(VLOOKUP($B238,Seqs!$A:$B,2,0),Q238,1),"")</f>
        <v>S</v>
      </c>
      <c r="Q238" s="3">
        <v>111</v>
      </c>
      <c r="R238" s="3" t="str">
        <f>IFERROR(MID(VLOOKUP($B238,Seqs!$A:$B,2,0),S238,1),"")</f>
        <v>F</v>
      </c>
      <c r="S238" s="3">
        <v>114</v>
      </c>
      <c r="T238" s="3" t="str">
        <f>IFERROR(MID(VLOOKUP($B238,Seqs!$A:$B,2,0),U238,1),"")</f>
        <v>G</v>
      </c>
      <c r="U238" s="3">
        <v>115</v>
      </c>
      <c r="V238" s="3" t="str">
        <f>IFERROR(MID(VLOOKUP($B238,Seqs!$A:$B,2,0),W238,1),"")</f>
        <v>H</v>
      </c>
      <c r="W238" s="3">
        <v>150</v>
      </c>
      <c r="X238" s="3" t="str">
        <f>IFERROR(MID(VLOOKUP($B238,Seqs!$A:$B,2,0),Y238,1),"")</f>
        <v>P</v>
      </c>
      <c r="Y238" s="3">
        <v>151</v>
      </c>
      <c r="Z238" s="3" t="str">
        <f>IFERROR(MID(VLOOKUP($B238,Seqs!$A:$B,2,0),AA238,1),"")</f>
        <v>F</v>
      </c>
      <c r="AA238" s="3">
        <v>154</v>
      </c>
      <c r="AB238" s="3" t="str">
        <f>IFERROR(MID(VLOOKUP($B238,Seqs!$A:$B,2,0),AC238,1),"")</f>
        <v>T</v>
      </c>
      <c r="AC238" s="9">
        <v>157</v>
      </c>
      <c r="AD238" s="3" t="str">
        <f>IFERROR(MID(VLOOKUP($B238,Seqs!$A:$B,2,0),AE238,1),"")</f>
        <v>M</v>
      </c>
      <c r="AE238" s="3">
        <v>183</v>
      </c>
      <c r="AF238" s="3" t="str">
        <f>IFERROR(MID(VLOOKUP($B238,Seqs!$A:$B,2,0),AG238,1),"")</f>
        <v>C</v>
      </c>
      <c r="AG238" s="3">
        <v>202</v>
      </c>
      <c r="AH238" s="3" t="str">
        <f>IFERROR(MID(VLOOKUP($B238,Seqs!$A:$B,2,0),AI238,1),"")</f>
        <v>E</v>
      </c>
      <c r="AI238" s="3">
        <v>204</v>
      </c>
      <c r="AJ238" s="3" t="str">
        <f>IFERROR(MID(VLOOKUP($B238,Seqs!$A:$B,2,0),AK238,1),"")</f>
        <v>D</v>
      </c>
      <c r="AK238" s="3">
        <v>209</v>
      </c>
      <c r="AL238" s="3" t="str">
        <f>IFERROR(MID(VLOOKUP($B238,Seqs!$A:$B,2,0),AM238,1),"")</f>
        <v>L</v>
      </c>
      <c r="AM238" s="3">
        <v>242</v>
      </c>
      <c r="AN238" s="3" t="str">
        <f>IFERROR(MID(VLOOKUP($B238,Seqs!$A:$B,2,0),AO238,1),"")</f>
        <v>K</v>
      </c>
      <c r="AO238" s="3">
        <v>288</v>
      </c>
      <c r="AP238" s="3" t="str">
        <f>IFERROR(MID(VLOOKUP($B238,Seqs!$A:$B,2,0),AQ238,1),"")</f>
        <v>F</v>
      </c>
      <c r="AQ238" s="3">
        <v>324</v>
      </c>
      <c r="AR238" s="3" t="str">
        <f>IFERROR(MID(VLOOKUP($B238,Seqs!$A:$B,2,0),AS238,1),"")</f>
        <v>R</v>
      </c>
      <c r="AS238" s="3">
        <v>333</v>
      </c>
      <c r="AT238" s="3" t="str">
        <f>IFERROR(MID(VLOOKUP($B238,Seqs!$A:$B,2,0),AU238,1),"")</f>
        <v>L</v>
      </c>
      <c r="AU238" s="3">
        <v>361</v>
      </c>
      <c r="AV238" s="3" t="str">
        <f>IFERROR(MID(VLOOKUP($B238,Seqs!$A:$B,2,0),AW238,1),"")</f>
        <v>S</v>
      </c>
      <c r="AW238" s="3">
        <v>362</v>
      </c>
      <c r="AX238" s="3" t="str">
        <f>IFERROR(MID(VLOOKUP($B238,Seqs!$A:$B,2,0),AY238,1),"")</f>
        <v>F</v>
      </c>
      <c r="AY238" s="3">
        <v>373</v>
      </c>
      <c r="AZ238" s="77" t="str">
        <f>VLOOKUP(B238,Classification!A:D,2,0)</f>
        <v>A</v>
      </c>
      <c r="BA238" s="94" t="str">
        <f>VLOOKUP(B238,Classification!A:D,4,0)</f>
        <v>Orexin</v>
      </c>
      <c r="BB238" s="27" t="b">
        <f t="shared" si="754"/>
        <v>1</v>
      </c>
      <c r="BC238" s="23">
        <f t="shared" si="727"/>
        <v>250</v>
      </c>
      <c r="BD238" s="2" t="s">
        <v>23</v>
      </c>
      <c r="BE238" s="3" t="s">
        <v>1381</v>
      </c>
      <c r="BF238" s="119">
        <v>2.83</v>
      </c>
      <c r="BG238" s="49" t="s">
        <v>1384</v>
      </c>
      <c r="BH238" s="49" t="s">
        <v>1384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728"/>
        <v>46</v>
      </c>
      <c r="BW238" s="71">
        <f t="shared" si="729"/>
        <v>75</v>
      </c>
      <c r="BX238" s="72">
        <f t="shared" si="730"/>
        <v>79</v>
      </c>
      <c r="BY238" s="71">
        <f t="shared" si="731"/>
        <v>111</v>
      </c>
      <c r="BZ238" s="72">
        <f t="shared" si="732"/>
        <v>115</v>
      </c>
      <c r="CA238" s="71">
        <f t="shared" si="733"/>
        <v>151</v>
      </c>
      <c r="CB238" s="72">
        <f t="shared" si="734"/>
        <v>157</v>
      </c>
      <c r="CC238" s="71">
        <f t="shared" si="735"/>
        <v>202</v>
      </c>
      <c r="CD238" s="72">
        <f t="shared" si="736"/>
        <v>209</v>
      </c>
      <c r="CE238" s="71">
        <f t="shared" si="737"/>
        <v>288</v>
      </c>
      <c r="CF238" s="72">
        <f t="shared" si="738"/>
        <v>333</v>
      </c>
      <c r="CG238" s="71">
        <f t="shared" si="739"/>
        <v>362</v>
      </c>
      <c r="CH238" s="70">
        <f t="shared" si="740"/>
        <v>74</v>
      </c>
      <c r="CI238" s="71">
        <f t="shared" si="741"/>
        <v>78</v>
      </c>
      <c r="CJ238" s="72">
        <f t="shared" si="742"/>
        <v>109</v>
      </c>
      <c r="CK238" s="72">
        <f t="shared" si="743"/>
        <v>114</v>
      </c>
      <c r="CL238" s="72">
        <f t="shared" si="744"/>
        <v>150</v>
      </c>
      <c r="CM238" s="72">
        <f t="shared" si="745"/>
        <v>154</v>
      </c>
      <c r="CN238" s="72">
        <f t="shared" si="746"/>
        <v>183</v>
      </c>
      <c r="CO238" s="72">
        <f t="shared" si="747"/>
        <v>204</v>
      </c>
      <c r="CP238" s="72">
        <f t="shared" si="748"/>
        <v>242</v>
      </c>
      <c r="CQ238" s="72">
        <f t="shared" si="749"/>
        <v>324</v>
      </c>
      <c r="CR238" s="72">
        <f t="shared" si="750"/>
        <v>361</v>
      </c>
      <c r="CS238" s="72">
        <f t="shared" si="751"/>
        <v>373</v>
      </c>
      <c r="CT238" s="23">
        <f t="shared" si="752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2"/>
    </row>
    <row r="239" spans="1:1030" x14ac:dyDescent="0.2">
      <c r="A239" s="3" t="str">
        <f t="shared" si="753"/>
        <v>ox2r_human__wt</v>
      </c>
      <c r="B239" s="3" t="s">
        <v>1176</v>
      </c>
      <c r="C239" s="3" t="s">
        <v>100</v>
      </c>
      <c r="D239" s="3" t="str">
        <f>IFERROR(MID(VLOOKUP($B239,Seqs!$A:$B,2,0),E239,1),"")</f>
        <v>Y</v>
      </c>
      <c r="E239" s="3">
        <v>53</v>
      </c>
      <c r="F239" s="3" t="str">
        <f>IFERROR(MID(VLOOKUP($B239,Seqs!$A:$B,2,0),G239,1),"")</f>
        <v>N</v>
      </c>
      <c r="G239" s="3">
        <v>82</v>
      </c>
      <c r="H239" s="3" t="str">
        <f>IFERROR(MID(VLOOKUP($B239,Seqs!$A:$B,2,0),I239,1),"")</f>
        <v>H</v>
      </c>
      <c r="I239" s="23">
        <v>83</v>
      </c>
      <c r="J239" s="3" t="str">
        <f>IFERROR(MID(VLOOKUP($B239,Seqs!$A:$B,2,0),K239,1),"")</f>
        <v>R</v>
      </c>
      <c r="K239" s="23">
        <v>86</v>
      </c>
      <c r="L239" s="3" t="str">
        <f>IFERROR(MID(VLOOKUP($B239,Seqs!$A:$B,2,0),M239,1),"")</f>
        <v>T</v>
      </c>
      <c r="M239" s="3">
        <v>87</v>
      </c>
      <c r="N239" s="3" t="str">
        <f>IFERROR(MID(VLOOKUP($B239,Seqs!$A:$B,2,0),O239,1),"")</f>
        <v>E</v>
      </c>
      <c r="O239" s="105">
        <v>118</v>
      </c>
      <c r="P239" s="3" t="str">
        <f>IFERROR(MID(VLOOKUP($B239,Seqs!$A:$B,2,0),Q239,1),"")</f>
        <v>T</v>
      </c>
      <c r="Q239" s="3">
        <v>119</v>
      </c>
      <c r="R239" s="3" t="str">
        <f>IFERROR(MID(VLOOKUP($B239,Seqs!$A:$B,2,0),S239,1),"")</f>
        <v>F</v>
      </c>
      <c r="S239" s="3">
        <v>122</v>
      </c>
      <c r="T239" s="3" t="str">
        <f>IFERROR(MID(VLOOKUP($B239,Seqs!$A:$B,2,0),U239,1),"")</f>
        <v>G</v>
      </c>
      <c r="U239" s="3">
        <v>123</v>
      </c>
      <c r="V239" s="3" t="str">
        <f>IFERROR(MID(VLOOKUP($B239,Seqs!$A:$B,2,0),W239,1),"")</f>
        <v>H</v>
      </c>
      <c r="W239" s="3">
        <v>158</v>
      </c>
      <c r="X239" s="3" t="str">
        <f>IFERROR(MID(VLOOKUP($B239,Seqs!$A:$B,2,0),Y239,1),"")</f>
        <v>P</v>
      </c>
      <c r="Y239" s="3">
        <v>159</v>
      </c>
      <c r="Z239" s="3" t="str">
        <f>IFERROR(MID(VLOOKUP($B239,Seqs!$A:$B,2,0),AA239,1),"")</f>
        <v>F</v>
      </c>
      <c r="AA239" s="73">
        <v>162</v>
      </c>
      <c r="AB239" s="3" t="str">
        <f>IFERROR(MID(VLOOKUP($B239,Seqs!$A:$B,2,0),AC239,1),"")</f>
        <v>T</v>
      </c>
      <c r="AC239" s="9">
        <v>165</v>
      </c>
      <c r="AD239" s="3" t="str">
        <f>IFERROR(MID(VLOOKUP($B239,Seqs!$A:$B,2,0),AE239,1),"")</f>
        <v>M</v>
      </c>
      <c r="AE239" s="3">
        <v>191</v>
      </c>
      <c r="AF239" s="3" t="str">
        <f>IFERROR(MID(VLOOKUP($B239,Seqs!$A:$B,2,0),AG239,1),"")</f>
        <v>C</v>
      </c>
      <c r="AG239" s="3">
        <v>210</v>
      </c>
      <c r="AH239" s="3" t="str">
        <f>IFERROR(MID(VLOOKUP($B239,Seqs!$A:$B,2,0),AI239,1),"")</f>
        <v>E</v>
      </c>
      <c r="AI239" s="3">
        <v>212</v>
      </c>
      <c r="AJ239" s="3" t="str">
        <f>IFERROR(MID(VLOOKUP($B239,Seqs!$A:$B,2,0),AK239,1),"")</f>
        <v>I</v>
      </c>
      <c r="AK239" s="105">
        <v>218</v>
      </c>
      <c r="AL239" s="3" t="str">
        <f>IFERROR(MID(VLOOKUP($B239,Seqs!$A:$B,2,0),AM239,1),"")</f>
        <v>P</v>
      </c>
      <c r="AM239" s="3">
        <v>256</v>
      </c>
      <c r="AN239" s="3" t="str">
        <f>IFERROR(MID(VLOOKUP($B239,Seqs!$A:$B,2,0),AO239,1),"")</f>
        <v>V</v>
      </c>
      <c r="AO239" s="3">
        <v>289</v>
      </c>
      <c r="AP239" s="3" t="str">
        <f>IFERROR(MID(VLOOKUP($B239,Seqs!$A:$B,2,0),AQ239,1),"")</f>
        <v>F</v>
      </c>
      <c r="AQ239" s="3">
        <v>330</v>
      </c>
      <c r="AR239" s="3" t="str">
        <f>IFERROR(MID(VLOOKUP($B239,Seqs!$A:$B,2,0),AS239,1),"")</f>
        <v>D</v>
      </c>
      <c r="AS239" s="105">
        <v>338</v>
      </c>
      <c r="AT239" s="3" t="str">
        <f>IFERROR(MID(VLOOKUP($B239,Seqs!$A:$B,2,0),AU239,1),"")</f>
        <v>L</v>
      </c>
      <c r="AU239" s="3">
        <v>367</v>
      </c>
      <c r="AV239" s="3" t="str">
        <f>IFERROR(MID(VLOOKUP($B239,Seqs!$A:$B,2,0),AW239,1),"")</f>
        <v>S</v>
      </c>
      <c r="AW239" s="3">
        <v>368</v>
      </c>
      <c r="AX239" s="3" t="str">
        <f>IFERROR(MID(VLOOKUP($B239,Seqs!$A:$B,2,0),AY239,1),"")</f>
        <v>F</v>
      </c>
      <c r="AY239" s="3">
        <v>379</v>
      </c>
      <c r="AZ239" s="77" t="str">
        <f>VLOOKUP(B239,Classification!A:D,2,0)</f>
        <v>A</v>
      </c>
      <c r="BA239" s="94" t="str">
        <f>VLOOKUP(B239,Classification!A:D,4,0)</f>
        <v>Orexin</v>
      </c>
      <c r="BB239" s="27" t="b">
        <f t="shared" si="754"/>
        <v>1</v>
      </c>
      <c r="BC239" s="23">
        <f t="shared" si="727"/>
        <v>263</v>
      </c>
      <c r="BD239" s="56" t="s">
        <v>1379</v>
      </c>
      <c r="BE239" s="3" t="s">
        <v>23</v>
      </c>
      <c r="BF239" s="119" t="s">
        <v>23</v>
      </c>
      <c r="BG239" s="49" t="s">
        <v>1379</v>
      </c>
      <c r="BH239" s="49" t="s">
        <v>1384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728"/>
        <v>53</v>
      </c>
      <c r="BW239" s="71">
        <f t="shared" si="729"/>
        <v>83</v>
      </c>
      <c r="BX239" s="72">
        <f t="shared" si="730"/>
        <v>87</v>
      </c>
      <c r="BY239" s="71">
        <f t="shared" si="731"/>
        <v>119</v>
      </c>
      <c r="BZ239" s="72">
        <f t="shared" si="732"/>
        <v>123</v>
      </c>
      <c r="CA239" s="71">
        <f t="shared" si="733"/>
        <v>159</v>
      </c>
      <c r="CB239" s="72">
        <f t="shared" si="734"/>
        <v>165</v>
      </c>
      <c r="CC239" s="71">
        <f t="shared" si="735"/>
        <v>210</v>
      </c>
      <c r="CD239" s="72">
        <f t="shared" si="736"/>
        <v>218</v>
      </c>
      <c r="CE239" s="71">
        <f t="shared" si="737"/>
        <v>289</v>
      </c>
      <c r="CF239" s="72">
        <f t="shared" si="738"/>
        <v>338</v>
      </c>
      <c r="CG239" s="71">
        <f t="shared" si="739"/>
        <v>368</v>
      </c>
      <c r="CH239" s="70">
        <f t="shared" si="740"/>
        <v>82</v>
      </c>
      <c r="CI239" s="71">
        <f t="shared" si="741"/>
        <v>86</v>
      </c>
      <c r="CJ239" s="72">
        <f t="shared" si="742"/>
        <v>118</v>
      </c>
      <c r="CK239" s="72">
        <f t="shared" si="743"/>
        <v>122</v>
      </c>
      <c r="CL239" s="72">
        <f t="shared" si="744"/>
        <v>158</v>
      </c>
      <c r="CM239" s="72">
        <f t="shared" si="745"/>
        <v>162</v>
      </c>
      <c r="CN239" s="72">
        <f t="shared" si="746"/>
        <v>191</v>
      </c>
      <c r="CO239" s="72">
        <f t="shared" si="747"/>
        <v>212</v>
      </c>
      <c r="CP239" s="72">
        <f t="shared" si="748"/>
        <v>256</v>
      </c>
      <c r="CQ239" s="72">
        <f t="shared" si="749"/>
        <v>330</v>
      </c>
      <c r="CR239" s="72">
        <f t="shared" si="750"/>
        <v>367</v>
      </c>
      <c r="CS239" s="72">
        <f t="shared" si="751"/>
        <v>379</v>
      </c>
      <c r="CT239" s="23">
        <f t="shared" si="752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753"/>
        <v>ox2r_human_4S0V</v>
      </c>
      <c r="B240" s="3" t="s">
        <v>1176</v>
      </c>
      <c r="C240" s="3" t="s">
        <v>92</v>
      </c>
      <c r="D240" s="3" t="str">
        <f>IFERROR(MID(VLOOKUP($B240,Seqs!$A:$B,2,0),E240,1),"")</f>
        <v>Y</v>
      </c>
      <c r="E240" s="3">
        <v>53</v>
      </c>
      <c r="F240" s="3" t="str">
        <f>IFERROR(MID(VLOOKUP($B240,Seqs!$A:$B,2,0),G240,1),"")</f>
        <v>N</v>
      </c>
      <c r="G240" s="3">
        <v>82</v>
      </c>
      <c r="H240" s="3" t="str">
        <f>IFERROR(MID(VLOOKUP($B240,Seqs!$A:$B,2,0),I240,1),"")</f>
        <v>H</v>
      </c>
      <c r="I240" s="23">
        <v>83</v>
      </c>
      <c r="J240" s="3" t="str">
        <f>IFERROR(MID(VLOOKUP($B240,Seqs!$A:$B,2,0),K240,1),"")</f>
        <v>R</v>
      </c>
      <c r="K240" s="23">
        <v>86</v>
      </c>
      <c r="L240" s="3" t="str">
        <f>IFERROR(MID(VLOOKUP($B240,Seqs!$A:$B,2,0),M240,1),"")</f>
        <v>T</v>
      </c>
      <c r="M240" s="3">
        <v>87</v>
      </c>
      <c r="N240" s="3" t="str">
        <f>IFERROR(MID(VLOOKUP($B240,Seqs!$A:$B,2,0),O240,1),"")</f>
        <v>E</v>
      </c>
      <c r="O240" s="105">
        <v>118</v>
      </c>
      <c r="P240" s="3" t="str">
        <f>IFERROR(MID(VLOOKUP($B240,Seqs!$A:$B,2,0),Q240,1),"")</f>
        <v>T</v>
      </c>
      <c r="Q240" s="3">
        <v>119</v>
      </c>
      <c r="R240" s="3" t="str">
        <f>IFERROR(MID(VLOOKUP($B240,Seqs!$A:$B,2,0),S240,1),"")</f>
        <v>F</v>
      </c>
      <c r="S240" s="3">
        <v>122</v>
      </c>
      <c r="T240" s="3" t="str">
        <f>IFERROR(MID(VLOOKUP($B240,Seqs!$A:$B,2,0),U240,1),"")</f>
        <v>G</v>
      </c>
      <c r="U240" s="3">
        <v>123</v>
      </c>
      <c r="V240" s="3" t="str">
        <f>IFERROR(MID(VLOOKUP($B240,Seqs!$A:$B,2,0),W240,1),"")</f>
        <v>H</v>
      </c>
      <c r="W240" s="3">
        <v>158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T</v>
      </c>
      <c r="AC240" s="9">
        <v>165</v>
      </c>
      <c r="AD240" s="3" t="str">
        <f>IFERROR(MID(VLOOKUP($B240,Seqs!$A:$B,2,0),AE240,1),"")</f>
        <v>M</v>
      </c>
      <c r="AE240" s="3">
        <v>191</v>
      </c>
      <c r="AF240" s="3" t="str">
        <f>IFERROR(MID(VLOOKUP($B240,Seqs!$A:$B,2,0),AG240,1),"")</f>
        <v>C</v>
      </c>
      <c r="AG240" s="3">
        <v>210</v>
      </c>
      <c r="AH240" s="3" t="str">
        <f>IFERROR(MID(VLOOKUP($B240,Seqs!$A:$B,2,0),AI240,1),"")</f>
        <v>E</v>
      </c>
      <c r="AI240" s="3">
        <v>212</v>
      </c>
      <c r="AJ240" s="3" t="str">
        <f>IFERROR(MID(VLOOKUP($B240,Seqs!$A:$B,2,0),AK240,1),"")</f>
        <v>I</v>
      </c>
      <c r="AK240" s="105">
        <v>218</v>
      </c>
      <c r="AL240" s="3" t="str">
        <f>IFERROR(MID(VLOOKUP($B240,Seqs!$A:$B,2,0),AM240,1),"")</f>
        <v>C</v>
      </c>
      <c r="AM240" s="105">
        <v>252</v>
      </c>
      <c r="AN240" s="3" t="str">
        <f>IFERROR(MID(VLOOKUP($B240,Seqs!$A:$B,2,0),AO240,1),"")</f>
        <v>K</v>
      </c>
      <c r="AO240" s="3">
        <v>294</v>
      </c>
      <c r="AP240" s="3" t="str">
        <f>IFERROR(MID(VLOOKUP($B240,Seqs!$A:$B,2,0),AQ240,1),"")</f>
        <v>F</v>
      </c>
      <c r="AQ240" s="3">
        <v>330</v>
      </c>
      <c r="AR240" s="3" t="str">
        <f>IFERROR(MID(VLOOKUP($B240,Seqs!$A:$B,2,0),AS240,1),"")</f>
        <v>R</v>
      </c>
      <c r="AS240" s="3">
        <v>339</v>
      </c>
      <c r="AT240" s="3" t="str">
        <f>IFERROR(MID(VLOOKUP($B240,Seqs!$A:$B,2,0),AU240,1),"")</f>
        <v>L</v>
      </c>
      <c r="AU240" s="3">
        <v>367</v>
      </c>
      <c r="AV240" s="3" t="str">
        <f>IFERROR(MID(VLOOKUP($B240,Seqs!$A:$B,2,0),AW240,1),"")</f>
        <v>S</v>
      </c>
      <c r="AW240" s="3">
        <v>368</v>
      </c>
      <c r="AX240" s="3" t="str">
        <f>IFERROR(MID(VLOOKUP($B240,Seqs!$A:$B,2,0),AY240,1),"")</f>
        <v>F</v>
      </c>
      <c r="AY240" s="3">
        <v>379</v>
      </c>
      <c r="AZ240" s="77" t="str">
        <f>VLOOKUP(B240,Classification!A:D,2,0)</f>
        <v>A</v>
      </c>
      <c r="BA240" s="94" t="str">
        <f>VLOOKUP(B240,Classification!A:D,4,0)</f>
        <v>Orexin</v>
      </c>
      <c r="BB240" s="27" t="b">
        <f t="shared" si="754"/>
        <v>1</v>
      </c>
      <c r="BC240" s="23">
        <f t="shared" si="727"/>
        <v>250</v>
      </c>
      <c r="BD240" s="2" t="s">
        <v>23</v>
      </c>
      <c r="BE240" s="3" t="s">
        <v>1381</v>
      </c>
      <c r="BF240" s="119">
        <v>2.5</v>
      </c>
      <c r="BG240" s="49" t="s">
        <v>1384</v>
      </c>
      <c r="BH240" s="49" t="s">
        <v>1384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728"/>
        <v>53</v>
      </c>
      <c r="BW240" s="71">
        <f t="shared" si="729"/>
        <v>83</v>
      </c>
      <c r="BX240" s="72">
        <f t="shared" si="730"/>
        <v>87</v>
      </c>
      <c r="BY240" s="71">
        <f t="shared" si="731"/>
        <v>119</v>
      </c>
      <c r="BZ240" s="72">
        <f t="shared" si="732"/>
        <v>123</v>
      </c>
      <c r="CA240" s="71" t="str">
        <f t="shared" si="733"/>
        <v>-</v>
      </c>
      <c r="CB240" s="72">
        <f t="shared" si="734"/>
        <v>165</v>
      </c>
      <c r="CC240" s="71">
        <f t="shared" si="735"/>
        <v>210</v>
      </c>
      <c r="CD240" s="72">
        <f t="shared" si="736"/>
        <v>218</v>
      </c>
      <c r="CE240" s="71">
        <f t="shared" si="737"/>
        <v>294</v>
      </c>
      <c r="CF240" s="72">
        <f t="shared" si="738"/>
        <v>339</v>
      </c>
      <c r="CG240" s="71">
        <f t="shared" si="739"/>
        <v>368</v>
      </c>
      <c r="CH240" s="70">
        <f t="shared" si="740"/>
        <v>82</v>
      </c>
      <c r="CI240" s="71">
        <f t="shared" si="741"/>
        <v>86</v>
      </c>
      <c r="CJ240" s="72">
        <f t="shared" si="742"/>
        <v>118</v>
      </c>
      <c r="CK240" s="72">
        <f t="shared" si="743"/>
        <v>122</v>
      </c>
      <c r="CL240" s="72">
        <f t="shared" si="744"/>
        <v>158</v>
      </c>
      <c r="CM240" s="72" t="str">
        <f t="shared" si="745"/>
        <v>-</v>
      </c>
      <c r="CN240" s="72">
        <f t="shared" si="746"/>
        <v>191</v>
      </c>
      <c r="CO240" s="72">
        <f t="shared" si="747"/>
        <v>212</v>
      </c>
      <c r="CP240" s="72">
        <f t="shared" si="748"/>
        <v>252</v>
      </c>
      <c r="CQ240" s="72">
        <f t="shared" si="749"/>
        <v>330</v>
      </c>
      <c r="CR240" s="72">
        <f t="shared" si="750"/>
        <v>367</v>
      </c>
      <c r="CS240" s="72">
        <f t="shared" si="751"/>
        <v>379</v>
      </c>
      <c r="CT240" s="23">
        <f t="shared" si="752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s="12" customFormat="1" x14ac:dyDescent="0.2">
      <c r="A241" s="9" t="str">
        <f>CONCATENATE(B241,"_",C241)</f>
        <v>ox2r_human_5WQC</v>
      </c>
      <c r="B241" s="9" t="s">
        <v>1176</v>
      </c>
      <c r="C241" s="9" t="s">
        <v>1459</v>
      </c>
      <c r="D241" s="9" t="str">
        <f>IFERROR(MID(VLOOKUP($B241,Seqs!$A:$B,2,0),E241,1),"")</f>
        <v>Y</v>
      </c>
      <c r="E241" s="9">
        <v>53</v>
      </c>
      <c r="F241" s="9" t="str">
        <f>IFERROR(MID(VLOOKUP($B241,Seqs!$A:$B,2,0),G241,1),"")</f>
        <v>N</v>
      </c>
      <c r="G241" s="9">
        <v>82</v>
      </c>
      <c r="H241" s="9" t="str">
        <f>IFERROR(MID(VLOOKUP($B241,Seqs!$A:$B,2,0),I241,1),"")</f>
        <v>H</v>
      </c>
      <c r="I241" s="109">
        <v>83</v>
      </c>
      <c r="J241" s="9" t="str">
        <f>IFERROR(MID(VLOOKUP($B241,Seqs!$A:$B,2,0),K241,1),"")</f>
        <v>R</v>
      </c>
      <c r="K241" s="109">
        <v>86</v>
      </c>
      <c r="L241" s="9" t="str">
        <f>IFERROR(MID(VLOOKUP($B241,Seqs!$A:$B,2,0),M241,1),"")</f>
        <v>T</v>
      </c>
      <c r="M241" s="9">
        <v>87</v>
      </c>
      <c r="N241" s="9" t="str">
        <f>IFERROR(MID(VLOOKUP($B241,Seqs!$A:$B,2,0),O241,1),"")</f>
        <v>E</v>
      </c>
      <c r="O241" s="9">
        <v>118</v>
      </c>
      <c r="P241" s="9" t="str">
        <f>IFERROR(MID(VLOOKUP($B241,Seqs!$A:$B,2,0),Q241,1),"")</f>
        <v>T</v>
      </c>
      <c r="Q241" s="9">
        <v>119</v>
      </c>
      <c r="R241" s="9" t="str">
        <f>IFERROR(MID(VLOOKUP($B241,Seqs!$A:$B,2,0),S241,1),"")</f>
        <v>F</v>
      </c>
      <c r="S241" s="9">
        <v>122</v>
      </c>
      <c r="T241" s="9" t="str">
        <f>IFERROR(MID(VLOOKUP($B241,Seqs!$A:$B,2,0),U241,1),"")</f>
        <v>G</v>
      </c>
      <c r="U241" s="9">
        <v>123</v>
      </c>
      <c r="V241" s="9" t="str">
        <f>IFERROR(MID(VLOOKUP($B241,Seqs!$A:$B,2,0),W241,1),"")</f>
        <v>H</v>
      </c>
      <c r="W241" s="9">
        <v>158</v>
      </c>
      <c r="X241" s="9" t="str">
        <f>IFERROR(MID(VLOOKUP($B241,Seqs!$A:$B,2,0),Y241,1),"")</f>
        <v/>
      </c>
      <c r="Y241" s="9" t="s">
        <v>23</v>
      </c>
      <c r="Z241" s="9" t="str">
        <f>IFERROR(MID(VLOOKUP($B241,Seqs!$A:$B,2,0),AA241,1),"")</f>
        <v/>
      </c>
      <c r="AA241" s="9" t="s">
        <v>23</v>
      </c>
      <c r="AB241" s="9" t="str">
        <f>IFERROR(MID(VLOOKUP($B241,Seqs!$A:$B,2,0),AC241,1),"")</f>
        <v>T</v>
      </c>
      <c r="AC241" s="9">
        <v>165</v>
      </c>
      <c r="AD241" s="9" t="str">
        <f>IFERROR(MID(VLOOKUP($B241,Seqs!$A:$B,2,0),AE241,1),"")</f>
        <v>M</v>
      </c>
      <c r="AE241" s="9">
        <v>191</v>
      </c>
      <c r="AF241" s="9" t="str">
        <f>IFERROR(MID(VLOOKUP($B241,Seqs!$A:$B,2,0),AG241,1),"")</f>
        <v>C</v>
      </c>
      <c r="AG241" s="9">
        <v>210</v>
      </c>
      <c r="AH241" s="9" t="str">
        <f>IFERROR(MID(VLOOKUP($B241,Seqs!$A:$B,2,0),AI241,1),"")</f>
        <v>E</v>
      </c>
      <c r="AI241" s="9">
        <v>212</v>
      </c>
      <c r="AJ241" s="9" t="str">
        <f>IFERROR(MID(VLOOKUP($B241,Seqs!$A:$B,2,0),AK241,1),"")</f>
        <v>I</v>
      </c>
      <c r="AK241" s="9">
        <v>218</v>
      </c>
      <c r="AL241" s="9" t="str">
        <f>IFERROR(MID(VLOOKUP($B241,Seqs!$A:$B,2,0),AM241,1),"")</f>
        <v>C</v>
      </c>
      <c r="AM241" s="9">
        <v>252</v>
      </c>
      <c r="AN241" s="9" t="str">
        <f>IFERROR(MID(VLOOKUP($B241,Seqs!$A:$B,2,0),AO241,1),"")</f>
        <v>K</v>
      </c>
      <c r="AO241" s="9">
        <v>294</v>
      </c>
      <c r="AP241" s="9" t="str">
        <f>IFERROR(MID(VLOOKUP($B241,Seqs!$A:$B,2,0),AQ241,1),"")</f>
        <v>F</v>
      </c>
      <c r="AQ241" s="9">
        <v>330</v>
      </c>
      <c r="AR241" s="9" t="str">
        <f>IFERROR(MID(VLOOKUP($B241,Seqs!$A:$B,2,0),AS241,1),"")</f>
        <v>D</v>
      </c>
      <c r="AS241" s="9">
        <v>338</v>
      </c>
      <c r="AT241" s="9" t="str">
        <f>IFERROR(MID(VLOOKUP($B241,Seqs!$A:$B,2,0),AU241,1),"")</f>
        <v>L</v>
      </c>
      <c r="AU241" s="9">
        <v>367</v>
      </c>
      <c r="AV241" s="9" t="str">
        <f>IFERROR(MID(VLOOKUP($B241,Seqs!$A:$B,2,0),AW241,1),"")</f>
        <v>S</v>
      </c>
      <c r="AW241" s="9">
        <v>368</v>
      </c>
      <c r="AX241" s="9" t="str">
        <f>IFERROR(MID(VLOOKUP($B241,Seqs!$A:$B,2,0),AY241,1),"")</f>
        <v>C</v>
      </c>
      <c r="AY241" s="9">
        <v>383</v>
      </c>
      <c r="AZ241" s="110" t="str">
        <f>VLOOKUP(B241,Classification!A:D,2,0)</f>
        <v>A</v>
      </c>
      <c r="BA241" s="98" t="str">
        <f>VLOOKUP(B241,Classification!A:D,4,0)</f>
        <v>Orexin</v>
      </c>
      <c r="BB241" s="36" t="b">
        <f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109">
        <f>_xlfn.AGGREGATE(9,6,CH241:CS241)-_xlfn.AGGREGATE(9,6,BV241:CG241)+12</f>
        <v>255</v>
      </c>
      <c r="BD241" s="40" t="s">
        <v>23</v>
      </c>
      <c r="BE241" s="9" t="s">
        <v>1381</v>
      </c>
      <c r="BF241" s="120">
        <v>1.96</v>
      </c>
      <c r="BG241" s="51" t="s">
        <v>1</v>
      </c>
      <c r="BH241" s="51" t="s">
        <v>1</v>
      </c>
      <c r="BJ241" s="111" t="s">
        <v>1293</v>
      </c>
      <c r="BK241" s="112" t="s">
        <v>1293</v>
      </c>
      <c r="BL241" s="112" t="s">
        <v>1293</v>
      </c>
      <c r="BM241" s="112" t="s">
        <v>1293</v>
      </c>
      <c r="BN241" s="112" t="s">
        <v>1293</v>
      </c>
      <c r="BO241" s="112" t="s">
        <v>1293</v>
      </c>
      <c r="BP241" s="112" t="s">
        <v>1293</v>
      </c>
      <c r="BQ241" s="112" t="s">
        <v>1293</v>
      </c>
      <c r="BR241" s="112" t="s">
        <v>1293</v>
      </c>
      <c r="BS241" s="112" t="s">
        <v>1293</v>
      </c>
      <c r="BT241" s="112" t="s">
        <v>1293</v>
      </c>
      <c r="BU241" s="112" t="s">
        <v>1293</v>
      </c>
      <c r="BV241" s="111">
        <f>E241</f>
        <v>53</v>
      </c>
      <c r="BW241" s="113">
        <f>I241</f>
        <v>83</v>
      </c>
      <c r="BX241" s="114">
        <f>M241</f>
        <v>87</v>
      </c>
      <c r="BY241" s="113">
        <f>Q241</f>
        <v>119</v>
      </c>
      <c r="BZ241" s="114">
        <f>U241</f>
        <v>123</v>
      </c>
      <c r="CA241" s="113" t="str">
        <f>Y241</f>
        <v>-</v>
      </c>
      <c r="CB241" s="114">
        <f>AC241</f>
        <v>165</v>
      </c>
      <c r="CC241" s="113">
        <f>AG241</f>
        <v>210</v>
      </c>
      <c r="CD241" s="114">
        <f>AK241</f>
        <v>218</v>
      </c>
      <c r="CE241" s="113">
        <f>AO241</f>
        <v>294</v>
      </c>
      <c r="CF241" s="114">
        <f>AS241</f>
        <v>338</v>
      </c>
      <c r="CG241" s="113">
        <f>AW241</f>
        <v>368</v>
      </c>
      <c r="CH241" s="111">
        <f>G241</f>
        <v>82</v>
      </c>
      <c r="CI241" s="113">
        <f>K241</f>
        <v>86</v>
      </c>
      <c r="CJ241" s="114">
        <f>O241</f>
        <v>118</v>
      </c>
      <c r="CK241" s="114">
        <f>S241</f>
        <v>122</v>
      </c>
      <c r="CL241" s="114">
        <f>W241</f>
        <v>158</v>
      </c>
      <c r="CM241" s="114" t="str">
        <f>AA241</f>
        <v>-</v>
      </c>
      <c r="CN241" s="114">
        <f>AE241</f>
        <v>191</v>
      </c>
      <c r="CO241" s="114">
        <f>AI241</f>
        <v>212</v>
      </c>
      <c r="CP241" s="114">
        <f>AM241</f>
        <v>252</v>
      </c>
      <c r="CQ241" s="114">
        <f>AQ241</f>
        <v>330</v>
      </c>
      <c r="CR241" s="114">
        <f>AU241</f>
        <v>367</v>
      </c>
      <c r="CS241" s="114">
        <f>AY241</f>
        <v>383</v>
      </c>
      <c r="CT241" s="109">
        <f>M241-K241</f>
        <v>1</v>
      </c>
    </row>
    <row r="242" spans="1:1029" s="12" customFormat="1" x14ac:dyDescent="0.2">
      <c r="A242" s="9" t="str">
        <f>CONCATENATE(B242,"_",C242)</f>
        <v>ox2r_human_5WS3</v>
      </c>
      <c r="B242" s="9" t="s">
        <v>1176</v>
      </c>
      <c r="C242" s="9" t="s">
        <v>1460</v>
      </c>
      <c r="D242" s="9" t="str">
        <f>IFERROR(MID(VLOOKUP($B242,Seqs!$A:$B,2,0),E242,1),"")</f>
        <v>Y</v>
      </c>
      <c r="E242" s="9">
        <v>53</v>
      </c>
      <c r="F242" s="9" t="str">
        <f>IFERROR(MID(VLOOKUP($B242,Seqs!$A:$B,2,0),G242,1),"")</f>
        <v>N</v>
      </c>
      <c r="G242" s="9">
        <v>82</v>
      </c>
      <c r="H242" s="9" t="str">
        <f>IFERROR(MID(VLOOKUP($B242,Seqs!$A:$B,2,0),I242,1),"")</f>
        <v>H</v>
      </c>
      <c r="I242" s="109">
        <v>83</v>
      </c>
      <c r="J242" s="9" t="str">
        <f>IFERROR(MID(VLOOKUP($B242,Seqs!$A:$B,2,0),K242,1),"")</f>
        <v>R</v>
      </c>
      <c r="K242" s="109">
        <v>86</v>
      </c>
      <c r="L242" s="9" t="str">
        <f>IFERROR(MID(VLOOKUP($B242,Seqs!$A:$B,2,0),M242,1),"")</f>
        <v>T</v>
      </c>
      <c r="M242" s="9">
        <v>87</v>
      </c>
      <c r="N242" s="9" t="str">
        <f>IFERROR(MID(VLOOKUP($B242,Seqs!$A:$B,2,0),O242,1),"")</f>
        <v>E</v>
      </c>
      <c r="O242" s="9">
        <v>118</v>
      </c>
      <c r="P242" s="9" t="str">
        <f>IFERROR(MID(VLOOKUP($B242,Seqs!$A:$B,2,0),Q242,1),"")</f>
        <v>T</v>
      </c>
      <c r="Q242" s="9">
        <v>119</v>
      </c>
      <c r="R242" s="9" t="str">
        <f>IFERROR(MID(VLOOKUP($B242,Seqs!$A:$B,2,0),S242,1),"")</f>
        <v>F</v>
      </c>
      <c r="S242" s="9">
        <v>122</v>
      </c>
      <c r="T242" s="9" t="str">
        <f>IFERROR(MID(VLOOKUP($B242,Seqs!$A:$B,2,0),U242,1),"")</f>
        <v>G</v>
      </c>
      <c r="U242" s="9">
        <v>123</v>
      </c>
      <c r="V242" s="9" t="str">
        <f>IFERROR(MID(VLOOKUP($B242,Seqs!$A:$B,2,0),W242,1),"")</f>
        <v>H</v>
      </c>
      <c r="W242" s="9">
        <v>158</v>
      </c>
      <c r="X242" s="9" t="str">
        <f>IFERROR(MID(VLOOKUP($B242,Seqs!$A:$B,2,0),Y242,1),"")</f>
        <v/>
      </c>
      <c r="Y242" s="9" t="s">
        <v>23</v>
      </c>
      <c r="Z242" s="9" t="str">
        <f>IFERROR(MID(VLOOKUP($B242,Seqs!$A:$B,2,0),AA242,1),"")</f>
        <v/>
      </c>
      <c r="AA242" s="9" t="s">
        <v>23</v>
      </c>
      <c r="AB242" s="9" t="str">
        <f>IFERROR(MID(VLOOKUP($B242,Seqs!$A:$B,2,0),AC242,1),"")</f>
        <v>T</v>
      </c>
      <c r="AC242" s="9">
        <v>165</v>
      </c>
      <c r="AD242" s="9" t="str">
        <f>IFERROR(MID(VLOOKUP($B242,Seqs!$A:$B,2,0),AE242,1),"")</f>
        <v>M</v>
      </c>
      <c r="AE242" s="9">
        <v>191</v>
      </c>
      <c r="AF242" s="9" t="str">
        <f>IFERROR(MID(VLOOKUP($B242,Seqs!$A:$B,2,0),AG242,1),"")</f>
        <v>C</v>
      </c>
      <c r="AG242" s="9">
        <v>210</v>
      </c>
      <c r="AH242" s="9" t="str">
        <f>IFERROR(MID(VLOOKUP($B242,Seqs!$A:$B,2,0),AI242,1),"")</f>
        <v>E</v>
      </c>
      <c r="AI242" s="9">
        <v>212</v>
      </c>
      <c r="AJ242" s="9" t="str">
        <f>IFERROR(MID(VLOOKUP($B242,Seqs!$A:$B,2,0),AK242,1),"")</f>
        <v>I</v>
      </c>
      <c r="AK242" s="9">
        <v>218</v>
      </c>
      <c r="AL242" s="9" t="str">
        <f>IFERROR(MID(VLOOKUP($B242,Seqs!$A:$B,2,0),AM242,1),"")</f>
        <v>C</v>
      </c>
      <c r="AM242" s="9">
        <v>252</v>
      </c>
      <c r="AN242" s="9" t="str">
        <f>IFERROR(MID(VLOOKUP($B242,Seqs!$A:$B,2,0),AO242,1),"")</f>
        <v>K</v>
      </c>
      <c r="AO242" s="9">
        <v>294</v>
      </c>
      <c r="AP242" s="9" t="str">
        <f>IFERROR(MID(VLOOKUP($B242,Seqs!$A:$B,2,0),AQ242,1),"")</f>
        <v>F</v>
      </c>
      <c r="AQ242" s="9">
        <v>330</v>
      </c>
      <c r="AR242" s="9" t="str">
        <f>IFERROR(MID(VLOOKUP($B242,Seqs!$A:$B,2,0),AS242,1),"")</f>
        <v>D</v>
      </c>
      <c r="AS242" s="9">
        <v>338</v>
      </c>
      <c r="AT242" s="9" t="str">
        <f>IFERROR(MID(VLOOKUP($B242,Seqs!$A:$B,2,0),AU242,1),"")</f>
        <v>L</v>
      </c>
      <c r="AU242" s="9">
        <v>367</v>
      </c>
      <c r="AV242" s="9" t="str">
        <f>IFERROR(MID(VLOOKUP($B242,Seqs!$A:$B,2,0),AW242,1),"")</f>
        <v>S</v>
      </c>
      <c r="AW242" s="9">
        <v>368</v>
      </c>
      <c r="AX242" s="9" t="str">
        <f>IFERROR(MID(VLOOKUP($B242,Seqs!$A:$B,2,0),AY242,1),"")</f>
        <v>C</v>
      </c>
      <c r="AY242" s="9">
        <v>383</v>
      </c>
      <c r="AZ242" s="110" t="str">
        <f>VLOOKUP(B242,Classification!A:D,2,0)</f>
        <v>A</v>
      </c>
      <c r="BA242" s="98" t="str">
        <f>VLOOKUP(B242,Classification!A:D,4,0)</f>
        <v>Orexin</v>
      </c>
      <c r="BB242" s="36" t="b">
        <f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109">
        <f>_xlfn.AGGREGATE(9,6,CH242:CS242)-_xlfn.AGGREGATE(9,6,BV242:CG242)+12</f>
        <v>255</v>
      </c>
      <c r="BD242" s="40" t="s">
        <v>1383</v>
      </c>
      <c r="BE242" s="9" t="s">
        <v>1381</v>
      </c>
      <c r="BF242" s="120">
        <v>2.2999999999999998</v>
      </c>
      <c r="BG242" s="51" t="s">
        <v>1</v>
      </c>
      <c r="BH242" s="51" t="s">
        <v>1</v>
      </c>
      <c r="BJ242" s="111" t="s">
        <v>1293</v>
      </c>
      <c r="BK242" s="112" t="s">
        <v>1293</v>
      </c>
      <c r="BL242" s="112" t="s">
        <v>1293</v>
      </c>
      <c r="BM242" s="112" t="s">
        <v>1293</v>
      </c>
      <c r="BN242" s="112" t="s">
        <v>1293</v>
      </c>
      <c r="BO242" s="112" t="s">
        <v>1293</v>
      </c>
      <c r="BP242" s="112" t="s">
        <v>1293</v>
      </c>
      <c r="BQ242" s="112" t="s">
        <v>1293</v>
      </c>
      <c r="BR242" s="112" t="s">
        <v>1293</v>
      </c>
      <c r="BS242" s="112" t="s">
        <v>1293</v>
      </c>
      <c r="BT242" s="112" t="s">
        <v>1293</v>
      </c>
      <c r="BU242" s="112" t="s">
        <v>1293</v>
      </c>
      <c r="BV242" s="111">
        <f>E242</f>
        <v>53</v>
      </c>
      <c r="BW242" s="113">
        <f>I242</f>
        <v>83</v>
      </c>
      <c r="BX242" s="114">
        <f>M242</f>
        <v>87</v>
      </c>
      <c r="BY242" s="113">
        <f>Q242</f>
        <v>119</v>
      </c>
      <c r="BZ242" s="114">
        <f>U242</f>
        <v>123</v>
      </c>
      <c r="CA242" s="113" t="str">
        <f>Y242</f>
        <v>-</v>
      </c>
      <c r="CB242" s="114">
        <f>AC242</f>
        <v>165</v>
      </c>
      <c r="CC242" s="113">
        <f>AG242</f>
        <v>210</v>
      </c>
      <c r="CD242" s="114">
        <f>AK242</f>
        <v>218</v>
      </c>
      <c r="CE242" s="113">
        <f>AO242</f>
        <v>294</v>
      </c>
      <c r="CF242" s="114">
        <f>AS242</f>
        <v>338</v>
      </c>
      <c r="CG242" s="113">
        <f>AW242</f>
        <v>368</v>
      </c>
      <c r="CH242" s="111">
        <f>G242</f>
        <v>82</v>
      </c>
      <c r="CI242" s="113">
        <f>K242</f>
        <v>86</v>
      </c>
      <c r="CJ242" s="114">
        <f>O242</f>
        <v>118</v>
      </c>
      <c r="CK242" s="114">
        <f>S242</f>
        <v>122</v>
      </c>
      <c r="CL242" s="114">
        <f>W242</f>
        <v>158</v>
      </c>
      <c r="CM242" s="114" t="str">
        <f>AA242</f>
        <v>-</v>
      </c>
      <c r="CN242" s="114">
        <f>AE242</f>
        <v>191</v>
      </c>
      <c r="CO242" s="114">
        <f>AI242</f>
        <v>212</v>
      </c>
      <c r="CP242" s="114">
        <f>AM242</f>
        <v>252</v>
      </c>
      <c r="CQ242" s="114">
        <f>AQ242</f>
        <v>330</v>
      </c>
      <c r="CR242" s="114">
        <f>AU242</f>
        <v>367</v>
      </c>
      <c r="CS242" s="114">
        <f>AY242</f>
        <v>383</v>
      </c>
      <c r="CT242" s="109">
        <f>M242-K242</f>
        <v>1</v>
      </c>
    </row>
    <row r="243" spans="1:1029" x14ac:dyDescent="0.2">
      <c r="A243" s="3" t="str">
        <f t="shared" si="753"/>
        <v>p2ry1_human__wt</v>
      </c>
      <c r="B243" s="3" t="s">
        <v>345</v>
      </c>
      <c r="C243" s="3" t="s">
        <v>100</v>
      </c>
      <c r="D243" s="3" t="str">
        <f>IFERROR(MID(VLOOKUP($B243,Seqs!$A:$B,2,0),E243,1),"")</f>
        <v>F</v>
      </c>
      <c r="E243" s="3">
        <v>49</v>
      </c>
      <c r="F243" s="3" t="str">
        <f>IFERROR(MID(VLOOKUP($B243,Seqs!$A:$B,2,0),G243,1),"")</f>
        <v>H</v>
      </c>
      <c r="G243" s="3">
        <v>79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S</v>
      </c>
      <c r="M243" s="3">
        <v>84</v>
      </c>
      <c r="N243" s="3" t="str">
        <f>IFERROR(MID(VLOOKUP($B243,Seqs!$A:$B,2,0),O243,1),"")</f>
        <v>N</v>
      </c>
      <c r="O243" s="3">
        <v>113</v>
      </c>
      <c r="P243" s="3" t="str">
        <f>IFERROR(MID(VLOOKUP($B243,Seqs!$A:$B,2,0),Q243,1),"")</f>
        <v>D</v>
      </c>
      <c r="Q243" s="3">
        <v>116</v>
      </c>
      <c r="R243" s="3" t="str">
        <f>IFERROR(MID(VLOOKUP($B243,Seqs!$A:$B,2,0),S243,1),"")</f>
        <v>F</v>
      </c>
      <c r="S243" s="3">
        <v>119</v>
      </c>
      <c r="T243" s="3" t="str">
        <f>IFERROR(MID(VLOOKUP($B243,Seqs!$A:$B,2,0),U243,1),"")</f>
        <v>G</v>
      </c>
      <c r="U243" s="3">
        <v>120</v>
      </c>
      <c r="V243" s="3" t="str">
        <f>IFERROR(MID(VLOOKUP($B243,Seqs!$A:$B,2,0),W243,1),"")</f>
        <v>Y</v>
      </c>
      <c r="W243" s="3">
        <v>155</v>
      </c>
      <c r="X243" s="3" t="str">
        <f>IFERROR(MID(VLOOKUP($B243,Seqs!$A:$B,2,0),Y243,1),"")</f>
        <v>P</v>
      </c>
      <c r="Y243" s="3">
        <v>156</v>
      </c>
      <c r="Z243" s="3" t="str">
        <f>IFERROR(MID(VLOOKUP($B243,Seqs!$A:$B,2,0),AA243,1),"")</f>
        <v>L</v>
      </c>
      <c r="AA243" s="3">
        <v>163</v>
      </c>
      <c r="AB243" s="3" t="str">
        <f>IFERROR(MID(VLOOKUP($B243,Seqs!$A:$B,2,0),AC243,1),"")</f>
        <v>K</v>
      </c>
      <c r="AC243" s="9">
        <v>164</v>
      </c>
      <c r="AD243" s="3" t="str">
        <f>IFERROR(MID(VLOOKUP($B243,Seqs!$A:$B,2,0),AE243,1),"")</f>
        <v>S</v>
      </c>
      <c r="AE243" s="3">
        <v>190</v>
      </c>
      <c r="AF243" s="3" t="str">
        <f>IFERROR(MID(VLOOKUP($B243,Seqs!$A:$B,2,0),AG243,1),"")</f>
        <v>C</v>
      </c>
      <c r="AG243" s="3">
        <v>202</v>
      </c>
      <c r="AH243" s="3" t="str">
        <f>IFERROR(MID(VLOOKUP($B243,Seqs!$A:$B,2,0),AI243,1),"")</f>
        <v>D</v>
      </c>
      <c r="AI243" s="3">
        <v>204</v>
      </c>
      <c r="AJ243" s="3" t="str">
        <f>IFERROR(MID(VLOOKUP($B243,Seqs!$A:$B,2,0),AK243,1),"")</f>
        <v>L</v>
      </c>
      <c r="AK243" s="3">
        <v>211</v>
      </c>
      <c r="AL243" s="3" t="str">
        <f>IFERROR(MID(VLOOKUP($B243,Seqs!$A:$B,2,0),AM243,1),"")</f>
        <v>K</v>
      </c>
      <c r="AM243" s="3">
        <v>247</v>
      </c>
      <c r="AN243" s="3" t="str">
        <f>IFERROR(MID(VLOOKUP($B243,Seqs!$A:$B,2,0),AO243,1),"")</f>
        <v>P</v>
      </c>
      <c r="AO243" s="3">
        <v>253</v>
      </c>
      <c r="AP243" s="3" t="str">
        <f>IFERROR(MID(VLOOKUP($B243,Seqs!$A:$B,2,0),AQ243,1),"")</f>
        <v>D</v>
      </c>
      <c r="AQ243" s="3">
        <v>289</v>
      </c>
      <c r="AR243" s="3" t="str">
        <f>IFERROR(MID(VLOOKUP($B243,Seqs!$A:$B,2,0),AS243,1),"")</f>
        <v>M</v>
      </c>
      <c r="AS243" s="3">
        <v>295</v>
      </c>
      <c r="AT243" s="3" t="str">
        <f>IFERROR(MID(VLOOKUP($B243,Seqs!$A:$B,2,0),AU243,1),"")</f>
        <v>A</v>
      </c>
      <c r="AU243" s="3">
        <v>327</v>
      </c>
      <c r="AV243" s="3" t="str">
        <f>IFERROR(MID(VLOOKUP($B243,Seqs!$A:$B,2,0),AW243,1),"")</f>
        <v>G</v>
      </c>
      <c r="AW243" s="3">
        <v>328</v>
      </c>
      <c r="AX243" s="3" t="str">
        <f>IFERROR(MID(VLOOKUP($B243,Seqs!$A:$B,2,0),AY243,1),"")</f>
        <v>R</v>
      </c>
      <c r="AY243" s="3">
        <v>340</v>
      </c>
      <c r="AZ243" s="77" t="str">
        <f>VLOOKUP(B243,Classification!A:D,2,0)</f>
        <v>A</v>
      </c>
      <c r="BA243" s="94" t="str">
        <f>VLOOKUP(B243,Classification!A:D,4,0)</f>
        <v>P2Y</v>
      </c>
      <c r="BB243" s="27" t="b">
        <f t="shared" si="754"/>
        <v>1</v>
      </c>
      <c r="BC243" s="23">
        <f t="shared" si="727"/>
        <v>260</v>
      </c>
      <c r="BD243" s="56" t="s">
        <v>1379</v>
      </c>
      <c r="BE243" s="3" t="s">
        <v>23</v>
      </c>
      <c r="BF243" s="119" t="s">
        <v>23</v>
      </c>
      <c r="BG243" s="49" t="s">
        <v>1379</v>
      </c>
      <c r="BH243" s="49" t="s">
        <v>1384</v>
      </c>
      <c r="BI243" s="1"/>
      <c r="BJ243" s="70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0">
        <f t="shared" si="728"/>
        <v>49</v>
      </c>
      <c r="BW243" s="71" t="str">
        <f t="shared" si="729"/>
        <v>-</v>
      </c>
      <c r="BX243" s="72">
        <f t="shared" si="730"/>
        <v>84</v>
      </c>
      <c r="BY243" s="71">
        <f t="shared" si="731"/>
        <v>116</v>
      </c>
      <c r="BZ243" s="72">
        <f t="shared" si="732"/>
        <v>120</v>
      </c>
      <c r="CA243" s="71">
        <f t="shared" si="733"/>
        <v>156</v>
      </c>
      <c r="CB243" s="72">
        <f t="shared" si="734"/>
        <v>164</v>
      </c>
      <c r="CC243" s="71">
        <f t="shared" si="735"/>
        <v>202</v>
      </c>
      <c r="CD243" s="72">
        <f t="shared" si="736"/>
        <v>211</v>
      </c>
      <c r="CE243" s="71">
        <f t="shared" si="737"/>
        <v>253</v>
      </c>
      <c r="CF243" s="72">
        <f t="shared" si="738"/>
        <v>295</v>
      </c>
      <c r="CG243" s="71">
        <f t="shared" si="739"/>
        <v>328</v>
      </c>
      <c r="CH243" s="70">
        <f t="shared" si="740"/>
        <v>79</v>
      </c>
      <c r="CI243" s="71" t="str">
        <f t="shared" si="741"/>
        <v>-</v>
      </c>
      <c r="CJ243" s="72">
        <f t="shared" si="742"/>
        <v>113</v>
      </c>
      <c r="CK243" s="72">
        <f t="shared" si="743"/>
        <v>119</v>
      </c>
      <c r="CL243" s="72">
        <f t="shared" si="744"/>
        <v>155</v>
      </c>
      <c r="CM243" s="72">
        <f t="shared" si="745"/>
        <v>163</v>
      </c>
      <c r="CN243" s="72">
        <f t="shared" si="746"/>
        <v>190</v>
      </c>
      <c r="CO243" s="72">
        <f t="shared" si="747"/>
        <v>204</v>
      </c>
      <c r="CP243" s="72">
        <f t="shared" si="748"/>
        <v>247</v>
      </c>
      <c r="CQ243" s="72">
        <f t="shared" si="749"/>
        <v>289</v>
      </c>
      <c r="CR243" s="72">
        <f t="shared" si="750"/>
        <v>327</v>
      </c>
      <c r="CS243" s="72">
        <f t="shared" si="751"/>
        <v>340</v>
      </c>
      <c r="CT243" s="23" t="e">
        <f t="shared" si="752"/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 t="shared" si="753"/>
        <v>p2ry1_human_4XNV</v>
      </c>
      <c r="B244" s="3" t="s">
        <v>345</v>
      </c>
      <c r="C244" s="3" t="s">
        <v>1152</v>
      </c>
      <c r="D244" s="3" t="str">
        <f>IFERROR(MID(VLOOKUP($B244,Seqs!$A:$B,2,0),E244,1),"")</f>
        <v>F</v>
      </c>
      <c r="E244" s="3">
        <v>49</v>
      </c>
      <c r="F244" s="3" t="str">
        <f>IFERROR(MID(VLOOKUP($B244,Seqs!$A:$B,2,0),G244,1),"")</f>
        <v>H</v>
      </c>
      <c r="G244" s="3">
        <v>79</v>
      </c>
      <c r="H244" s="3" t="str">
        <f>IFERROR(MID(VLOOKUP($B244,Seqs!$A:$B,2,0),I244,1),"")</f>
        <v/>
      </c>
      <c r="I244" s="23" t="s">
        <v>23</v>
      </c>
      <c r="J244" s="3" t="str">
        <f>IFERROR(MID(VLOOKUP($B244,Seqs!$A:$B,2,0),K244,1),"")</f>
        <v/>
      </c>
      <c r="K244" s="23" t="s">
        <v>23</v>
      </c>
      <c r="L244" s="3" t="str">
        <f>IFERROR(MID(VLOOKUP($B244,Seqs!$A:$B,2,0),M244,1),"")</f>
        <v>S</v>
      </c>
      <c r="M244" s="3">
        <v>84</v>
      </c>
      <c r="N244" s="3" t="str">
        <f>IFERROR(MID(VLOOKUP($B244,Seqs!$A:$B,2,0),O244,1),"")</f>
        <v>N</v>
      </c>
      <c r="O244" s="3">
        <v>113</v>
      </c>
      <c r="P244" s="3" t="str">
        <f>IFERROR(MID(VLOOKUP($B244,Seqs!$A:$B,2,0),Q244,1),"")</f>
        <v>D</v>
      </c>
      <c r="Q244" s="3">
        <v>116</v>
      </c>
      <c r="R244" s="3" t="str">
        <f>IFERROR(MID(VLOOKUP($B244,Seqs!$A:$B,2,0),S244,1),"")</f>
        <v>F</v>
      </c>
      <c r="S244" s="3">
        <v>119</v>
      </c>
      <c r="T244" s="3" t="str">
        <f>IFERROR(MID(VLOOKUP($B244,Seqs!$A:$B,2,0),U244,1),"")</f>
        <v>G</v>
      </c>
      <c r="U244" s="3">
        <v>120</v>
      </c>
      <c r="V244" s="3" t="str">
        <f>IFERROR(MID(VLOOKUP($B244,Seqs!$A:$B,2,0),W244,1),"")</f>
        <v>Y</v>
      </c>
      <c r="W244" s="3">
        <v>155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G</v>
      </c>
      <c r="AC244" s="9">
        <v>161</v>
      </c>
      <c r="AD244" s="3" t="str">
        <f>IFERROR(MID(VLOOKUP($B244,Seqs!$A:$B,2,0),AE244,1),"")</f>
        <v>S</v>
      </c>
      <c r="AE244" s="3">
        <v>190</v>
      </c>
      <c r="AF244" s="3" t="str">
        <f>IFERROR(MID(VLOOKUP($B244,Seqs!$A:$B,2,0),AG244,1),"")</f>
        <v>C</v>
      </c>
      <c r="AG244" s="3">
        <v>202</v>
      </c>
      <c r="AH244" s="3" t="str">
        <f>IFERROR(MID(VLOOKUP($B244,Seqs!$A:$B,2,0),AI244,1),"")</f>
        <v>D</v>
      </c>
      <c r="AI244" s="3">
        <v>204</v>
      </c>
      <c r="AJ244" s="3" t="str">
        <f>IFERROR(MID(VLOOKUP($B244,Seqs!$A:$B,2,0),AK244,1),"")</f>
        <v>L</v>
      </c>
      <c r="AK244" s="3">
        <v>211</v>
      </c>
      <c r="AL244" s="3" t="str">
        <f>IFERROR(MID(VLOOKUP($B244,Seqs!$A:$B,2,0),AM244,1),"")</f>
        <v>K</v>
      </c>
      <c r="AM244" s="3">
        <v>247</v>
      </c>
      <c r="AN244" s="3" t="str">
        <f>IFERROR(MID(VLOOKUP($B244,Seqs!$A:$B,2,0),AO244,1),"")</f>
        <v>P</v>
      </c>
      <c r="AO244" s="3">
        <v>253</v>
      </c>
      <c r="AP244" s="3" t="str">
        <f>IFERROR(MID(VLOOKUP($B244,Seqs!$A:$B,2,0),AQ244,1),"")</f>
        <v>D</v>
      </c>
      <c r="AQ244" s="3">
        <v>289</v>
      </c>
      <c r="AR244" s="3" t="str">
        <f>IFERROR(MID(VLOOKUP($B244,Seqs!$A:$B,2,0),AS244,1),"")</f>
        <v>M</v>
      </c>
      <c r="AS244" s="3">
        <v>295</v>
      </c>
      <c r="AT244" s="3" t="str">
        <f>IFERROR(MID(VLOOKUP($B244,Seqs!$A:$B,2,0),AU244,1),"")</f>
        <v>L</v>
      </c>
      <c r="AU244" s="3">
        <v>326</v>
      </c>
      <c r="AV244" s="3" t="str">
        <f>IFERROR(MID(VLOOKUP($B244,Seqs!$A:$B,2,0),AW244,1),"")</f>
        <v/>
      </c>
      <c r="AW244" s="3" t="s">
        <v>23</v>
      </c>
      <c r="AX244" s="3" t="str">
        <f>IFERROR(MID(VLOOKUP($B244,Seqs!$A:$B,2,0),AY244,1),"")</f>
        <v/>
      </c>
      <c r="AY244" s="3" t="s">
        <v>23</v>
      </c>
      <c r="AZ244" s="77" t="str">
        <f>VLOOKUP(B244,Classification!A:D,2,0)</f>
        <v>A</v>
      </c>
      <c r="BA244" s="94" t="str">
        <f>VLOOKUP(B244,Classification!A:D,4,0)</f>
        <v>P2Y</v>
      </c>
      <c r="BB244" s="27" t="b">
        <f t="shared" si="754"/>
        <v>1</v>
      </c>
      <c r="BC244" s="23">
        <f t="shared" si="727"/>
        <v>243</v>
      </c>
      <c r="BD244" s="4" t="s">
        <v>23</v>
      </c>
      <c r="BE244" s="3" t="s">
        <v>1439</v>
      </c>
      <c r="BF244" s="119">
        <v>2.2000000000000002</v>
      </c>
      <c r="BG244" s="49" t="s">
        <v>1384</v>
      </c>
      <c r="BH244" s="49" t="s">
        <v>1384</v>
      </c>
      <c r="BI244" s="3" t="s">
        <v>1169</v>
      </c>
      <c r="BJ244" s="70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0">
        <f t="shared" si="728"/>
        <v>49</v>
      </c>
      <c r="BW244" s="71" t="str">
        <f t="shared" si="729"/>
        <v>-</v>
      </c>
      <c r="BX244" s="72">
        <f t="shared" si="730"/>
        <v>84</v>
      </c>
      <c r="BY244" s="71">
        <f t="shared" si="731"/>
        <v>116</v>
      </c>
      <c r="BZ244" s="72">
        <f t="shared" si="732"/>
        <v>120</v>
      </c>
      <c r="CA244" s="71" t="str">
        <f t="shared" si="733"/>
        <v>-</v>
      </c>
      <c r="CB244" s="72">
        <f t="shared" si="734"/>
        <v>161</v>
      </c>
      <c r="CC244" s="71">
        <f t="shared" si="735"/>
        <v>202</v>
      </c>
      <c r="CD244" s="72">
        <f t="shared" si="736"/>
        <v>211</v>
      </c>
      <c r="CE244" s="71">
        <f t="shared" si="737"/>
        <v>253</v>
      </c>
      <c r="CF244" s="72">
        <f t="shared" si="738"/>
        <v>295</v>
      </c>
      <c r="CG244" s="71" t="str">
        <f t="shared" si="739"/>
        <v>-</v>
      </c>
      <c r="CH244" s="70">
        <f t="shared" si="740"/>
        <v>79</v>
      </c>
      <c r="CI244" s="71" t="str">
        <f t="shared" si="741"/>
        <v>-</v>
      </c>
      <c r="CJ244" s="72">
        <f t="shared" si="742"/>
        <v>113</v>
      </c>
      <c r="CK244" s="72">
        <f t="shared" si="743"/>
        <v>119</v>
      </c>
      <c r="CL244" s="72">
        <f t="shared" si="744"/>
        <v>155</v>
      </c>
      <c r="CM244" s="72" t="str">
        <f t="shared" si="745"/>
        <v>-</v>
      </c>
      <c r="CN244" s="72">
        <f t="shared" si="746"/>
        <v>190</v>
      </c>
      <c r="CO244" s="72">
        <f t="shared" si="747"/>
        <v>204</v>
      </c>
      <c r="CP244" s="72">
        <f t="shared" si="748"/>
        <v>247</v>
      </c>
      <c r="CQ244" s="72">
        <f t="shared" si="749"/>
        <v>289</v>
      </c>
      <c r="CR244" s="72">
        <f t="shared" si="750"/>
        <v>326</v>
      </c>
      <c r="CS244" s="72" t="str">
        <f t="shared" si="751"/>
        <v>-</v>
      </c>
      <c r="CT244" s="23" t="e">
        <f t="shared" si="752"/>
        <v>#VALUE!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 t="shared" si="753"/>
        <v>p2ry1_human_4XNW</v>
      </c>
      <c r="B245" s="3" t="s">
        <v>345</v>
      </c>
      <c r="C245" s="3" t="s">
        <v>1056</v>
      </c>
      <c r="D245" s="3" t="str">
        <f>IFERROR(MID(VLOOKUP($B245,Seqs!$A:$B,2,0),E245,1),"")</f>
        <v>F</v>
      </c>
      <c r="E245" s="3">
        <v>49</v>
      </c>
      <c r="F245" s="3" t="str">
        <f>IFERROR(MID(VLOOKUP($B245,Seqs!$A:$B,2,0),G245,1),"")</f>
        <v>H</v>
      </c>
      <c r="G245" s="3">
        <v>79</v>
      </c>
      <c r="H245" s="3" t="str">
        <f>IFERROR(MID(VLOOKUP($B245,Seqs!$A:$B,2,0),I245,1),"")</f>
        <v/>
      </c>
      <c r="I245" s="23" t="s">
        <v>23</v>
      </c>
      <c r="J245" s="3" t="str">
        <f>IFERROR(MID(VLOOKUP($B245,Seqs!$A:$B,2,0),K245,1),"")</f>
        <v/>
      </c>
      <c r="K245" s="23" t="s">
        <v>23</v>
      </c>
      <c r="L245" s="3" t="str">
        <f>IFERROR(MID(VLOOKUP($B245,Seqs!$A:$B,2,0),M245,1),"")</f>
        <v>S</v>
      </c>
      <c r="M245" s="3">
        <v>84</v>
      </c>
      <c r="N245" s="3" t="str">
        <f>IFERROR(MID(VLOOKUP($B245,Seqs!$A:$B,2,0),O245,1),"")</f>
        <v>N</v>
      </c>
      <c r="O245" s="3">
        <v>113</v>
      </c>
      <c r="P245" s="3" t="str">
        <f>IFERROR(MID(VLOOKUP($B245,Seqs!$A:$B,2,0),Q245,1),"")</f>
        <v>D</v>
      </c>
      <c r="Q245" s="3">
        <v>116</v>
      </c>
      <c r="R245" s="3" t="str">
        <f>IFERROR(MID(VLOOKUP($B245,Seqs!$A:$B,2,0),S245,1),"")</f>
        <v>F</v>
      </c>
      <c r="S245" s="3">
        <v>119</v>
      </c>
      <c r="T245" s="3" t="str">
        <f>IFERROR(MID(VLOOKUP($B245,Seqs!$A:$B,2,0),U245,1),"")</f>
        <v>G</v>
      </c>
      <c r="U245" s="3">
        <v>120</v>
      </c>
      <c r="V245" s="3" t="str">
        <f>IFERROR(MID(VLOOKUP($B245,Seqs!$A:$B,2,0),W245,1),"")</f>
        <v>Y</v>
      </c>
      <c r="W245" s="3">
        <v>155</v>
      </c>
      <c r="X245" s="3" t="str">
        <f>IFERROR(MID(VLOOKUP($B245,Seqs!$A:$B,2,0),Y245,1),"")</f>
        <v>P</v>
      </c>
      <c r="Y245" s="3">
        <v>156</v>
      </c>
      <c r="Z245" s="3" t="str">
        <f>IFERROR(MID(VLOOKUP($B245,Seqs!$A:$B,2,0),AA245,1),"")</f>
        <v>L</v>
      </c>
      <c r="AA245" s="3">
        <v>163</v>
      </c>
      <c r="AB245" s="3" t="str">
        <f>IFERROR(MID(VLOOKUP($B245,Seqs!$A:$B,2,0),AC245,1),"")</f>
        <v>K</v>
      </c>
      <c r="AC245" s="9">
        <v>164</v>
      </c>
      <c r="AD245" s="3" t="str">
        <f>IFERROR(MID(VLOOKUP($B245,Seqs!$A:$B,2,0),AE245,1),"")</f>
        <v>S</v>
      </c>
      <c r="AE245" s="3">
        <v>190</v>
      </c>
      <c r="AF245" s="3" t="str">
        <f>IFERROR(MID(VLOOKUP($B245,Seqs!$A:$B,2,0),AG245,1),"")</f>
        <v>C</v>
      </c>
      <c r="AG245" s="3">
        <v>202</v>
      </c>
      <c r="AH245" s="3" t="str">
        <f>IFERROR(MID(VLOOKUP($B245,Seqs!$A:$B,2,0),AI245,1),"")</f>
        <v>D</v>
      </c>
      <c r="AI245" s="3">
        <v>204</v>
      </c>
      <c r="AJ245" s="3" t="str">
        <f>IFERROR(MID(VLOOKUP($B245,Seqs!$A:$B,2,0),AK245,1),"")</f>
        <v>L</v>
      </c>
      <c r="AK245" s="3">
        <v>211</v>
      </c>
      <c r="AL245" s="3" t="str">
        <f>IFERROR(MID(VLOOKUP($B245,Seqs!$A:$B,2,0),AM245,1),"")</f>
        <v>K</v>
      </c>
      <c r="AM245" s="3">
        <v>247</v>
      </c>
      <c r="AN245" s="3" t="str">
        <f>IFERROR(MID(VLOOKUP($B245,Seqs!$A:$B,2,0),AO245,1),"")</f>
        <v>P</v>
      </c>
      <c r="AO245" s="3">
        <v>253</v>
      </c>
      <c r="AP245" s="3" t="str">
        <f>IFERROR(MID(VLOOKUP($B245,Seqs!$A:$B,2,0),AQ245,1),"")</f>
        <v>D</v>
      </c>
      <c r="AQ245" s="3">
        <v>289</v>
      </c>
      <c r="AR245" s="3" t="str">
        <f>IFERROR(MID(VLOOKUP($B245,Seqs!$A:$B,2,0),AS245,1),"")</f>
        <v>M</v>
      </c>
      <c r="AS245" s="3">
        <v>295</v>
      </c>
      <c r="AT245" s="3" t="str">
        <f>IFERROR(MID(VLOOKUP($B245,Seqs!$A:$B,2,0),AU245,1),"")</f>
        <v>L</v>
      </c>
      <c r="AU245" s="3">
        <v>326</v>
      </c>
      <c r="AV245" s="3" t="str">
        <f>IFERROR(MID(VLOOKUP($B245,Seqs!$A:$B,2,0),AW245,1),"")</f>
        <v/>
      </c>
      <c r="AW245" s="3" t="s">
        <v>23</v>
      </c>
      <c r="AX245" s="3" t="str">
        <f>IFERROR(MID(VLOOKUP($B245,Seqs!$A:$B,2,0),AY245,1),"")</f>
        <v/>
      </c>
      <c r="AY245" s="3" t="s">
        <v>23</v>
      </c>
      <c r="AZ245" s="77" t="str">
        <f>VLOOKUP(B245,Classification!A:D,2,0)</f>
        <v>A</v>
      </c>
      <c r="BA245" s="94" t="str">
        <f>VLOOKUP(B245,Classification!A:D,4,0)</f>
        <v>P2Y</v>
      </c>
      <c r="BB245" s="27" t="b">
        <f t="shared" si="754"/>
        <v>1</v>
      </c>
      <c r="BC245" s="23">
        <f t="shared" si="727"/>
        <v>247</v>
      </c>
      <c r="BD245" s="2" t="s">
        <v>1440</v>
      </c>
      <c r="BE245" s="3" t="s">
        <v>1439</v>
      </c>
      <c r="BF245" s="119">
        <v>2.7</v>
      </c>
      <c r="BG245" s="49" t="s">
        <v>1384</v>
      </c>
      <c r="BH245" s="49" t="s">
        <v>1384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 t="shared" si="728"/>
        <v>49</v>
      </c>
      <c r="BW245" s="71" t="str">
        <f t="shared" si="729"/>
        <v>-</v>
      </c>
      <c r="BX245" s="72">
        <f t="shared" si="730"/>
        <v>84</v>
      </c>
      <c r="BY245" s="71">
        <f t="shared" si="731"/>
        <v>116</v>
      </c>
      <c r="BZ245" s="72">
        <f t="shared" si="732"/>
        <v>120</v>
      </c>
      <c r="CA245" s="71">
        <f t="shared" si="733"/>
        <v>156</v>
      </c>
      <c r="CB245" s="72">
        <f t="shared" si="734"/>
        <v>164</v>
      </c>
      <c r="CC245" s="71">
        <f t="shared" si="735"/>
        <v>202</v>
      </c>
      <c r="CD245" s="72">
        <f t="shared" si="736"/>
        <v>211</v>
      </c>
      <c r="CE245" s="71">
        <f t="shared" si="737"/>
        <v>253</v>
      </c>
      <c r="CF245" s="72">
        <f t="shared" si="738"/>
        <v>295</v>
      </c>
      <c r="CG245" s="71" t="str">
        <f t="shared" si="739"/>
        <v>-</v>
      </c>
      <c r="CH245" s="70">
        <f t="shared" si="740"/>
        <v>79</v>
      </c>
      <c r="CI245" s="71" t="str">
        <f t="shared" si="741"/>
        <v>-</v>
      </c>
      <c r="CJ245" s="72">
        <f t="shared" si="742"/>
        <v>113</v>
      </c>
      <c r="CK245" s="72">
        <f t="shared" si="743"/>
        <v>119</v>
      </c>
      <c r="CL245" s="72">
        <f t="shared" si="744"/>
        <v>155</v>
      </c>
      <c r="CM245" s="72">
        <f t="shared" si="745"/>
        <v>163</v>
      </c>
      <c r="CN245" s="72">
        <f t="shared" si="746"/>
        <v>190</v>
      </c>
      <c r="CO245" s="72">
        <f t="shared" si="747"/>
        <v>204</v>
      </c>
      <c r="CP245" s="72">
        <f t="shared" si="748"/>
        <v>247</v>
      </c>
      <c r="CQ245" s="72">
        <f t="shared" si="749"/>
        <v>289</v>
      </c>
      <c r="CR245" s="72">
        <f t="shared" si="750"/>
        <v>326</v>
      </c>
      <c r="CS245" s="72" t="str">
        <f t="shared" si="751"/>
        <v>-</v>
      </c>
      <c r="CT245" s="23" t="e">
        <f t="shared" si="752"/>
        <v>#VALUE!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29" x14ac:dyDescent="0.2">
      <c r="A246" s="3" t="str">
        <f t="shared" si="753"/>
        <v>p2y12_human__wt</v>
      </c>
      <c r="B246" s="3" t="s">
        <v>352</v>
      </c>
      <c r="C246" s="3" t="s">
        <v>100</v>
      </c>
      <c r="D246" s="3" t="str">
        <f>IFERROR(MID(VLOOKUP($B246,Seqs!$A:$B,2,0),E246,1),"")</f>
        <v>Y</v>
      </c>
      <c r="E246" s="3">
        <v>21</v>
      </c>
      <c r="F246" s="3" t="str">
        <f>IFERROR(MID(VLOOKUP($B246,Seqs!$A:$B,2,0),G246,1),"")</f>
        <v>I</v>
      </c>
      <c r="G246" s="3">
        <v>53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S</v>
      </c>
      <c r="M246" s="3">
        <v>57</v>
      </c>
      <c r="N246" s="3" t="str">
        <f>IFERROR(MID(VLOOKUP($B246,Seqs!$A:$B,2,0),O246,1),"")</f>
        <v>K</v>
      </c>
      <c r="O246" s="3">
        <v>86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G</v>
      </c>
      <c r="U246" s="3">
        <v>90</v>
      </c>
      <c r="V246" s="3" t="str">
        <f>IFERROR(MID(VLOOKUP($B246,Seqs!$A:$B,2,0),W246,1),"")</f>
        <v>R</v>
      </c>
      <c r="W246" s="3">
        <v>128</v>
      </c>
      <c r="X246" s="3" t="str">
        <f>IFERROR(MID(VLOOKUP($B246,Seqs!$A:$B,2,0),Y246,1),"")</f>
        <v>P</v>
      </c>
      <c r="Y246" s="3">
        <v>129</v>
      </c>
      <c r="Z246" s="3" t="str">
        <f>IFERROR(MID(VLOOKUP($B246,Seqs!$A:$B,2,0),AA246,1),"")</f>
        <v>K</v>
      </c>
      <c r="AA246" s="73">
        <v>136</v>
      </c>
      <c r="AB246" s="3" t="str">
        <f>IFERROR(MID(VLOOKUP($B246,Seqs!$A:$B,2,0),AC246,1),"")</f>
        <v>N</v>
      </c>
      <c r="AC246" s="9">
        <v>137</v>
      </c>
      <c r="AD246" s="3" t="str">
        <f>IFERROR(MID(VLOOKUP($B246,Seqs!$A:$B,2,0),AE246,1),"")</f>
        <v>T</v>
      </c>
      <c r="AE246" s="3">
        <v>163</v>
      </c>
      <c r="AF246" s="3" t="str">
        <f>IFERROR(MID(VLOOKUP($B246,Seqs!$A:$B,2,0),AG246,1),"")</f>
        <v>C</v>
      </c>
      <c r="AG246" s="3">
        <v>175</v>
      </c>
      <c r="AH246" s="3" t="str">
        <f>IFERROR(MID(VLOOKUP($B246,Seqs!$A:$B,2,0),AI246,1),"")</f>
        <v>F</v>
      </c>
      <c r="AI246" s="3">
        <v>177</v>
      </c>
      <c r="AJ246" s="3" t="str">
        <f>IFERROR(MID(VLOOKUP($B246,Seqs!$A:$B,2,0),AK246,1),"")</f>
        <v>E</v>
      </c>
      <c r="AK246" s="3">
        <v>181</v>
      </c>
      <c r="AL246" s="3" t="str">
        <f>IFERROR(MID(VLOOKUP($B246,Seqs!$A:$B,2,0),AM246,1),"")</f>
        <v>T</v>
      </c>
      <c r="AM246" s="3">
        <v>223</v>
      </c>
      <c r="AN246" s="3" t="str">
        <f>IFERROR(MID(VLOOKUP($B246,Seqs!$A:$B,2,0),AO246,1),"")</f>
        <v>P</v>
      </c>
      <c r="AO246" s="3">
        <v>230</v>
      </c>
      <c r="AP246" s="3" t="str">
        <f>IFERROR(MID(VLOOKUP($B246,Seqs!$A:$B,2,0),AQ246,1),"")</f>
        <v>R</v>
      </c>
      <c r="AQ246" s="3">
        <v>265</v>
      </c>
      <c r="AR246" s="3" t="str">
        <f>IFERROR(MID(VLOOKUP($B246,Seqs!$A:$B,2,0),AS246,1),"")</f>
        <v>D</v>
      </c>
      <c r="AS246" s="3">
        <v>269</v>
      </c>
      <c r="AT246" s="3" t="str">
        <f>IFERROR(MID(VLOOKUP($B246,Seqs!$A:$B,2,0),AU246,1),"")</f>
        <v>L</v>
      </c>
      <c r="AU246" s="3">
        <v>301</v>
      </c>
      <c r="AV246" s="3" t="str">
        <f>IFERROR(MID(VLOOKUP($B246,Seqs!$A:$B,2,0),AW246,1),"")</f>
        <v>C</v>
      </c>
      <c r="AW246" s="3">
        <v>302</v>
      </c>
      <c r="AX246" s="3" t="str">
        <f>IFERROR(MID(VLOOKUP($B246,Seqs!$A:$B,2,0),AY246,1),"")</f>
        <v>M</v>
      </c>
      <c r="AY246" s="3">
        <v>312</v>
      </c>
      <c r="AZ246" s="77" t="str">
        <f>VLOOKUP(B246,Classification!A:D,2,0)</f>
        <v>A</v>
      </c>
      <c r="BA246" s="94" t="str">
        <f>VLOOKUP(B246,Classification!A:D,4,0)</f>
        <v>P2Y</v>
      </c>
      <c r="BB246" s="27" t="b">
        <f t="shared" si="754"/>
        <v>1</v>
      </c>
      <c r="BC246" s="23">
        <f t="shared" si="727"/>
        <v>265</v>
      </c>
      <c r="BD246" s="56" t="s">
        <v>1379</v>
      </c>
      <c r="BE246" s="3" t="s">
        <v>23</v>
      </c>
      <c r="BF246" s="119" t="s">
        <v>23</v>
      </c>
      <c r="BG246" s="49" t="s">
        <v>1379</v>
      </c>
      <c r="BH246" s="49" t="s">
        <v>1384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 t="shared" si="728"/>
        <v>21</v>
      </c>
      <c r="BW246" s="71" t="str">
        <f t="shared" si="729"/>
        <v>-</v>
      </c>
      <c r="BX246" s="72">
        <f t="shared" si="730"/>
        <v>57</v>
      </c>
      <c r="BY246" s="71" t="str">
        <f t="shared" si="731"/>
        <v>-</v>
      </c>
      <c r="BZ246" s="72">
        <f t="shared" si="732"/>
        <v>90</v>
      </c>
      <c r="CA246" s="71">
        <f t="shared" si="733"/>
        <v>129</v>
      </c>
      <c r="CB246" s="72">
        <f t="shared" si="734"/>
        <v>137</v>
      </c>
      <c r="CC246" s="71">
        <f t="shared" si="735"/>
        <v>175</v>
      </c>
      <c r="CD246" s="72">
        <f t="shared" si="736"/>
        <v>181</v>
      </c>
      <c r="CE246" s="71">
        <f t="shared" si="737"/>
        <v>230</v>
      </c>
      <c r="CF246" s="72">
        <f t="shared" si="738"/>
        <v>269</v>
      </c>
      <c r="CG246" s="71">
        <f t="shared" si="739"/>
        <v>302</v>
      </c>
      <c r="CH246" s="70">
        <f t="shared" si="740"/>
        <v>53</v>
      </c>
      <c r="CI246" s="71" t="str">
        <f t="shared" si="741"/>
        <v>-</v>
      </c>
      <c r="CJ246" s="72">
        <f t="shared" si="742"/>
        <v>86</v>
      </c>
      <c r="CK246" s="72" t="str">
        <f t="shared" si="743"/>
        <v>-</v>
      </c>
      <c r="CL246" s="72">
        <f t="shared" si="744"/>
        <v>128</v>
      </c>
      <c r="CM246" s="72">
        <f t="shared" si="745"/>
        <v>136</v>
      </c>
      <c r="CN246" s="72">
        <f t="shared" si="746"/>
        <v>163</v>
      </c>
      <c r="CO246" s="72">
        <f t="shared" si="747"/>
        <v>177</v>
      </c>
      <c r="CP246" s="72">
        <f t="shared" si="748"/>
        <v>223</v>
      </c>
      <c r="CQ246" s="72">
        <f t="shared" si="749"/>
        <v>265</v>
      </c>
      <c r="CR246" s="72">
        <f t="shared" si="750"/>
        <v>301</v>
      </c>
      <c r="CS246" s="72">
        <f t="shared" si="751"/>
        <v>312</v>
      </c>
      <c r="CT246" s="23" t="e">
        <f t="shared" si="752"/>
        <v>#VALUE!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29" x14ac:dyDescent="0.2">
      <c r="A247" s="3" t="str">
        <f t="shared" si="753"/>
        <v>p2y12_human_4NTJ</v>
      </c>
      <c r="B247" s="3" t="s">
        <v>352</v>
      </c>
      <c r="C247" s="3" t="s">
        <v>1049</v>
      </c>
      <c r="D247" s="3" t="str">
        <f>IFERROR(MID(VLOOKUP($B247,Seqs!$A:$B,2,0),E247,1),"")</f>
        <v>Y</v>
      </c>
      <c r="E247" s="3">
        <v>21</v>
      </c>
      <c r="F247" s="3" t="str">
        <f>IFERROR(MID(VLOOKUP($B247,Seqs!$A:$B,2,0),G247,1),"")</f>
        <v>I</v>
      </c>
      <c r="G247" s="3">
        <v>53</v>
      </c>
      <c r="H247" s="3" t="str">
        <f>IFERROR(MID(VLOOKUP($B247,Seqs!$A:$B,2,0),I247,1),"")</f>
        <v/>
      </c>
      <c r="I247" s="23" t="s">
        <v>23</v>
      </c>
      <c r="J247" s="3" t="str">
        <f>IFERROR(MID(VLOOKUP($B247,Seqs!$A:$B,2,0),K247,1),"")</f>
        <v/>
      </c>
      <c r="K247" s="23" t="s">
        <v>23</v>
      </c>
      <c r="L247" s="3" t="str">
        <f>IFERROR(MID(VLOOKUP($B247,Seqs!$A:$B,2,0),M247,1),"")</f>
        <v>S</v>
      </c>
      <c r="M247" s="3">
        <v>57</v>
      </c>
      <c r="N247" s="3" t="str">
        <f>IFERROR(MID(VLOOKUP($B247,Seqs!$A:$B,2,0),O247,1),"")</f>
        <v>K</v>
      </c>
      <c r="O247" s="3">
        <v>86</v>
      </c>
      <c r="P247" s="3" t="str">
        <f>IFERROR(MID(VLOOKUP($B247,Seqs!$A:$B,2,0),Q247,1),"")</f>
        <v/>
      </c>
      <c r="Q247" s="3" t="s">
        <v>23</v>
      </c>
      <c r="R247" s="3" t="str">
        <f>IFERROR(MID(VLOOKUP($B247,Seqs!$A:$B,2,0),S247,1),"")</f>
        <v/>
      </c>
      <c r="S247" s="3" t="s">
        <v>23</v>
      </c>
      <c r="T247" s="3" t="str">
        <f>IFERROR(MID(VLOOKUP($B247,Seqs!$A:$B,2,0),U247,1),"")</f>
        <v>L</v>
      </c>
      <c r="U247" s="3">
        <v>92</v>
      </c>
      <c r="V247" s="3" t="str">
        <f>IFERROR(MID(VLOOKUP($B247,Seqs!$A:$B,2,0),W247,1),"")</f>
        <v>R</v>
      </c>
      <c r="W247" s="3">
        <v>128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N</v>
      </c>
      <c r="AC247" s="9">
        <v>137</v>
      </c>
      <c r="AD247" s="3" t="str">
        <f>IFERROR(MID(VLOOKUP($B247,Seqs!$A:$B,2,0),AE247,1),"")</f>
        <v>L</v>
      </c>
      <c r="AE247" s="3">
        <v>162</v>
      </c>
      <c r="AF247" s="3" t="str">
        <f>IFERROR(MID(VLOOKUP($B247,Seqs!$A:$B,2,0),AG247,1),"")</f>
        <v>C</v>
      </c>
      <c r="AG247" s="3">
        <v>175</v>
      </c>
      <c r="AH247" s="3" t="str">
        <f>IFERROR(MID(VLOOKUP($B247,Seqs!$A:$B,2,0),AI247,1),"")</f>
        <v>F</v>
      </c>
      <c r="AI247" s="3">
        <v>177</v>
      </c>
      <c r="AJ247" s="3" t="str">
        <f>IFERROR(MID(VLOOKUP($B247,Seqs!$A:$B,2,0),AK247,1),"")</f>
        <v>E</v>
      </c>
      <c r="AK247" s="3">
        <v>181</v>
      </c>
      <c r="AL247" s="3" t="str">
        <f>IFERROR(MID(VLOOKUP($B247,Seqs!$A:$B,2,0),AM247,1),"")</f>
        <v>T</v>
      </c>
      <c r="AM247" s="3">
        <v>223</v>
      </c>
      <c r="AN247" s="3" t="str">
        <f>IFERROR(MID(VLOOKUP($B247,Seqs!$A:$B,2,0),AO247,1),"")</f>
        <v>I</v>
      </c>
      <c r="AO247" s="3">
        <v>240</v>
      </c>
      <c r="AP247" s="3" t="str">
        <f>IFERROR(MID(VLOOKUP($B247,Seqs!$A:$B,2,0),AQ247,1),"")</f>
        <v>L</v>
      </c>
      <c r="AQ247" s="3">
        <v>261</v>
      </c>
      <c r="AR247" s="3" t="str">
        <f>IFERROR(MID(VLOOKUP($B247,Seqs!$A:$B,2,0),AS247,1),"")</f>
        <v>D</v>
      </c>
      <c r="AS247" s="3">
        <v>269</v>
      </c>
      <c r="AT247" s="3" t="str">
        <f>IFERROR(MID(VLOOKUP($B247,Seqs!$A:$B,2,0),AU247,1),"")</f>
        <v>L</v>
      </c>
      <c r="AU247" s="3">
        <v>301</v>
      </c>
      <c r="AV247" s="3" t="str">
        <f>IFERROR(MID(VLOOKUP($B247,Seqs!$A:$B,2,0),AW247,1),"")</f>
        <v>C</v>
      </c>
      <c r="AW247" s="3">
        <v>302</v>
      </c>
      <c r="AX247" s="3" t="str">
        <f>IFERROR(MID(VLOOKUP($B247,Seqs!$A:$B,2,0),AY247,1),"")</f>
        <v>M</v>
      </c>
      <c r="AY247" s="3">
        <v>312</v>
      </c>
      <c r="AZ247" s="77" t="str">
        <f>VLOOKUP(B247,Classification!A:D,2,0)</f>
        <v>A</v>
      </c>
      <c r="BA247" s="94" t="str">
        <f>VLOOKUP(B247,Classification!A:D,4,0)</f>
        <v>P2Y</v>
      </c>
      <c r="BB247" s="27" t="b">
        <f t="shared" si="754"/>
        <v>1</v>
      </c>
      <c r="BC247" s="23">
        <f t="shared" si="727"/>
        <v>241</v>
      </c>
      <c r="BD247" s="2" t="s">
        <v>1440</v>
      </c>
      <c r="BE247" s="3" t="s">
        <v>1439</v>
      </c>
      <c r="BF247" s="119">
        <v>2.62</v>
      </c>
      <c r="BG247" s="49" t="s">
        <v>1384</v>
      </c>
      <c r="BH247" s="49" t="s">
        <v>1384</v>
      </c>
      <c r="BI247" s="3" t="s">
        <v>1171</v>
      </c>
      <c r="BJ247" s="70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0">
        <f t="shared" si="728"/>
        <v>21</v>
      </c>
      <c r="BW247" s="71" t="str">
        <f t="shared" si="729"/>
        <v>-</v>
      </c>
      <c r="BX247" s="72">
        <f t="shared" si="730"/>
        <v>57</v>
      </c>
      <c r="BY247" s="71" t="str">
        <f t="shared" si="731"/>
        <v>-</v>
      </c>
      <c r="BZ247" s="72">
        <f t="shared" si="732"/>
        <v>92</v>
      </c>
      <c r="CA247" s="71" t="str">
        <f t="shared" si="733"/>
        <v>-</v>
      </c>
      <c r="CB247" s="72">
        <f t="shared" si="734"/>
        <v>137</v>
      </c>
      <c r="CC247" s="71">
        <f t="shared" si="735"/>
        <v>175</v>
      </c>
      <c r="CD247" s="72">
        <f t="shared" si="736"/>
        <v>181</v>
      </c>
      <c r="CE247" s="71">
        <f t="shared" si="737"/>
        <v>240</v>
      </c>
      <c r="CF247" s="72">
        <f t="shared" si="738"/>
        <v>269</v>
      </c>
      <c r="CG247" s="71">
        <f t="shared" si="739"/>
        <v>302</v>
      </c>
      <c r="CH247" s="70">
        <f t="shared" si="740"/>
        <v>53</v>
      </c>
      <c r="CI247" s="71" t="str">
        <f t="shared" si="741"/>
        <v>-</v>
      </c>
      <c r="CJ247" s="72">
        <f t="shared" si="742"/>
        <v>86</v>
      </c>
      <c r="CK247" s="72" t="str">
        <f t="shared" si="743"/>
        <v>-</v>
      </c>
      <c r="CL247" s="72">
        <f t="shared" si="744"/>
        <v>128</v>
      </c>
      <c r="CM247" s="72" t="str">
        <f t="shared" si="745"/>
        <v>-</v>
      </c>
      <c r="CN247" s="72">
        <f t="shared" si="746"/>
        <v>162</v>
      </c>
      <c r="CO247" s="72">
        <f t="shared" si="747"/>
        <v>177</v>
      </c>
      <c r="CP247" s="72">
        <f t="shared" si="748"/>
        <v>223</v>
      </c>
      <c r="CQ247" s="72">
        <f t="shared" si="749"/>
        <v>261</v>
      </c>
      <c r="CR247" s="72">
        <f t="shared" si="750"/>
        <v>301</v>
      </c>
      <c r="CS247" s="72">
        <f t="shared" si="751"/>
        <v>312</v>
      </c>
      <c r="CT247" s="23" t="e">
        <f t="shared" si="752"/>
        <v>#VALUE!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29" x14ac:dyDescent="0.2">
      <c r="A248" s="3" t="str">
        <f t="shared" si="753"/>
        <v>p2y12_human_4PXZ</v>
      </c>
      <c r="B248" s="3" t="s">
        <v>352</v>
      </c>
      <c r="C248" s="3" t="s">
        <v>1153</v>
      </c>
      <c r="D248" s="3" t="str">
        <f>IFERROR(MID(VLOOKUP($B248,Seqs!$A:$B,2,0),E248,1),"")</f>
        <v>I</v>
      </c>
      <c r="E248" s="3">
        <v>23</v>
      </c>
      <c r="F248" s="3" t="str">
        <f>IFERROR(MID(VLOOKUP($B248,Seqs!$A:$B,2,0),G248,1),"")</f>
        <v>I</v>
      </c>
      <c r="G248" s="3">
        <v>53</v>
      </c>
      <c r="H248" s="3" t="str">
        <f>IFERROR(MID(VLOOKUP($B248,Seqs!$A:$B,2,0),I248,1),"")</f>
        <v/>
      </c>
      <c r="I248" s="23" t="s">
        <v>23</v>
      </c>
      <c r="J248" s="3" t="str">
        <f>IFERROR(MID(VLOOKUP($B248,Seqs!$A:$B,2,0),K248,1),"")</f>
        <v/>
      </c>
      <c r="K248" s="23" t="s">
        <v>23</v>
      </c>
      <c r="L248" s="3" t="str">
        <f>IFERROR(MID(VLOOKUP($B248,Seqs!$A:$B,2,0),M248,1),"")</f>
        <v>S</v>
      </c>
      <c r="M248" s="3">
        <v>57</v>
      </c>
      <c r="N248" s="3" t="str">
        <f>IFERROR(MID(VLOOKUP($B248,Seqs!$A:$B,2,0),O248,1),"")</f>
        <v>K</v>
      </c>
      <c r="O248" s="3">
        <v>86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G</v>
      </c>
      <c r="U248" s="3">
        <v>90</v>
      </c>
      <c r="V248" s="3" t="str">
        <f>IFERROR(MID(VLOOKUP($B248,Seqs!$A:$B,2,0),W248,1),"")</f>
        <v>R</v>
      </c>
      <c r="W248" s="3">
        <v>128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N</v>
      </c>
      <c r="AC248" s="9">
        <v>137</v>
      </c>
      <c r="AD248" s="3" t="str">
        <f>IFERROR(MID(VLOOKUP($B248,Seqs!$A:$B,2,0),AE248,1),"")</f>
        <v>T</v>
      </c>
      <c r="AE248" s="3">
        <v>163</v>
      </c>
      <c r="AF248" s="3" t="str">
        <f>IFERROR(MID(VLOOKUP($B248,Seqs!$A:$B,2,0),AG248,1),"")</f>
        <v>C</v>
      </c>
      <c r="AG248" s="3">
        <v>175</v>
      </c>
      <c r="AH248" s="3" t="str">
        <f>IFERROR(MID(VLOOKUP($B248,Seqs!$A:$B,2,0),AI248,1),"")</f>
        <v>F</v>
      </c>
      <c r="AI248" s="3">
        <v>177</v>
      </c>
      <c r="AJ248" s="3" t="str">
        <f>IFERROR(MID(VLOOKUP($B248,Seqs!$A:$B,2,0),AK248,1),"")</f>
        <v>E</v>
      </c>
      <c r="AK248" s="3">
        <v>181</v>
      </c>
      <c r="AL248" s="3" t="str">
        <f>IFERROR(MID(VLOOKUP($B248,Seqs!$A:$B,2,0),AM248,1),"")</f>
        <v>S</v>
      </c>
      <c r="AM248" s="3">
        <v>219</v>
      </c>
      <c r="AN248" s="3" t="str">
        <f>IFERROR(MID(VLOOKUP($B248,Seqs!$A:$B,2,0),AO248,1),"")</f>
        <v>V</v>
      </c>
      <c r="AO248" s="3">
        <v>236</v>
      </c>
      <c r="AP248" s="3" t="str">
        <f>IFERROR(MID(VLOOKUP($B248,Seqs!$A:$B,2,0),AQ248,1),"")</f>
        <v>R</v>
      </c>
      <c r="AQ248" s="3">
        <v>265</v>
      </c>
      <c r="AR248" s="3" t="str">
        <f>IFERROR(MID(VLOOKUP($B248,Seqs!$A:$B,2,0),AS248,1),"")</f>
        <v>D</v>
      </c>
      <c r="AS248" s="3">
        <v>269</v>
      </c>
      <c r="AT248" s="3" t="str">
        <f>IFERROR(MID(VLOOKUP($B248,Seqs!$A:$B,2,0),AU248,1),"")</f>
        <v>C</v>
      </c>
      <c r="AU248" s="3">
        <v>292</v>
      </c>
      <c r="AV248" s="3" t="str">
        <f>IFERROR(MID(VLOOKUP($B248,Seqs!$A:$B,2,0),AW248,1),"")</f>
        <v/>
      </c>
      <c r="AW248" s="3" t="s">
        <v>23</v>
      </c>
      <c r="AX248" s="3" t="str">
        <f>IFERROR(MID(VLOOKUP($B248,Seqs!$A:$B,2,0),AY248,1),"")</f>
        <v/>
      </c>
      <c r="AY248" s="3" t="s">
        <v>23</v>
      </c>
      <c r="AZ248" s="77" t="str">
        <f>VLOOKUP(B248,Classification!A:D,2,0)</f>
        <v>A</v>
      </c>
      <c r="BA248" s="94" t="str">
        <f>VLOOKUP(B248,Classification!A:D,4,0)</f>
        <v>P2Y</v>
      </c>
      <c r="BB248" s="27" t="b">
        <f t="shared" si="754"/>
        <v>1</v>
      </c>
      <c r="BC248" s="23">
        <f t="shared" si="727"/>
        <v>227</v>
      </c>
      <c r="BD248" s="4" t="s">
        <v>23</v>
      </c>
      <c r="BE248" s="3" t="s">
        <v>1439</v>
      </c>
      <c r="BF248" s="119">
        <v>2.5</v>
      </c>
      <c r="BG248" s="49" t="s">
        <v>1384</v>
      </c>
      <c r="BH248" s="49" t="s">
        <v>1384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 t="shared" si="728"/>
        <v>23</v>
      </c>
      <c r="BW248" s="71" t="str">
        <f t="shared" si="729"/>
        <v>-</v>
      </c>
      <c r="BX248" s="72">
        <f t="shared" si="730"/>
        <v>57</v>
      </c>
      <c r="BY248" s="71" t="str">
        <f t="shared" si="731"/>
        <v>-</v>
      </c>
      <c r="BZ248" s="72">
        <f t="shared" si="732"/>
        <v>90</v>
      </c>
      <c r="CA248" s="71" t="str">
        <f t="shared" si="733"/>
        <v>-</v>
      </c>
      <c r="CB248" s="72">
        <f t="shared" si="734"/>
        <v>137</v>
      </c>
      <c r="CC248" s="71">
        <f t="shared" si="735"/>
        <v>175</v>
      </c>
      <c r="CD248" s="72">
        <f t="shared" si="736"/>
        <v>181</v>
      </c>
      <c r="CE248" s="71">
        <f t="shared" si="737"/>
        <v>236</v>
      </c>
      <c r="CF248" s="72">
        <f t="shared" si="738"/>
        <v>269</v>
      </c>
      <c r="CG248" s="71" t="str">
        <f t="shared" si="739"/>
        <v>-</v>
      </c>
      <c r="CH248" s="70">
        <f t="shared" si="740"/>
        <v>53</v>
      </c>
      <c r="CI248" s="71" t="str">
        <f t="shared" si="741"/>
        <v>-</v>
      </c>
      <c r="CJ248" s="72">
        <f t="shared" si="742"/>
        <v>86</v>
      </c>
      <c r="CK248" s="72" t="str">
        <f t="shared" si="743"/>
        <v>-</v>
      </c>
      <c r="CL248" s="72">
        <f t="shared" si="744"/>
        <v>128</v>
      </c>
      <c r="CM248" s="72" t="str">
        <f t="shared" si="745"/>
        <v>-</v>
      </c>
      <c r="CN248" s="72">
        <f t="shared" si="746"/>
        <v>163</v>
      </c>
      <c r="CO248" s="72">
        <f t="shared" si="747"/>
        <v>177</v>
      </c>
      <c r="CP248" s="72">
        <f t="shared" si="748"/>
        <v>219</v>
      </c>
      <c r="CQ248" s="72">
        <f t="shared" si="749"/>
        <v>265</v>
      </c>
      <c r="CR248" s="72">
        <f t="shared" si="750"/>
        <v>292</v>
      </c>
      <c r="CS248" s="72" t="str">
        <f t="shared" si="751"/>
        <v>-</v>
      </c>
      <c r="CT248" s="23" t="e">
        <f t="shared" si="752"/>
        <v>#VALUE!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29" x14ac:dyDescent="0.2">
      <c r="A249" s="3" t="str">
        <f t="shared" si="753"/>
        <v>p2y12_human_4PY0</v>
      </c>
      <c r="B249" s="3" t="s">
        <v>352</v>
      </c>
      <c r="C249" s="3" t="s">
        <v>1051</v>
      </c>
      <c r="D249" s="3" t="str">
        <f>IFERROR(MID(VLOOKUP($B249,Seqs!$A:$B,2,0),E249,1),"")</f>
        <v>I</v>
      </c>
      <c r="E249" s="3">
        <v>23</v>
      </c>
      <c r="F249" s="3" t="str">
        <f>IFERROR(MID(VLOOKUP($B249,Seqs!$A:$B,2,0),G249,1),"")</f>
        <v>I</v>
      </c>
      <c r="G249" s="3">
        <v>53</v>
      </c>
      <c r="H249" s="3" t="str">
        <f>IFERROR(MID(VLOOKUP($B249,Seqs!$A:$B,2,0),I249,1),"")</f>
        <v/>
      </c>
      <c r="I249" s="23" t="s">
        <v>23</v>
      </c>
      <c r="J249" s="3" t="str">
        <f>IFERROR(MID(VLOOKUP($B249,Seqs!$A:$B,2,0),K249,1),"")</f>
        <v/>
      </c>
      <c r="K249" s="23" t="s">
        <v>23</v>
      </c>
      <c r="L249" s="3" t="str">
        <f>IFERROR(MID(VLOOKUP($B249,Seqs!$A:$B,2,0),M249,1),"")</f>
        <v>S</v>
      </c>
      <c r="M249" s="3">
        <v>57</v>
      </c>
      <c r="N249" s="3" t="str">
        <f>IFERROR(MID(VLOOKUP($B249,Seqs!$A:$B,2,0),O249,1),"")</f>
        <v>K</v>
      </c>
      <c r="O249" s="3">
        <v>86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G</v>
      </c>
      <c r="U249" s="3">
        <v>90</v>
      </c>
      <c r="V249" s="3" t="str">
        <f>IFERROR(MID(VLOOKUP($B249,Seqs!$A:$B,2,0),W249,1),"")</f>
        <v>R</v>
      </c>
      <c r="W249" s="3">
        <v>128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N</v>
      </c>
      <c r="AC249" s="9">
        <v>137</v>
      </c>
      <c r="AD249" s="3" t="str">
        <f>IFERROR(MID(VLOOKUP($B249,Seqs!$A:$B,2,0),AE249,1),"")</f>
        <v>T</v>
      </c>
      <c r="AE249" s="3">
        <v>163</v>
      </c>
      <c r="AF249" s="3" t="str">
        <f>IFERROR(MID(VLOOKUP($B249,Seqs!$A:$B,2,0),AG249,1),"")</f>
        <v>C</v>
      </c>
      <c r="AG249" s="3">
        <v>175</v>
      </c>
      <c r="AH249" s="3" t="str">
        <f>IFERROR(MID(VLOOKUP($B249,Seqs!$A:$B,2,0),AI249,1),"")</f>
        <v>F</v>
      </c>
      <c r="AI249" s="3">
        <v>177</v>
      </c>
      <c r="AJ249" s="3" t="str">
        <f>IFERROR(MID(VLOOKUP($B249,Seqs!$A:$B,2,0),AK249,1),"")</f>
        <v>E</v>
      </c>
      <c r="AK249" s="3">
        <v>181</v>
      </c>
      <c r="AL249" s="3" t="str">
        <f>IFERROR(MID(VLOOKUP($B249,Seqs!$A:$B,2,0),AM249,1),"")</f>
        <v>S</v>
      </c>
      <c r="AM249" s="3">
        <v>219</v>
      </c>
      <c r="AN249" s="3" t="str">
        <f>IFERROR(MID(VLOOKUP($B249,Seqs!$A:$B,2,0),AO249,1),"")</f>
        <v>V</v>
      </c>
      <c r="AO249" s="3">
        <v>236</v>
      </c>
      <c r="AP249" s="3" t="str">
        <f>IFERROR(MID(VLOOKUP($B249,Seqs!$A:$B,2,0),AQ249,1),"")</f>
        <v>R</v>
      </c>
      <c r="AQ249" s="3">
        <v>265</v>
      </c>
      <c r="AR249" s="3" t="str">
        <f>IFERROR(MID(VLOOKUP($B249,Seqs!$A:$B,2,0),AS249,1),"")</f>
        <v>D</v>
      </c>
      <c r="AS249" s="3">
        <v>269</v>
      </c>
      <c r="AT249" s="3" t="str">
        <f>IFERROR(MID(VLOOKUP($B249,Seqs!$A:$B,2,0),AU249,1),"")</f>
        <v>C</v>
      </c>
      <c r="AU249" s="3">
        <v>292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A</v>
      </c>
      <c r="BA249" s="94" t="str">
        <f>VLOOKUP(B249,Classification!A:D,4,0)</f>
        <v>P2Y</v>
      </c>
      <c r="BB249" s="27" t="b">
        <f t="shared" si="754"/>
        <v>1</v>
      </c>
      <c r="BC249" s="23">
        <f t="shared" si="727"/>
        <v>227</v>
      </c>
      <c r="BD249" s="4" t="s">
        <v>23</v>
      </c>
      <c r="BE249" s="3" t="s">
        <v>1439</v>
      </c>
      <c r="BF249" s="119">
        <v>3.1</v>
      </c>
      <c r="BG249" s="49" t="s">
        <v>1384</v>
      </c>
      <c r="BH249" s="49" t="s">
        <v>1384</v>
      </c>
      <c r="BI249" s="1"/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 t="shared" si="728"/>
        <v>23</v>
      </c>
      <c r="BW249" s="71" t="str">
        <f t="shared" si="729"/>
        <v>-</v>
      </c>
      <c r="BX249" s="72">
        <f t="shared" si="730"/>
        <v>57</v>
      </c>
      <c r="BY249" s="71" t="str">
        <f t="shared" si="731"/>
        <v>-</v>
      </c>
      <c r="BZ249" s="72">
        <f t="shared" si="732"/>
        <v>90</v>
      </c>
      <c r="CA249" s="71" t="str">
        <f t="shared" si="733"/>
        <v>-</v>
      </c>
      <c r="CB249" s="72">
        <f t="shared" si="734"/>
        <v>137</v>
      </c>
      <c r="CC249" s="71">
        <f t="shared" si="735"/>
        <v>175</v>
      </c>
      <c r="CD249" s="72">
        <f t="shared" si="736"/>
        <v>181</v>
      </c>
      <c r="CE249" s="71">
        <f t="shared" si="737"/>
        <v>236</v>
      </c>
      <c r="CF249" s="72">
        <f t="shared" si="738"/>
        <v>269</v>
      </c>
      <c r="CG249" s="71" t="str">
        <f t="shared" si="739"/>
        <v>-</v>
      </c>
      <c r="CH249" s="70">
        <f t="shared" si="740"/>
        <v>53</v>
      </c>
      <c r="CI249" s="71" t="str">
        <f t="shared" si="741"/>
        <v>-</v>
      </c>
      <c r="CJ249" s="72">
        <f t="shared" si="742"/>
        <v>86</v>
      </c>
      <c r="CK249" s="72" t="str">
        <f t="shared" si="743"/>
        <v>-</v>
      </c>
      <c r="CL249" s="72">
        <f t="shared" si="744"/>
        <v>128</v>
      </c>
      <c r="CM249" s="72" t="str">
        <f t="shared" si="745"/>
        <v>-</v>
      </c>
      <c r="CN249" s="72">
        <f t="shared" si="746"/>
        <v>163</v>
      </c>
      <c r="CO249" s="72">
        <f t="shared" si="747"/>
        <v>177</v>
      </c>
      <c r="CP249" s="72">
        <f t="shared" si="748"/>
        <v>219</v>
      </c>
      <c r="CQ249" s="72">
        <f t="shared" si="749"/>
        <v>265</v>
      </c>
      <c r="CR249" s="72">
        <f t="shared" si="750"/>
        <v>292</v>
      </c>
      <c r="CS249" s="72" t="str">
        <f t="shared" si="751"/>
        <v>-</v>
      </c>
      <c r="CT249" s="23" t="e">
        <f t="shared" si="752"/>
        <v>#VALUE!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29" x14ac:dyDescent="0.2">
      <c r="A250" s="3" t="str">
        <f t="shared" si="753"/>
        <v>par1_human__wt</v>
      </c>
      <c r="B250" s="3" t="s">
        <v>355</v>
      </c>
      <c r="C250" s="3" t="s">
        <v>100</v>
      </c>
      <c r="D250" s="3" t="str">
        <f>IFERROR(MID(VLOOKUP($B250,Seqs!$A:$B,2,0),E250,1),"")</f>
        <v>S</v>
      </c>
      <c r="E250" s="3">
        <v>99</v>
      </c>
      <c r="F250" s="3" t="str">
        <f>IFERROR(MID(VLOOKUP($B250,Seqs!$A:$B,2,0),G250,1),"")</f>
        <v>K</v>
      </c>
      <c r="G250" s="3">
        <v>130</v>
      </c>
      <c r="H250" s="3" t="str">
        <f>IFERROR(MID(VLOOKUP($B250,Seqs!$A:$B,2,0),I250,1),"")</f>
        <v>M</v>
      </c>
      <c r="I250" s="23">
        <v>131</v>
      </c>
      <c r="J250" s="3" t="str">
        <f>IFERROR(MID(VLOOKUP($B250,Seqs!$A:$B,2,0),K250,1),"")</f>
        <v>K</v>
      </c>
      <c r="K250" s="23">
        <v>134</v>
      </c>
      <c r="L250" s="3" t="str">
        <f>IFERROR(MID(VLOOKUP($B250,Seqs!$A:$B,2,0),M250,1),"")</f>
        <v>K</v>
      </c>
      <c r="M250" s="3">
        <v>135</v>
      </c>
      <c r="N250" s="3" t="str">
        <f>IFERROR(MID(VLOOKUP($B250,Seqs!$A:$B,2,0),O250,1),"")</f>
        <v>S</v>
      </c>
      <c r="O250" s="3">
        <v>164</v>
      </c>
      <c r="P250" s="3" t="str">
        <f>IFERROR(MID(VLOOKUP($B250,Seqs!$A:$B,2,0),Q250,1),"")</f>
        <v>D</v>
      </c>
      <c r="Q250" s="3">
        <v>167</v>
      </c>
      <c r="R250" s="3" t="str">
        <f>IFERROR(MID(VLOOKUP($B250,Seqs!$A:$B,2,0),S250,1),"")</f>
        <v>F</v>
      </c>
      <c r="S250" s="3">
        <v>170</v>
      </c>
      <c r="T250" s="3" t="str">
        <f>IFERROR(MID(VLOOKUP($B250,Seqs!$A:$B,2,0),U250,1),"")</f>
        <v>G</v>
      </c>
      <c r="U250" s="3">
        <v>171</v>
      </c>
      <c r="V250" s="3" t="str">
        <f>IFERROR(MID(VLOOKUP($B250,Seqs!$A:$B,2,0),W250,1),"")</f>
        <v>Y</v>
      </c>
      <c r="W250" s="3">
        <v>206</v>
      </c>
      <c r="X250" s="3" t="str">
        <f>IFERROR(MID(VLOOKUP($B250,Seqs!$A:$B,2,0),Y250,1),"")</f>
        <v>P</v>
      </c>
      <c r="Y250" s="3">
        <v>207</v>
      </c>
      <c r="Z250" s="3" t="str">
        <f>IFERROR(MID(VLOOKUP($B250,Seqs!$A:$B,2,0),AA250,1),"")</f>
        <v>R</v>
      </c>
      <c r="AA250" s="3">
        <v>214</v>
      </c>
      <c r="AB250" s="3" t="str">
        <f>IFERROR(MID(VLOOKUP($B250,Seqs!$A:$B,2,0),AC250,1),"")</f>
        <v>T</v>
      </c>
      <c r="AC250" s="9">
        <v>215</v>
      </c>
      <c r="AD250" s="3" t="str">
        <f>IFERROR(MID(VLOOKUP($B250,Seqs!$A:$B,2,0),AE250,1),"")</f>
        <v>K</v>
      </c>
      <c r="AE250" s="3">
        <v>240</v>
      </c>
      <c r="AF250" s="3" t="str">
        <f>IFERROR(MID(VLOOKUP($B250,Seqs!$A:$B,2,0),AG250,1),"")</f>
        <v>C</v>
      </c>
      <c r="AG250" s="3">
        <v>254</v>
      </c>
      <c r="AH250" s="3" t="str">
        <f>IFERROR(MID(VLOOKUP($B250,Seqs!$A:$B,2,0),AI250,1),"")</f>
        <v>D</v>
      </c>
      <c r="AI250" s="3">
        <v>256</v>
      </c>
      <c r="AJ250" s="3" t="str">
        <f>IFERROR(MID(VLOOKUP($B250,Seqs!$A:$B,2,0),AK250,1),"")</f>
        <v>E</v>
      </c>
      <c r="AK250" s="3">
        <v>264</v>
      </c>
      <c r="AL250" s="3" t="str">
        <f>IFERROR(MID(VLOOKUP($B250,Seqs!$A:$B,2,0),AM250,1),"")</f>
        <v>S</v>
      </c>
      <c r="AM250" s="3">
        <v>299</v>
      </c>
      <c r="AN250" s="3" t="str">
        <f>IFERROR(MID(VLOOKUP($B250,Seqs!$A:$B,2,0),AO250,1),"")</f>
        <v>N</v>
      </c>
      <c r="AO250" s="3">
        <v>304</v>
      </c>
      <c r="AP250" s="3" t="str">
        <f>IFERROR(MID(VLOOKUP($B250,Seqs!$A:$B,2,0),AQ250,1),"")</f>
        <v>L</v>
      </c>
      <c r="AQ250" s="3">
        <v>340</v>
      </c>
      <c r="AR250" s="3" t="str">
        <f>IFERROR(MID(VLOOKUP($B250,Seqs!$A:$B,2,0),AS250,1),"")</f>
        <v>T</v>
      </c>
      <c r="AS250" s="3">
        <v>346</v>
      </c>
      <c r="AT250" s="3" t="str">
        <f>IFERROR(MID(VLOOKUP($B250,Seqs!$A:$B,2,0),AU250,1),"")</f>
        <v>A</v>
      </c>
      <c r="AU250" s="3">
        <v>374</v>
      </c>
      <c r="AV250" s="3" t="str">
        <f>IFERROR(MID(VLOOKUP($B250,Seqs!$A:$B,2,0),AW250,1),"")</f>
        <v>S</v>
      </c>
      <c r="AW250" s="3">
        <v>375</v>
      </c>
      <c r="AX250" s="3" t="str">
        <f>IFERROR(MID(VLOOKUP($B250,Seqs!$A:$B,2,0),AY250,1),"")</f>
        <v>K</v>
      </c>
      <c r="AY250" s="3">
        <v>389</v>
      </c>
      <c r="AZ250" s="77" t="str">
        <f>VLOOKUP(B250,Classification!A:D,2,0)</f>
        <v>A</v>
      </c>
      <c r="BA250" s="94" t="str">
        <f>VLOOKUP(B250,Classification!A:D,4,0)</f>
        <v>Proteinase-activated</v>
      </c>
      <c r="BB250" s="27" t="b">
        <f t="shared" si="754"/>
        <v>1</v>
      </c>
      <c r="BC250" s="23">
        <f t="shared" si="727"/>
        <v>260</v>
      </c>
      <c r="BD250" s="56" t="s">
        <v>1379</v>
      </c>
      <c r="BE250" s="3" t="s">
        <v>23</v>
      </c>
      <c r="BF250" s="119" t="s">
        <v>23</v>
      </c>
      <c r="BG250" s="49" t="s">
        <v>1379</v>
      </c>
      <c r="BH250" s="49" t="s">
        <v>1384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728"/>
        <v>99</v>
      </c>
      <c r="BW250" s="71">
        <f t="shared" si="729"/>
        <v>131</v>
      </c>
      <c r="BX250" s="72">
        <f t="shared" si="730"/>
        <v>135</v>
      </c>
      <c r="BY250" s="71">
        <f t="shared" si="731"/>
        <v>167</v>
      </c>
      <c r="BZ250" s="72">
        <f t="shared" si="732"/>
        <v>171</v>
      </c>
      <c r="CA250" s="71">
        <f t="shared" si="733"/>
        <v>207</v>
      </c>
      <c r="CB250" s="72">
        <f t="shared" si="734"/>
        <v>215</v>
      </c>
      <c r="CC250" s="71">
        <f t="shared" si="735"/>
        <v>254</v>
      </c>
      <c r="CD250" s="72">
        <f t="shared" si="736"/>
        <v>264</v>
      </c>
      <c r="CE250" s="71">
        <f t="shared" si="737"/>
        <v>304</v>
      </c>
      <c r="CF250" s="72">
        <f t="shared" si="738"/>
        <v>346</v>
      </c>
      <c r="CG250" s="71">
        <f t="shared" si="739"/>
        <v>375</v>
      </c>
      <c r="CH250" s="70">
        <f t="shared" si="740"/>
        <v>130</v>
      </c>
      <c r="CI250" s="71">
        <f t="shared" si="741"/>
        <v>134</v>
      </c>
      <c r="CJ250" s="72">
        <f t="shared" si="742"/>
        <v>164</v>
      </c>
      <c r="CK250" s="72">
        <f t="shared" si="743"/>
        <v>170</v>
      </c>
      <c r="CL250" s="72">
        <f t="shared" si="744"/>
        <v>206</v>
      </c>
      <c r="CM250" s="72">
        <f t="shared" si="745"/>
        <v>214</v>
      </c>
      <c r="CN250" s="72">
        <f t="shared" si="746"/>
        <v>240</v>
      </c>
      <c r="CO250" s="72">
        <f t="shared" si="747"/>
        <v>256</v>
      </c>
      <c r="CP250" s="72">
        <f t="shared" si="748"/>
        <v>299</v>
      </c>
      <c r="CQ250" s="72">
        <f t="shared" si="749"/>
        <v>340</v>
      </c>
      <c r="CR250" s="72">
        <f t="shared" si="750"/>
        <v>374</v>
      </c>
      <c r="CS250" s="72">
        <f t="shared" si="751"/>
        <v>389</v>
      </c>
      <c r="CT250" s="23">
        <f t="shared" si="752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29" x14ac:dyDescent="0.2">
      <c r="A251" s="3" t="str">
        <f t="shared" si="753"/>
        <v>par1_human_3VW7</v>
      </c>
      <c r="B251" s="3" t="s">
        <v>355</v>
      </c>
      <c r="C251" s="3" t="s">
        <v>93</v>
      </c>
      <c r="D251" s="3" t="str">
        <f>IFERROR(MID(VLOOKUP($B251,Seqs!$A:$B,2,0),E251,1),"")</f>
        <v>S</v>
      </c>
      <c r="E251" s="3">
        <v>99</v>
      </c>
      <c r="F251" s="3" t="str">
        <f>IFERROR(MID(VLOOKUP($B251,Seqs!$A:$B,2,0),G251,1),"")</f>
        <v>K</v>
      </c>
      <c r="G251" s="3">
        <v>130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K</v>
      </c>
      <c r="M251" s="3">
        <v>135</v>
      </c>
      <c r="N251" s="3" t="str">
        <f>IFERROR(MID(VLOOKUP($B251,Seqs!$A:$B,2,0),O251,1),"")</f>
        <v>S</v>
      </c>
      <c r="O251" s="3">
        <v>164</v>
      </c>
      <c r="P251" s="3" t="str">
        <f>IFERROR(MID(VLOOKUP($B251,Seqs!$A:$B,2,0),Q251,1),"")</f>
        <v>D</v>
      </c>
      <c r="Q251" s="3">
        <v>167</v>
      </c>
      <c r="R251" s="3" t="str">
        <f>IFERROR(MID(VLOOKUP($B251,Seqs!$A:$B,2,0),S251,1),"")</f>
        <v>F</v>
      </c>
      <c r="S251" s="3">
        <v>170</v>
      </c>
      <c r="T251" s="3" t="str">
        <f>IFERROR(MID(VLOOKUP($B251,Seqs!$A:$B,2,0),U251,1),"")</f>
        <v>G</v>
      </c>
      <c r="U251" s="3">
        <v>171</v>
      </c>
      <c r="V251" s="3" t="str">
        <f>IFERROR(MID(VLOOKUP($B251,Seqs!$A:$B,2,0),W251,1),"")</f>
        <v>Y</v>
      </c>
      <c r="W251" s="3">
        <v>206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T</v>
      </c>
      <c r="AC251" s="9">
        <v>215</v>
      </c>
      <c r="AD251" s="3" t="str">
        <f>IFERROR(MID(VLOOKUP($B251,Seqs!$A:$B,2,0),AE251,1),"")</f>
        <v>K</v>
      </c>
      <c r="AE251" s="3">
        <v>240</v>
      </c>
      <c r="AF251" s="3" t="str">
        <f>IFERROR(MID(VLOOKUP($B251,Seqs!$A:$B,2,0),AG251,1),"")</f>
        <v>C</v>
      </c>
      <c r="AG251" s="3">
        <v>254</v>
      </c>
      <c r="AH251" s="3" t="str">
        <f>IFERROR(MID(VLOOKUP($B251,Seqs!$A:$B,2,0),AI251,1),"")</f>
        <v>D</v>
      </c>
      <c r="AI251" s="3">
        <v>256</v>
      </c>
      <c r="AJ251" s="3" t="str">
        <f>IFERROR(MID(VLOOKUP($B251,Seqs!$A:$B,2,0),AK251,1),"")</f>
        <v>E</v>
      </c>
      <c r="AK251" s="3">
        <v>264</v>
      </c>
      <c r="AL251" s="3" t="str">
        <f>IFERROR(MID(VLOOKUP($B251,Seqs!$A:$B,2,0),AM251,1),"")</f>
        <v>S</v>
      </c>
      <c r="AM251" s="3">
        <v>300</v>
      </c>
      <c r="AN251" s="3" t="str">
        <f>IFERROR(MID(VLOOKUP($B251,Seqs!$A:$B,2,0),AO251,1),"")</f>
        <v>N</v>
      </c>
      <c r="AO251" s="3">
        <v>304</v>
      </c>
      <c r="AP251" s="3" t="str">
        <f>IFERROR(MID(VLOOKUP($B251,Seqs!$A:$B,2,0),AQ251,1),"")</f>
        <v>L</v>
      </c>
      <c r="AQ251" s="3">
        <v>340</v>
      </c>
      <c r="AR251" s="3" t="str">
        <f>IFERROR(MID(VLOOKUP($B251,Seqs!$A:$B,2,0),AS251,1),"")</f>
        <v>T</v>
      </c>
      <c r="AS251" s="3">
        <v>346</v>
      </c>
      <c r="AT251" s="3" t="str">
        <f>IFERROR(MID(VLOOKUP($B251,Seqs!$A:$B,2,0),AU251,1),"")</f>
        <v>Y</v>
      </c>
      <c r="AU251" s="3">
        <v>372</v>
      </c>
      <c r="AV251" s="3" t="str">
        <f>IFERROR(MID(VLOOKUP($B251,Seqs!$A:$B,2,0),AW251,1),"")</f>
        <v/>
      </c>
      <c r="AW251" s="3" t="s">
        <v>23</v>
      </c>
      <c r="AX251" s="3" t="str">
        <f>IFERROR(MID(VLOOKUP($B251,Seqs!$A:$B,2,0),AY251,1),"")</f>
        <v/>
      </c>
      <c r="AY251" s="3" t="s">
        <v>23</v>
      </c>
      <c r="AZ251" s="77" t="str">
        <f>VLOOKUP(B251,Classification!A:D,2,0)</f>
        <v>A</v>
      </c>
      <c r="BA251" s="94" t="str">
        <f>VLOOKUP(B251,Classification!A:D,4,0)</f>
        <v>Proteinase-activated</v>
      </c>
      <c r="BB251" s="27" t="b">
        <f t="shared" si="754"/>
        <v>1</v>
      </c>
      <c r="BC251" s="23">
        <f t="shared" si="727"/>
        <v>235</v>
      </c>
      <c r="BD251" s="2" t="s">
        <v>1440</v>
      </c>
      <c r="BE251" s="3" t="s">
        <v>1439</v>
      </c>
      <c r="BF251" s="119">
        <v>2.2000000000000002</v>
      </c>
      <c r="BG251" s="49" t="s">
        <v>1384</v>
      </c>
      <c r="BH251" s="49" t="s">
        <v>1384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728"/>
        <v>99</v>
      </c>
      <c r="BW251" s="71" t="str">
        <f t="shared" si="729"/>
        <v>-</v>
      </c>
      <c r="BX251" s="72">
        <f t="shared" si="730"/>
        <v>135</v>
      </c>
      <c r="BY251" s="71">
        <f t="shared" si="731"/>
        <v>167</v>
      </c>
      <c r="BZ251" s="72">
        <f t="shared" si="732"/>
        <v>171</v>
      </c>
      <c r="CA251" s="71" t="str">
        <f t="shared" si="733"/>
        <v>-</v>
      </c>
      <c r="CB251" s="72">
        <f t="shared" si="734"/>
        <v>215</v>
      </c>
      <c r="CC251" s="71">
        <f t="shared" si="735"/>
        <v>254</v>
      </c>
      <c r="CD251" s="72">
        <f t="shared" si="736"/>
        <v>264</v>
      </c>
      <c r="CE251" s="71">
        <f t="shared" si="737"/>
        <v>304</v>
      </c>
      <c r="CF251" s="72">
        <f t="shared" si="738"/>
        <v>346</v>
      </c>
      <c r="CG251" s="71" t="str">
        <f t="shared" si="739"/>
        <v>-</v>
      </c>
      <c r="CH251" s="70">
        <f t="shared" si="740"/>
        <v>130</v>
      </c>
      <c r="CI251" s="71" t="str">
        <f t="shared" si="741"/>
        <v>-</v>
      </c>
      <c r="CJ251" s="72">
        <f t="shared" si="742"/>
        <v>164</v>
      </c>
      <c r="CK251" s="72">
        <f t="shared" si="743"/>
        <v>170</v>
      </c>
      <c r="CL251" s="72">
        <f t="shared" si="744"/>
        <v>206</v>
      </c>
      <c r="CM251" s="72" t="str">
        <f t="shared" si="745"/>
        <v>-</v>
      </c>
      <c r="CN251" s="72">
        <f t="shared" si="746"/>
        <v>240</v>
      </c>
      <c r="CO251" s="72">
        <f t="shared" si="747"/>
        <v>256</v>
      </c>
      <c r="CP251" s="72">
        <f t="shared" si="748"/>
        <v>300</v>
      </c>
      <c r="CQ251" s="72">
        <f t="shared" si="749"/>
        <v>340</v>
      </c>
      <c r="CR251" s="72">
        <f t="shared" si="750"/>
        <v>372</v>
      </c>
      <c r="CS251" s="72" t="str">
        <f t="shared" si="751"/>
        <v>-</v>
      </c>
      <c r="CT251" s="23" t="e">
        <f t="shared" si="752"/>
        <v>#VALUE!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29" x14ac:dyDescent="0.2">
      <c r="A252" s="3" t="str">
        <f t="shared" ref="A252:A271" si="811">CONCATENATE(B252,"_",C252)</f>
        <v>par2_human__wt</v>
      </c>
      <c r="B252" s="3" t="s">
        <v>356</v>
      </c>
      <c r="C252" s="3" t="s">
        <v>100</v>
      </c>
      <c r="D252" s="3" t="str">
        <f>IFERROR(MID(VLOOKUP($B252,Seqs!$A:$B,2,0),E252,1),"")</f>
        <v>G</v>
      </c>
      <c r="E252" s="3">
        <v>71</v>
      </c>
      <c r="F252" s="3" t="str">
        <f>IFERROR(MID(VLOOKUP($B252,Seqs!$A:$B,2,0),G252,1),"")</f>
        <v>R</v>
      </c>
      <c r="G252" s="3">
        <v>103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H</v>
      </c>
      <c r="M252" s="3">
        <v>108</v>
      </c>
      <c r="N252" s="3" t="str">
        <f>IFERROR(MID(VLOOKUP($B252,Seqs!$A:$B,2,0),O252,1),"")</f>
        <v>H</v>
      </c>
      <c r="O252" s="3">
        <v>137</v>
      </c>
      <c r="P252" s="3" t="str">
        <f>IFERROR(MID(VLOOKUP($B252,Seqs!$A:$B,2,0),Q252,1),"")</f>
        <v>G</v>
      </c>
      <c r="Q252" s="3">
        <v>138</v>
      </c>
      <c r="R252" s="3" t="str">
        <f>IFERROR(MID(VLOOKUP($B252,Seqs!$A:$B,2,0),S252,1),"")</f>
        <v>Y</v>
      </c>
      <c r="S252" s="3">
        <v>143</v>
      </c>
      <c r="T252" s="3" t="str">
        <f>IFERROR(MID(VLOOKUP($B252,Seqs!$A:$B,2,0),U252,1),"")</f>
        <v>G</v>
      </c>
      <c r="U252" s="3">
        <v>144</v>
      </c>
      <c r="V252" s="3" t="str">
        <f>IFERROR(MID(VLOOKUP($B252,Seqs!$A:$B,2,0),W252,1),"")</f>
        <v>N</v>
      </c>
      <c r="W252" s="3">
        <v>179</v>
      </c>
      <c r="X252" s="3" t="str">
        <f>IFERROR(MID(VLOOKUP($B252,Seqs!$A:$B,2,0),Y252,1),"")</f>
        <v>P</v>
      </c>
      <c r="Y252" s="3">
        <v>180</v>
      </c>
      <c r="Z252" s="3" t="str">
        <f>IFERROR(MID(VLOOKUP($B252,Seqs!$A:$B,2,0),AA252,1),"")</f>
        <v>K</v>
      </c>
      <c r="AA252" s="3">
        <v>186</v>
      </c>
      <c r="AB252" s="3" t="str">
        <f>IFERROR(MID(VLOOKUP($B252,Seqs!$A:$B,2,0),AC252,1),"")</f>
        <v>K</v>
      </c>
      <c r="AC252" s="3">
        <v>187</v>
      </c>
      <c r="AD252" s="3" t="str">
        <f>IFERROR(MID(VLOOKUP($B252,Seqs!$A:$B,2,0),AE252,1),"")</f>
        <v>V</v>
      </c>
      <c r="AE252" s="3">
        <v>211</v>
      </c>
      <c r="AF252" s="3" t="str">
        <f>IFERROR(MID(VLOOKUP($B252,Seqs!$A:$B,2,0),AG252,1),"")</f>
        <v>C</v>
      </c>
      <c r="AG252" s="3">
        <v>226</v>
      </c>
      <c r="AH252" s="3" t="str">
        <f>IFERROR(MID(VLOOKUP($B252,Seqs!$A:$B,2,0),AI252,1),"")</f>
        <v>D</v>
      </c>
      <c r="AI252" s="3">
        <v>228</v>
      </c>
      <c r="AJ252" s="3" t="str">
        <f>IFERROR(MID(VLOOKUP($B252,Seqs!$A:$B,2,0),AK252,1),"")</f>
        <v>L</v>
      </c>
      <c r="AK252" s="3">
        <v>235</v>
      </c>
      <c r="AL252" s="3" t="str">
        <f>IFERROR(MID(VLOOKUP($B252,Seqs!$A:$B,2,0),AM252,1),"")</f>
        <v>S</v>
      </c>
      <c r="AM252" s="3">
        <v>272</v>
      </c>
      <c r="AN252" s="3" t="str">
        <f>IFERROR(MID(VLOOKUP($B252,Seqs!$A:$B,2,0),AO252,1),"")</f>
        <v>S</v>
      </c>
      <c r="AO252" s="3">
        <v>278</v>
      </c>
      <c r="AP252" s="3" t="str">
        <f>IFERROR(MID(VLOOKUP($B252,Seqs!$A:$B,2,0),AQ252,1),"")</f>
        <v>Q</v>
      </c>
      <c r="AQ252" s="3">
        <v>317</v>
      </c>
      <c r="AR252" s="3" t="str">
        <f>IFERROR(MID(VLOOKUP($B252,Seqs!$A:$B,2,0),AS252,1),"")</f>
        <v>V</v>
      </c>
      <c r="AS252" s="3">
        <v>322</v>
      </c>
      <c r="AT252" s="3" t="str">
        <f>IFERROR(MID(VLOOKUP($B252,Seqs!$A:$B,2,0),AU252,1),"")</f>
        <v>V</v>
      </c>
      <c r="AU252" s="3">
        <v>347</v>
      </c>
      <c r="AV252" s="3" t="str">
        <f>IFERROR(MID(VLOOKUP($B252,Seqs!$A:$B,2,0),AW252,1),"")</f>
        <v>S</v>
      </c>
      <c r="AW252" s="3">
        <v>348</v>
      </c>
      <c r="AX252" s="3" t="str">
        <f>IFERROR(MID(VLOOKUP($B252,Seqs!$A:$B,2,0),AY252,1),"")</f>
        <v>R</v>
      </c>
      <c r="AY252" s="3">
        <v>362</v>
      </c>
      <c r="AZ252" s="77" t="str">
        <f>VLOOKUP(B252,Classification!A:D,2,0)</f>
        <v>A</v>
      </c>
      <c r="BA252" s="94" t="str">
        <f>VLOOKUP(B252,Classification!A:D,4,0)</f>
        <v>Proteinase-activated</v>
      </c>
      <c r="BB252" s="27" t="b">
        <f t="shared" ref="BB252:BB271" si="812">AND(E252&lt;G252,OR(G252&lt;I252,I252="-"),OR(I252&lt;K252,I252="-"),OR(K252&lt;M252,K252="-"),M252&lt;O252,OR(O252&lt;Q252,Q252="-"),OR(Q252&lt;S252,Q252="-"),OR(S252&lt;U252,S252="-"),U252&lt;W252,OR(W252&lt;Y252,Y252="-"),OR(Y252&lt;AA252,Y252="-"),OR(AA252&lt;AC252,AA252="-"),AC252&lt;AE252,OR(AE252&lt;AG252,AG252="-"),OR(AG252&lt;AI252,AG252="-"),OR(AI252&lt;AK252,AI252="-"),AK252&lt;AM252,AM252&lt;AO252,AO252&lt;AQ252,AQ252&lt;AS252,AS252&lt;AU252,OR(AU252&lt;AW252,AW252="-"),OR(AW252&lt;AY252,AW252="-"))</f>
        <v>1</v>
      </c>
      <c r="BC252" s="23">
        <f t="shared" ref="BC252:BC271" si="813">_xlfn.AGGREGATE(9,6,CH252:CS252)-_xlfn.AGGREGATE(9,6,BV252:CG252)+12</f>
        <v>260</v>
      </c>
      <c r="BD252" s="2" t="s">
        <v>23</v>
      </c>
      <c r="BE252" s="3" t="s">
        <v>23</v>
      </c>
      <c r="BF252" s="119" t="s">
        <v>23</v>
      </c>
      <c r="BG252" s="49" t="s">
        <v>1384</v>
      </c>
      <c r="BH252" s="49" t="s">
        <v>1384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ref="BV252:BV271" si="814">E252</f>
        <v>71</v>
      </c>
      <c r="BW252" s="71" t="str">
        <f t="shared" ref="BW252:BW271" si="815">I252</f>
        <v>-</v>
      </c>
      <c r="BX252" s="72">
        <f t="shared" ref="BX252:BX271" si="816">M252</f>
        <v>108</v>
      </c>
      <c r="BY252" s="71">
        <f t="shared" ref="BY252:BY271" si="817">Q252</f>
        <v>138</v>
      </c>
      <c r="BZ252" s="72">
        <f t="shared" ref="BZ252:BZ271" si="818">U252</f>
        <v>144</v>
      </c>
      <c r="CA252" s="71">
        <f t="shared" ref="CA252:CA271" si="819">Y252</f>
        <v>180</v>
      </c>
      <c r="CB252" s="72">
        <f t="shared" ref="CB252:CB271" si="820">AC252</f>
        <v>187</v>
      </c>
      <c r="CC252" s="71">
        <f t="shared" ref="CC252:CC271" si="821">AG252</f>
        <v>226</v>
      </c>
      <c r="CD252" s="72">
        <f t="shared" ref="CD252:CD271" si="822">AK252</f>
        <v>235</v>
      </c>
      <c r="CE252" s="71">
        <f t="shared" ref="CE252:CE271" si="823">AO252</f>
        <v>278</v>
      </c>
      <c r="CF252" s="72">
        <f t="shared" ref="CF252:CF271" si="824">AS252</f>
        <v>322</v>
      </c>
      <c r="CG252" s="71">
        <f t="shared" ref="CG252:CG271" si="825">AW252</f>
        <v>348</v>
      </c>
      <c r="CH252" s="70">
        <f t="shared" ref="CH252:CH271" si="826">G252</f>
        <v>103</v>
      </c>
      <c r="CI252" s="71" t="str">
        <f t="shared" ref="CI252:CI271" si="827">K252</f>
        <v>-</v>
      </c>
      <c r="CJ252" s="72">
        <f t="shared" ref="CJ252:CJ271" si="828">O252</f>
        <v>137</v>
      </c>
      <c r="CK252" s="72">
        <f t="shared" ref="CK252:CK271" si="829">S252</f>
        <v>143</v>
      </c>
      <c r="CL252" s="72">
        <f t="shared" ref="CL252:CL271" si="830">W252</f>
        <v>179</v>
      </c>
      <c r="CM252" s="72">
        <f t="shared" ref="CM252:CM271" si="831">AA252</f>
        <v>186</v>
      </c>
      <c r="CN252" s="72">
        <f t="shared" ref="CN252:CN271" si="832">AE252</f>
        <v>211</v>
      </c>
      <c r="CO252" s="72">
        <f t="shared" ref="CO252:CO271" si="833">AI252</f>
        <v>228</v>
      </c>
      <c r="CP252" s="72">
        <f t="shared" ref="CP252:CP271" si="834">AM252</f>
        <v>272</v>
      </c>
      <c r="CQ252" s="72">
        <f t="shared" ref="CQ252:CQ271" si="835">AQ252</f>
        <v>317</v>
      </c>
      <c r="CR252" s="72">
        <f t="shared" ref="CR252:CR271" si="836">AU252</f>
        <v>347</v>
      </c>
      <c r="CS252" s="72">
        <f t="shared" ref="CS252:CS271" si="837">AY252</f>
        <v>362</v>
      </c>
      <c r="CT252" s="23" t="e">
        <f t="shared" ref="CT252:CT271" si="838">M252-K252</f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811"/>
        <v>par2_human_5NDD</v>
      </c>
      <c r="B253" s="3" t="s">
        <v>356</v>
      </c>
      <c r="C253" s="3" t="s">
        <v>1403</v>
      </c>
      <c r="D253" s="3" t="str">
        <f>IFERROR(MID(VLOOKUP($B253,Seqs!$A:$B,2,0),E253,1),"")</f>
        <v>G</v>
      </c>
      <c r="E253" s="3">
        <v>71</v>
      </c>
      <c r="F253" s="3" t="str">
        <f>IFERROR(MID(VLOOKUP($B253,Seqs!$A:$B,2,0),G253,1),"")</f>
        <v>R</v>
      </c>
      <c r="G253" s="3">
        <v>103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H</v>
      </c>
      <c r="M253" s="3">
        <v>108</v>
      </c>
      <c r="N253" s="3" t="str">
        <f>IFERROR(MID(VLOOKUP($B253,Seqs!$A:$B,2,0),O253,1),"")</f>
        <v>H</v>
      </c>
      <c r="O253" s="3">
        <v>137</v>
      </c>
      <c r="P253" s="3" t="str">
        <f>IFERROR(MID(VLOOKUP($B253,Seqs!$A:$B,2,0),Q253,1),"")</f>
        <v>G</v>
      </c>
      <c r="Q253" s="3">
        <v>138</v>
      </c>
      <c r="R253" s="3" t="str">
        <f>IFERROR(MID(VLOOKUP($B253,Seqs!$A:$B,2,0),S253,1),"")</f>
        <v>Y</v>
      </c>
      <c r="S253" s="3">
        <v>143</v>
      </c>
      <c r="T253" s="3" t="str">
        <f>IFERROR(MID(VLOOKUP($B253,Seqs!$A:$B,2,0),U253,1),"")</f>
        <v>G</v>
      </c>
      <c r="U253" s="3">
        <v>144</v>
      </c>
      <c r="V253" s="3" t="str">
        <f>IFERROR(MID(VLOOKUP($B253,Seqs!$A:$B,2,0),W253,1),"")</f>
        <v>N</v>
      </c>
      <c r="W253" s="3">
        <v>179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H</v>
      </c>
      <c r="AC253" s="3">
        <v>183</v>
      </c>
      <c r="AD253" s="3" t="str">
        <f>IFERROR(MID(VLOOKUP($B253,Seqs!$A:$B,2,0),AE253,1),"")</f>
        <v>V</v>
      </c>
      <c r="AE253" s="3">
        <v>211</v>
      </c>
      <c r="AF253" s="3" t="str">
        <f>IFERROR(MID(VLOOKUP($B253,Seqs!$A:$B,2,0),AG253,1),"")</f>
        <v>C</v>
      </c>
      <c r="AG253" s="3">
        <v>226</v>
      </c>
      <c r="AH253" s="3" t="str">
        <f>IFERROR(MID(VLOOKUP($B253,Seqs!$A:$B,2,0),AI253,1),"")</f>
        <v>D</v>
      </c>
      <c r="AI253" s="3">
        <v>228</v>
      </c>
      <c r="AJ253" s="3" t="str">
        <f>IFERROR(MID(VLOOKUP($B253,Seqs!$A:$B,2,0),AK253,1),"")</f>
        <v>L</v>
      </c>
      <c r="AK253" s="3">
        <v>235</v>
      </c>
      <c r="AL253" s="3" t="str">
        <f>IFERROR(MID(VLOOKUP($B253,Seqs!$A:$B,2,0),AM253,1),"")</f>
        <v>L</v>
      </c>
      <c r="AM253" s="3">
        <v>269</v>
      </c>
      <c r="AN253" s="3" t="str">
        <f>IFERROR(MID(VLOOKUP($B253,Seqs!$A:$B,2,0),AO253,1),"")</f>
        <v>S</v>
      </c>
      <c r="AO253" s="3">
        <v>278</v>
      </c>
      <c r="AP253" s="3" t="str">
        <f>IFERROR(MID(VLOOKUP($B253,Seqs!$A:$B,2,0),AQ253,1),"")</f>
        <v>Q</v>
      </c>
      <c r="AQ253" s="3">
        <v>317</v>
      </c>
      <c r="AR253" s="3" t="str">
        <f>IFERROR(MID(VLOOKUP($B253,Seqs!$A:$B,2,0),AS253,1),"")</f>
        <v>V</v>
      </c>
      <c r="AS253" s="3">
        <v>322</v>
      </c>
      <c r="AT253" s="3" t="str">
        <f>IFERROR(MID(VLOOKUP($B253,Seqs!$A:$B,2,0),AU253,1),"")</f>
        <v>V</v>
      </c>
      <c r="AU253" s="3">
        <v>347</v>
      </c>
      <c r="AV253" s="3" t="str">
        <f>IFERROR(MID(VLOOKUP($B253,Seqs!$A:$B,2,0),AW253,1),"")</f>
        <v>S</v>
      </c>
      <c r="AW253" s="3">
        <v>348</v>
      </c>
      <c r="AX253" s="3" t="str">
        <f>IFERROR(MID(VLOOKUP($B253,Seqs!$A:$B,2,0),AY253,1),"")</f>
        <v>L</v>
      </c>
      <c r="AY253" s="3">
        <v>359</v>
      </c>
      <c r="AZ253" s="77" t="str">
        <f>VLOOKUP(B253,Classification!A:D,2,0)</f>
        <v>A</v>
      </c>
      <c r="BA253" s="94" t="str">
        <f>VLOOKUP(B253,Classification!A:D,4,0)</f>
        <v>Proteinase-activated</v>
      </c>
      <c r="BB253" s="27" t="b">
        <f t="shared" si="812"/>
        <v>1</v>
      </c>
      <c r="BC253" s="23">
        <f t="shared" si="813"/>
        <v>252</v>
      </c>
      <c r="BD253" s="2" t="s">
        <v>1440</v>
      </c>
      <c r="BE253" s="3" t="s">
        <v>1439</v>
      </c>
      <c r="BF253" s="119">
        <v>2.8</v>
      </c>
      <c r="BG253" s="49" t="s">
        <v>1</v>
      </c>
      <c r="BH253" s="49" t="s">
        <v>1384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814"/>
        <v>71</v>
      </c>
      <c r="BW253" s="71" t="str">
        <f t="shared" si="815"/>
        <v>-</v>
      </c>
      <c r="BX253" s="72">
        <f t="shared" si="816"/>
        <v>108</v>
      </c>
      <c r="BY253" s="71">
        <f t="shared" si="817"/>
        <v>138</v>
      </c>
      <c r="BZ253" s="72">
        <f t="shared" si="818"/>
        <v>144</v>
      </c>
      <c r="CA253" s="71" t="str">
        <f t="shared" si="819"/>
        <v>-</v>
      </c>
      <c r="CB253" s="72">
        <f t="shared" si="820"/>
        <v>183</v>
      </c>
      <c r="CC253" s="71">
        <f t="shared" si="821"/>
        <v>226</v>
      </c>
      <c r="CD253" s="72">
        <f t="shared" si="822"/>
        <v>235</v>
      </c>
      <c r="CE253" s="71">
        <f t="shared" si="823"/>
        <v>278</v>
      </c>
      <c r="CF253" s="72">
        <f t="shared" si="824"/>
        <v>322</v>
      </c>
      <c r="CG253" s="71">
        <f t="shared" si="825"/>
        <v>348</v>
      </c>
      <c r="CH253" s="70">
        <f t="shared" si="826"/>
        <v>103</v>
      </c>
      <c r="CI253" s="71" t="str">
        <f t="shared" si="827"/>
        <v>-</v>
      </c>
      <c r="CJ253" s="72">
        <f t="shared" si="828"/>
        <v>137</v>
      </c>
      <c r="CK253" s="72">
        <f t="shared" si="829"/>
        <v>143</v>
      </c>
      <c r="CL253" s="72">
        <f t="shared" si="830"/>
        <v>179</v>
      </c>
      <c r="CM253" s="72" t="str">
        <f t="shared" si="831"/>
        <v>-</v>
      </c>
      <c r="CN253" s="72">
        <f t="shared" si="832"/>
        <v>211</v>
      </c>
      <c r="CO253" s="72">
        <f t="shared" si="833"/>
        <v>228</v>
      </c>
      <c r="CP253" s="72">
        <f t="shared" si="834"/>
        <v>269</v>
      </c>
      <c r="CQ253" s="72">
        <f t="shared" si="835"/>
        <v>317</v>
      </c>
      <c r="CR253" s="72">
        <f t="shared" si="836"/>
        <v>347</v>
      </c>
      <c r="CS253" s="72">
        <f t="shared" si="837"/>
        <v>359</v>
      </c>
      <c r="CT253" s="23" t="e">
        <f t="shared" si="838"/>
        <v>#VALUE!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 t="shared" si="811"/>
        <v>par2_human_5NDZ</v>
      </c>
      <c r="B254" s="3" t="s">
        <v>356</v>
      </c>
      <c r="C254" s="3" t="s">
        <v>1404</v>
      </c>
      <c r="D254" s="3" t="str">
        <f>IFERROR(MID(VLOOKUP($B254,Seqs!$A:$B,2,0),E254,1),"")</f>
        <v>G</v>
      </c>
      <c r="E254" s="3">
        <v>71</v>
      </c>
      <c r="F254" s="3" t="str">
        <f>IFERROR(MID(VLOOKUP($B254,Seqs!$A:$B,2,0),G254,1),"")</f>
        <v>R</v>
      </c>
      <c r="G254" s="3">
        <v>103</v>
      </c>
      <c r="H254" s="3" t="str">
        <f>IFERROR(MID(VLOOKUP($B254,Seqs!$A:$B,2,0),I254,1),"")</f>
        <v/>
      </c>
      <c r="I254" s="23" t="s">
        <v>23</v>
      </c>
      <c r="J254" s="3" t="str">
        <f>IFERROR(MID(VLOOKUP($B254,Seqs!$A:$B,2,0),K254,1),"")</f>
        <v/>
      </c>
      <c r="K254" s="23" t="s">
        <v>23</v>
      </c>
      <c r="L254" s="3" t="str">
        <f>IFERROR(MID(VLOOKUP($B254,Seqs!$A:$B,2,0),M254,1),"")</f>
        <v>H</v>
      </c>
      <c r="M254" s="3">
        <v>108</v>
      </c>
      <c r="N254" s="3" t="str">
        <f>IFERROR(MID(VLOOKUP($B254,Seqs!$A:$B,2,0),O254,1),"")</f>
        <v>H</v>
      </c>
      <c r="O254" s="3">
        <v>137</v>
      </c>
      <c r="P254" s="3" t="str">
        <f>IFERROR(MID(VLOOKUP($B254,Seqs!$A:$B,2,0),Q254,1),"")</f>
        <v>G</v>
      </c>
      <c r="Q254" s="3">
        <v>138</v>
      </c>
      <c r="R254" s="3" t="str">
        <f>IFERROR(MID(VLOOKUP($B254,Seqs!$A:$B,2,0),S254,1),"")</f>
        <v>Y</v>
      </c>
      <c r="S254" s="3">
        <v>143</v>
      </c>
      <c r="T254" s="3" t="str">
        <f>IFERROR(MID(VLOOKUP($B254,Seqs!$A:$B,2,0),U254,1),"")</f>
        <v>G</v>
      </c>
      <c r="U254" s="3">
        <v>144</v>
      </c>
      <c r="V254" s="3" t="str">
        <f>IFERROR(MID(VLOOKUP($B254,Seqs!$A:$B,2,0),W254,1),"")</f>
        <v>N</v>
      </c>
      <c r="W254" s="3">
        <v>179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H</v>
      </c>
      <c r="AC254" s="3">
        <v>183</v>
      </c>
      <c r="AD254" s="3" t="str">
        <f>IFERROR(MID(VLOOKUP($B254,Seqs!$A:$B,2,0),AE254,1),"")</f>
        <v>V</v>
      </c>
      <c r="AE254" s="3">
        <v>211</v>
      </c>
      <c r="AF254" s="3" t="str">
        <f>IFERROR(MID(VLOOKUP($B254,Seqs!$A:$B,2,0),AG254,1),"")</f>
        <v>C</v>
      </c>
      <c r="AG254" s="3">
        <v>226</v>
      </c>
      <c r="AH254" s="3" t="str">
        <f>IFERROR(MID(VLOOKUP($B254,Seqs!$A:$B,2,0),AI254,1),"")</f>
        <v>D</v>
      </c>
      <c r="AI254" s="3">
        <v>228</v>
      </c>
      <c r="AJ254" s="3" t="str">
        <f>IFERROR(MID(VLOOKUP($B254,Seqs!$A:$B,2,0),AK254,1),"")</f>
        <v>L</v>
      </c>
      <c r="AK254" s="3">
        <v>235</v>
      </c>
      <c r="AL254" s="3" t="str">
        <f>IFERROR(MID(VLOOKUP($B254,Seqs!$A:$B,2,0),AM254,1),"")</f>
        <v>L</v>
      </c>
      <c r="AM254" s="3">
        <v>269</v>
      </c>
      <c r="AN254" s="3" t="str">
        <f>IFERROR(MID(VLOOKUP($B254,Seqs!$A:$B,2,0),AO254,1),"")</f>
        <v>S</v>
      </c>
      <c r="AO254" s="3">
        <v>278</v>
      </c>
      <c r="AP254" s="3" t="str">
        <f>IFERROR(MID(VLOOKUP($B254,Seqs!$A:$B,2,0),AQ254,1),"")</f>
        <v>Q</v>
      </c>
      <c r="AQ254" s="3">
        <v>317</v>
      </c>
      <c r="AR254" s="3" t="str">
        <f>IFERROR(MID(VLOOKUP($B254,Seqs!$A:$B,2,0),AS254,1),"")</f>
        <v>V</v>
      </c>
      <c r="AS254" s="3">
        <v>322</v>
      </c>
      <c r="AT254" s="3" t="str">
        <f>IFERROR(MID(VLOOKUP($B254,Seqs!$A:$B,2,0),AU254,1),"")</f>
        <v>S</v>
      </c>
      <c r="AU254" s="3">
        <v>348</v>
      </c>
      <c r="AV254" s="3" t="str">
        <f>IFERROR(MID(VLOOKUP($B254,Seqs!$A:$B,2,0),AW254,1),"")</f>
        <v>H</v>
      </c>
      <c r="AW254" s="3">
        <v>349</v>
      </c>
      <c r="AX254" s="3" t="str">
        <f>IFERROR(MID(VLOOKUP($B254,Seqs!$A:$B,2,0),AY254,1),"")</f>
        <v>L</v>
      </c>
      <c r="AY254" s="3">
        <v>359</v>
      </c>
      <c r="AZ254" s="77" t="str">
        <f>VLOOKUP(B254,Classification!A:D,2,0)</f>
        <v>A</v>
      </c>
      <c r="BA254" s="94" t="str">
        <f>VLOOKUP(B254,Classification!A:D,4,0)</f>
        <v>Proteinase-activated</v>
      </c>
      <c r="BB254" s="27" t="b">
        <f t="shared" si="812"/>
        <v>1</v>
      </c>
      <c r="BC254" s="23">
        <f t="shared" si="813"/>
        <v>252</v>
      </c>
      <c r="BD254" s="2" t="s">
        <v>23</v>
      </c>
      <c r="BE254" s="3" t="s">
        <v>1439</v>
      </c>
      <c r="BF254" s="119">
        <v>3.6</v>
      </c>
      <c r="BG254" s="49" t="s">
        <v>1</v>
      </c>
      <c r="BH254" s="49" t="s">
        <v>1384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814"/>
        <v>71</v>
      </c>
      <c r="BW254" s="71" t="str">
        <f t="shared" si="815"/>
        <v>-</v>
      </c>
      <c r="BX254" s="72">
        <f t="shared" si="816"/>
        <v>108</v>
      </c>
      <c r="BY254" s="71">
        <f t="shared" si="817"/>
        <v>138</v>
      </c>
      <c r="BZ254" s="72">
        <f t="shared" si="818"/>
        <v>144</v>
      </c>
      <c r="CA254" s="71" t="str">
        <f t="shared" si="819"/>
        <v>-</v>
      </c>
      <c r="CB254" s="72">
        <f t="shared" si="820"/>
        <v>183</v>
      </c>
      <c r="CC254" s="71">
        <f t="shared" si="821"/>
        <v>226</v>
      </c>
      <c r="CD254" s="72">
        <f t="shared" si="822"/>
        <v>235</v>
      </c>
      <c r="CE254" s="71">
        <f t="shared" si="823"/>
        <v>278</v>
      </c>
      <c r="CF254" s="72">
        <f t="shared" si="824"/>
        <v>322</v>
      </c>
      <c r="CG254" s="71">
        <f t="shared" si="825"/>
        <v>349</v>
      </c>
      <c r="CH254" s="70">
        <f t="shared" si="826"/>
        <v>103</v>
      </c>
      <c r="CI254" s="71" t="str">
        <f t="shared" si="827"/>
        <v>-</v>
      </c>
      <c r="CJ254" s="72">
        <f t="shared" si="828"/>
        <v>137</v>
      </c>
      <c r="CK254" s="72">
        <f t="shared" si="829"/>
        <v>143</v>
      </c>
      <c r="CL254" s="72">
        <f t="shared" si="830"/>
        <v>179</v>
      </c>
      <c r="CM254" s="72" t="str">
        <f t="shared" si="831"/>
        <v>-</v>
      </c>
      <c r="CN254" s="72">
        <f t="shared" si="832"/>
        <v>211</v>
      </c>
      <c r="CO254" s="72">
        <f t="shared" si="833"/>
        <v>228</v>
      </c>
      <c r="CP254" s="72">
        <f t="shared" si="834"/>
        <v>269</v>
      </c>
      <c r="CQ254" s="72">
        <f t="shared" si="835"/>
        <v>317</v>
      </c>
      <c r="CR254" s="72">
        <f t="shared" si="836"/>
        <v>348</v>
      </c>
      <c r="CS254" s="72">
        <f t="shared" si="837"/>
        <v>359</v>
      </c>
      <c r="CT254" s="23" t="e">
        <f t="shared" si="838"/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 t="shared" si="811"/>
        <v>par2_human_5NJ6</v>
      </c>
      <c r="B255" s="3" t="s">
        <v>356</v>
      </c>
      <c r="C255" s="3" t="s">
        <v>1406</v>
      </c>
      <c r="D255" s="3" t="str">
        <f>IFERROR(MID(VLOOKUP($B255,Seqs!$A:$B,2,0),E255,1),"")</f>
        <v>G</v>
      </c>
      <c r="E255" s="3">
        <v>71</v>
      </c>
      <c r="F255" s="3" t="str">
        <f>IFERROR(MID(VLOOKUP($B255,Seqs!$A:$B,2,0),G255,1),"")</f>
        <v>R</v>
      </c>
      <c r="G255" s="3">
        <v>103</v>
      </c>
      <c r="H255" s="3" t="str">
        <f>IFERROR(MID(VLOOKUP($B255,Seqs!$A:$B,2,0),I255,1),"")</f>
        <v/>
      </c>
      <c r="I255" s="23" t="s">
        <v>23</v>
      </c>
      <c r="J255" s="3" t="str">
        <f>IFERROR(MID(VLOOKUP($B255,Seqs!$A:$B,2,0),K255,1),"")</f>
        <v/>
      </c>
      <c r="K255" s="23" t="s">
        <v>23</v>
      </c>
      <c r="L255" s="3" t="str">
        <f>IFERROR(MID(VLOOKUP($B255,Seqs!$A:$B,2,0),M255,1),"")</f>
        <v>H</v>
      </c>
      <c r="M255" s="3">
        <v>108</v>
      </c>
      <c r="N255" s="3" t="str">
        <f>IFERROR(MID(VLOOKUP($B255,Seqs!$A:$B,2,0),O255,1),"")</f>
        <v>H</v>
      </c>
      <c r="O255" s="3">
        <v>137</v>
      </c>
      <c r="P255" s="3" t="str">
        <f>IFERROR(MID(VLOOKUP($B255,Seqs!$A:$B,2,0),Q255,1),"")</f>
        <v>G</v>
      </c>
      <c r="Q255" s="3">
        <v>138</v>
      </c>
      <c r="R255" s="3" t="str">
        <f>IFERROR(MID(VLOOKUP($B255,Seqs!$A:$B,2,0),S255,1),"")</f>
        <v>Y</v>
      </c>
      <c r="S255" s="3">
        <v>143</v>
      </c>
      <c r="T255" s="3" t="str">
        <f>IFERROR(MID(VLOOKUP($B255,Seqs!$A:$B,2,0),U255,1),"")</f>
        <v>G</v>
      </c>
      <c r="U255" s="3">
        <v>144</v>
      </c>
      <c r="V255" s="3" t="str">
        <f>IFERROR(MID(VLOOKUP($B255,Seqs!$A:$B,2,0),W255,1),"")</f>
        <v>N</v>
      </c>
      <c r="W255" s="3">
        <v>179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H</v>
      </c>
      <c r="AC255" s="3">
        <v>183</v>
      </c>
      <c r="AD255" s="3" t="str">
        <f>IFERROR(MID(VLOOKUP($B255,Seqs!$A:$B,2,0),AE255,1),"")</f>
        <v>V</v>
      </c>
      <c r="AE255" s="3">
        <v>211</v>
      </c>
      <c r="AF255" s="3" t="str">
        <f>IFERROR(MID(VLOOKUP($B255,Seqs!$A:$B,2,0),AG255,1),"")</f>
        <v>C</v>
      </c>
      <c r="AG255" s="3">
        <v>226</v>
      </c>
      <c r="AH255" s="3" t="str">
        <f>IFERROR(MID(VLOOKUP($B255,Seqs!$A:$B,2,0),AI255,1),"")</f>
        <v>D</v>
      </c>
      <c r="AI255" s="3">
        <v>228</v>
      </c>
      <c r="AJ255" s="3" t="str">
        <f>IFERROR(MID(VLOOKUP($B255,Seqs!$A:$B,2,0),AK255,1),"")</f>
        <v>L</v>
      </c>
      <c r="AK255" s="3">
        <v>235</v>
      </c>
      <c r="AL255" s="3" t="str">
        <f>IFERROR(MID(VLOOKUP($B255,Seqs!$A:$B,2,0),AM255,1),"")</f>
        <v>L</v>
      </c>
      <c r="AM255" s="3">
        <v>269</v>
      </c>
      <c r="AN255" s="3" t="str">
        <f>IFERROR(MID(VLOOKUP($B255,Seqs!$A:$B,2,0),AO255,1),"")</f>
        <v>S</v>
      </c>
      <c r="AO255" s="3">
        <v>278</v>
      </c>
      <c r="AP255" s="3" t="str">
        <f>IFERROR(MID(VLOOKUP($B255,Seqs!$A:$B,2,0),AQ255,1),"")</f>
        <v>Q</v>
      </c>
      <c r="AQ255" s="3">
        <v>317</v>
      </c>
      <c r="AR255" s="3" t="str">
        <f>IFERROR(MID(VLOOKUP($B255,Seqs!$A:$B,2,0),AS255,1),"")</f>
        <v>V</v>
      </c>
      <c r="AS255" s="3">
        <v>322</v>
      </c>
      <c r="AT255" s="3" t="str">
        <f>IFERROR(MID(VLOOKUP($B255,Seqs!$A:$B,2,0),AU255,1),"")</f>
        <v>S</v>
      </c>
      <c r="AU255" s="3">
        <v>348</v>
      </c>
      <c r="AV255" s="3" t="str">
        <f>IFERROR(MID(VLOOKUP($B255,Seqs!$A:$B,2,0),AW255,1),"")</f>
        <v>H</v>
      </c>
      <c r="AW255" s="3">
        <v>349</v>
      </c>
      <c r="AX255" s="3" t="str">
        <f>IFERROR(MID(VLOOKUP($B255,Seqs!$A:$B,2,0),AY255,1),"")</f>
        <v>L</v>
      </c>
      <c r="AY255" s="3">
        <v>359</v>
      </c>
      <c r="AZ255" s="77" t="str">
        <f>VLOOKUP(B255,Classification!A:D,2,0)</f>
        <v>A</v>
      </c>
      <c r="BA255" s="94" t="str">
        <f>VLOOKUP(B255,Classification!A:D,4,0)</f>
        <v>Proteinase-activated</v>
      </c>
      <c r="BB255" s="27" t="b">
        <f t="shared" si="812"/>
        <v>1</v>
      </c>
      <c r="BC255" s="23">
        <f t="shared" si="813"/>
        <v>252</v>
      </c>
      <c r="BD255" s="2" t="s">
        <v>23</v>
      </c>
      <c r="BE255" s="3" t="s">
        <v>1439</v>
      </c>
      <c r="BF255" s="119">
        <v>4</v>
      </c>
      <c r="BG255" s="49" t="s">
        <v>1</v>
      </c>
      <c r="BH255" s="49" t="s">
        <v>1384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814"/>
        <v>71</v>
      </c>
      <c r="BW255" s="71" t="str">
        <f t="shared" si="815"/>
        <v>-</v>
      </c>
      <c r="BX255" s="72">
        <f t="shared" si="816"/>
        <v>108</v>
      </c>
      <c r="BY255" s="71">
        <f t="shared" si="817"/>
        <v>138</v>
      </c>
      <c r="BZ255" s="72">
        <f t="shared" si="818"/>
        <v>144</v>
      </c>
      <c r="CA255" s="71" t="str">
        <f t="shared" si="819"/>
        <v>-</v>
      </c>
      <c r="CB255" s="72">
        <f t="shared" si="820"/>
        <v>183</v>
      </c>
      <c r="CC255" s="71">
        <f t="shared" si="821"/>
        <v>226</v>
      </c>
      <c r="CD255" s="72">
        <f t="shared" si="822"/>
        <v>235</v>
      </c>
      <c r="CE255" s="71">
        <f t="shared" si="823"/>
        <v>278</v>
      </c>
      <c r="CF255" s="72">
        <f t="shared" si="824"/>
        <v>322</v>
      </c>
      <c r="CG255" s="71">
        <f t="shared" si="825"/>
        <v>349</v>
      </c>
      <c r="CH255" s="70">
        <f t="shared" si="826"/>
        <v>103</v>
      </c>
      <c r="CI255" s="71" t="str">
        <f t="shared" si="827"/>
        <v>-</v>
      </c>
      <c r="CJ255" s="72">
        <f t="shared" si="828"/>
        <v>137</v>
      </c>
      <c r="CK255" s="72">
        <f t="shared" si="829"/>
        <v>143</v>
      </c>
      <c r="CL255" s="72">
        <f t="shared" si="830"/>
        <v>179</v>
      </c>
      <c r="CM255" s="72" t="str">
        <f t="shared" si="831"/>
        <v>-</v>
      </c>
      <c r="CN255" s="72">
        <f t="shared" si="832"/>
        <v>211</v>
      </c>
      <c r="CO255" s="72">
        <f t="shared" si="833"/>
        <v>228</v>
      </c>
      <c r="CP255" s="72">
        <f t="shared" si="834"/>
        <v>269</v>
      </c>
      <c r="CQ255" s="72">
        <f t="shared" si="835"/>
        <v>317</v>
      </c>
      <c r="CR255" s="72">
        <f t="shared" si="836"/>
        <v>348</v>
      </c>
      <c r="CS255" s="72">
        <f t="shared" si="837"/>
        <v>359</v>
      </c>
      <c r="CT255" s="23" t="e">
        <f t="shared" si="838"/>
        <v>#VALUE!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29" x14ac:dyDescent="0.2">
      <c r="A256" s="3" t="str">
        <f t="shared" ref="A256" si="839">CONCATENATE(B256,"_",C256)</f>
        <v>pd2r2_human__wt</v>
      </c>
      <c r="B256" s="3" t="s">
        <v>360</v>
      </c>
      <c r="C256" s="3" t="s">
        <v>100</v>
      </c>
      <c r="D256" s="3" t="str">
        <f>IFERROR(MID(VLOOKUP($B256,Seqs!$A:$B,2,0),E256,1),"")</f>
        <v>D</v>
      </c>
      <c r="E256" s="3">
        <v>32</v>
      </c>
      <c r="F256" s="3" t="str">
        <f>IFERROR(MID(VLOOKUP($B256,Seqs!$A:$B,2,0),G256,1),"")</f>
        <v>R</v>
      </c>
      <c r="G256" s="3">
        <v>60</v>
      </c>
      <c r="H256" s="3" t="str">
        <f>IFERROR(MID(VLOOKUP($B256,Seqs!$A:$B,2,0),I256,1),"")</f>
        <v/>
      </c>
      <c r="I256" s="23" t="s">
        <v>23</v>
      </c>
      <c r="J256" s="3" t="str">
        <f>IFERROR(MID(VLOOKUP($B256,Seqs!$A:$B,2,0),K256,1),"")</f>
        <v/>
      </c>
      <c r="K256" s="23" t="s">
        <v>23</v>
      </c>
      <c r="L256" s="3" t="str">
        <f>IFERROR(MID(VLOOKUP($B256,Seqs!$A:$B,2,0),M256,1),"")</f>
        <v>T</v>
      </c>
      <c r="M256" s="3">
        <v>64</v>
      </c>
      <c r="N256" s="3" t="str">
        <f>IFERROR(MID(VLOOKUP($B256,Seqs!$A:$B,2,0),O256,1),"")</f>
        <v>G</v>
      </c>
      <c r="O256" s="3">
        <v>94</v>
      </c>
      <c r="P256" s="3" t="str">
        <f>IFERROR(MID(VLOOKUP($B256,Seqs!$A:$B,2,0),Q256,1),"")</f>
        <v>S</v>
      </c>
      <c r="Q256" s="3">
        <v>96</v>
      </c>
      <c r="R256" s="3" t="str">
        <f>IFERROR(MID(VLOOKUP($B256,Seqs!$A:$B,2,0),S256,1),"")</f>
        <v>L</v>
      </c>
      <c r="S256" s="3">
        <v>99</v>
      </c>
      <c r="T256" s="3" t="str">
        <f>IFERROR(MID(VLOOKUP($B256,Seqs!$A:$B,2,0),U256,1),"")</f>
        <v>G</v>
      </c>
      <c r="U256" s="3">
        <v>100</v>
      </c>
      <c r="V256" s="3" t="str">
        <f>IFERROR(MID(VLOOKUP($B256,Seqs!$A:$B,2,0),W256,1),"")</f>
        <v>R</v>
      </c>
      <c r="W256" s="3">
        <v>135</v>
      </c>
      <c r="X256" s="3" t="str">
        <f>IFERROR(MID(VLOOKUP($B256,Seqs!$A:$B,2,0),Y256,1),"")</f>
        <v>P</v>
      </c>
      <c r="Y256" s="3">
        <v>136</v>
      </c>
      <c r="Z256" s="3" t="str">
        <f>IFERROR(MID(VLOOKUP($B256,Seqs!$A:$B,2,0),AA256,1),"")</f>
        <v>R</v>
      </c>
      <c r="AA256" s="3">
        <v>143</v>
      </c>
      <c r="AB256" s="3" t="str">
        <f>IFERROR(MID(VLOOKUP($B256,Seqs!$A:$B,2,0),AC256,1),"")</f>
        <v>T</v>
      </c>
      <c r="AC256" s="3">
        <v>144</v>
      </c>
      <c r="AD256" s="3" t="str">
        <f>IFERROR(MID(VLOOKUP($B256,Seqs!$A:$B,2,0),AE256,1),"")</f>
        <v>R</v>
      </c>
      <c r="AE256" s="3">
        <v>170</v>
      </c>
      <c r="AF256" s="3" t="str">
        <f>IFERROR(MID(VLOOKUP($B256,Seqs!$A:$B,2,0),AG256,1),"")</f>
        <v>C</v>
      </c>
      <c r="AG256" s="3">
        <v>182</v>
      </c>
      <c r="AH256" s="3" t="str">
        <f>IFERROR(MID(VLOOKUP($B256,Seqs!$A:$B,2,0),AI256,1),"")</f>
        <v>Y</v>
      </c>
      <c r="AI256" s="3">
        <v>184</v>
      </c>
      <c r="AJ256" s="3" t="str">
        <f>IFERROR(MID(VLOOKUP($B256,Seqs!$A:$B,2,0),AK256,1),"")</f>
        <v>D</v>
      </c>
      <c r="AK256" s="3">
        <v>194</v>
      </c>
      <c r="AL256" s="3" t="str">
        <f>IFERROR(MID(VLOOKUP($B256,Seqs!$A:$B,2,0),AM256,1),"")</f>
        <v>R</v>
      </c>
      <c r="AM256" s="3">
        <v>236</v>
      </c>
      <c r="AN256" s="3" t="str">
        <f>IFERROR(MID(VLOOKUP($B256,Seqs!$A:$B,2,0),AO256,1),"")</f>
        <v>P</v>
      </c>
      <c r="AO256" s="3">
        <v>241</v>
      </c>
      <c r="AP256" s="3" t="str">
        <f>IFERROR(MID(VLOOKUP($B256,Seqs!$A:$B,2,0),AQ256,1),"")</f>
        <v>A</v>
      </c>
      <c r="AQ256" s="3">
        <v>272</v>
      </c>
      <c r="AR256" s="3" t="str">
        <f>IFERROR(MID(VLOOKUP($B256,Seqs!$A:$B,2,0),AS256,1),"")</f>
        <v>L</v>
      </c>
      <c r="AS256" s="3">
        <v>278</v>
      </c>
      <c r="AT256" s="3" t="str">
        <f>IFERROR(MID(VLOOKUP($B256,Seqs!$A:$B,2,0),AU256,1),"")</f>
        <v>T</v>
      </c>
      <c r="AU256" s="3">
        <v>307</v>
      </c>
      <c r="AV256" s="3" t="str">
        <f>IFERROR(MID(VLOOKUP($B256,Seqs!$A:$B,2,0),AW256,1),"")</f>
        <v>C</v>
      </c>
      <c r="AW256" s="3">
        <v>308</v>
      </c>
      <c r="AX256" s="3" t="str">
        <f>IFERROR(MID(VLOOKUP($B256,Seqs!$A:$B,2,0),AY256,1),"")</f>
        <v>S</v>
      </c>
      <c r="AY256" s="3">
        <v>325</v>
      </c>
      <c r="AZ256" s="77" t="str">
        <f>VLOOKUP(B256,Classification!A:D,2,0)</f>
        <v>A</v>
      </c>
      <c r="BA256" s="94" t="str">
        <f>VLOOKUP(B256,Classification!A:D,4,0)</f>
        <v>Prostanoid</v>
      </c>
      <c r="BB256" s="27" t="b">
        <f t="shared" ref="BB256" si="840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" si="841">_xlfn.AGGREGATE(9,6,CH256:CS256)-_xlfn.AGGREGATE(9,6,BV256:CG256)+12</f>
        <v>262</v>
      </c>
      <c r="BD256" s="2" t="s">
        <v>23</v>
      </c>
      <c r="BE256" s="3" t="s">
        <v>23</v>
      </c>
      <c r="BF256" s="119" t="s">
        <v>23</v>
      </c>
      <c r="BG256" s="49" t="s">
        <v>23</v>
      </c>
      <c r="BH256" s="49" t="s">
        <v>23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ref="BV256" si="842">E256</f>
        <v>32</v>
      </c>
      <c r="BW256" s="71" t="str">
        <f t="shared" ref="BW256" si="843">I256</f>
        <v>-</v>
      </c>
      <c r="BX256" s="72">
        <f t="shared" ref="BX256" si="844">M256</f>
        <v>64</v>
      </c>
      <c r="BY256" s="71">
        <f t="shared" ref="BY256" si="845">Q256</f>
        <v>96</v>
      </c>
      <c r="BZ256" s="72">
        <f t="shared" ref="BZ256" si="846">U256</f>
        <v>100</v>
      </c>
      <c r="CA256" s="71">
        <f t="shared" ref="CA256" si="847">Y256</f>
        <v>136</v>
      </c>
      <c r="CB256" s="72">
        <f t="shared" ref="CB256" si="848">AC256</f>
        <v>144</v>
      </c>
      <c r="CC256" s="71">
        <f t="shared" ref="CC256" si="849">AG256</f>
        <v>182</v>
      </c>
      <c r="CD256" s="72">
        <f t="shared" ref="CD256" si="850">AK256</f>
        <v>194</v>
      </c>
      <c r="CE256" s="71">
        <f t="shared" ref="CE256" si="851">AO256</f>
        <v>241</v>
      </c>
      <c r="CF256" s="72">
        <f t="shared" ref="CF256" si="852">AS256</f>
        <v>278</v>
      </c>
      <c r="CG256" s="71">
        <f t="shared" ref="CG256" si="853">AW256</f>
        <v>308</v>
      </c>
      <c r="CH256" s="70">
        <f t="shared" ref="CH256" si="854">G256</f>
        <v>60</v>
      </c>
      <c r="CI256" s="71" t="str">
        <f t="shared" ref="CI256" si="855">K256</f>
        <v>-</v>
      </c>
      <c r="CJ256" s="72">
        <f t="shared" ref="CJ256" si="856">O256</f>
        <v>94</v>
      </c>
      <c r="CK256" s="72">
        <f t="shared" ref="CK256" si="857">S256</f>
        <v>99</v>
      </c>
      <c r="CL256" s="72">
        <f t="shared" ref="CL256" si="858">W256</f>
        <v>135</v>
      </c>
      <c r="CM256" s="72">
        <f t="shared" ref="CM256" si="859">AA256</f>
        <v>143</v>
      </c>
      <c r="CN256" s="72">
        <f t="shared" ref="CN256" si="860">AE256</f>
        <v>170</v>
      </c>
      <c r="CO256" s="72">
        <f t="shared" ref="CO256" si="861">AI256</f>
        <v>184</v>
      </c>
      <c r="CP256" s="72">
        <f t="shared" ref="CP256" si="862">AM256</f>
        <v>236</v>
      </c>
      <c r="CQ256" s="72">
        <f t="shared" ref="CQ256" si="863">AQ256</f>
        <v>272</v>
      </c>
      <c r="CR256" s="72">
        <f t="shared" ref="CR256" si="864">AU256</f>
        <v>307</v>
      </c>
      <c r="CS256" s="72">
        <f t="shared" ref="CS256" si="865">AY256</f>
        <v>325</v>
      </c>
      <c r="CT256" s="23" t="e">
        <f t="shared" ref="CT256" si="866">M256-K256</f>
        <v>#VALUE!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ref="A257" si="867">CONCATENATE(B257,"_",C257)</f>
        <v>pd2r2_human_6D26</v>
      </c>
      <c r="B257" s="3" t="s">
        <v>360</v>
      </c>
      <c r="C257" s="3" t="s">
        <v>1536</v>
      </c>
      <c r="D257" s="3" t="str">
        <f>IFERROR(MID(VLOOKUP($B257,Seqs!$A:$B,2,0),E257,1),"")</f>
        <v>D</v>
      </c>
      <c r="E257" s="3">
        <v>32</v>
      </c>
      <c r="F257" s="3" t="str">
        <f>IFERROR(MID(VLOOKUP($B257,Seqs!$A:$B,2,0),G257,1),"")</f>
        <v>R</v>
      </c>
      <c r="G257" s="3">
        <v>60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T</v>
      </c>
      <c r="M257" s="3">
        <v>64</v>
      </c>
      <c r="N257" s="3" t="str">
        <f>IFERROR(MID(VLOOKUP($B257,Seqs!$A:$B,2,0),O257,1),"")</f>
        <v>G</v>
      </c>
      <c r="O257" s="3">
        <v>94</v>
      </c>
      <c r="P257" s="3" t="str">
        <f>IFERROR(MID(VLOOKUP($B257,Seqs!$A:$B,2,0),Q257,1),"")</f>
        <v>S</v>
      </c>
      <c r="Q257" s="3">
        <v>96</v>
      </c>
      <c r="R257" s="3" t="str">
        <f>IFERROR(MID(VLOOKUP($B257,Seqs!$A:$B,2,0),S257,1),"")</f>
        <v>L</v>
      </c>
      <c r="S257" s="3">
        <v>99</v>
      </c>
      <c r="T257" s="3" t="str">
        <f>IFERROR(MID(VLOOKUP($B257,Seqs!$A:$B,2,0),U257,1),"")</f>
        <v>T</v>
      </c>
      <c r="U257" s="3">
        <v>101</v>
      </c>
      <c r="V257" s="3" t="str">
        <f>IFERROR(MID(VLOOKUP($B257,Seqs!$A:$B,2,0),W257,1),"")</f>
        <v>R</v>
      </c>
      <c r="W257" s="3">
        <v>135</v>
      </c>
      <c r="X257" s="3" t="str">
        <f>IFERROR(MID(VLOOKUP($B257,Seqs!$A:$B,2,0),Y257,1),"")</f>
        <v>P</v>
      </c>
      <c r="Y257" s="3">
        <v>136</v>
      </c>
      <c r="Z257" s="3" t="str">
        <f>IFERROR(MID(VLOOKUP($B257,Seqs!$A:$B,2,0),AA257,1),"")</f>
        <v>R</v>
      </c>
      <c r="AA257" s="3">
        <v>143</v>
      </c>
      <c r="AB257" s="3" t="str">
        <f>IFERROR(MID(VLOOKUP($B257,Seqs!$A:$B,2,0),AC257,1),"")</f>
        <v>T</v>
      </c>
      <c r="AC257" s="3">
        <v>144</v>
      </c>
      <c r="AD257" s="3" t="str">
        <f>IFERROR(MID(VLOOKUP($B257,Seqs!$A:$B,2,0),AE257,1),"")</f>
        <v>R</v>
      </c>
      <c r="AE257" s="3">
        <v>170</v>
      </c>
      <c r="AF257" s="3" t="str">
        <f>IFERROR(MID(VLOOKUP($B257,Seqs!$A:$B,2,0),AG257,1),"")</f>
        <v>C</v>
      </c>
      <c r="AG257" s="3">
        <v>182</v>
      </c>
      <c r="AH257" s="3" t="str">
        <f>IFERROR(MID(VLOOKUP($B257,Seqs!$A:$B,2,0),AI257,1),"")</f>
        <v>Y</v>
      </c>
      <c r="AI257" s="3">
        <v>184</v>
      </c>
      <c r="AJ257" s="3" t="str">
        <f>IFERROR(MID(VLOOKUP($B257,Seqs!$A:$B,2,0),AK257,1),"")</f>
        <v>D</v>
      </c>
      <c r="AK257" s="3">
        <v>194</v>
      </c>
      <c r="AL257" s="3" t="str">
        <f>IFERROR(MID(VLOOKUP($B257,Seqs!$A:$B,2,0),AM257,1),"")</f>
        <v>R</v>
      </c>
      <c r="AM257" s="3">
        <v>236</v>
      </c>
      <c r="AN257" s="3" t="str">
        <f>IFERROR(MID(VLOOKUP($B257,Seqs!$A:$B,2,0),AO257,1),"")</f>
        <v>F</v>
      </c>
      <c r="AO257" s="3">
        <v>244</v>
      </c>
      <c r="AP257" s="3" t="str">
        <f>IFERROR(MID(VLOOKUP($B257,Seqs!$A:$B,2,0),AQ257,1),"")</f>
        <v>R</v>
      </c>
      <c r="AQ257" s="3">
        <v>271</v>
      </c>
      <c r="AR257" s="3" t="str">
        <f>IFERROR(MID(VLOOKUP($B257,Seqs!$A:$B,2,0),AS257,1),"")</f>
        <v>L</v>
      </c>
      <c r="AS257" s="3">
        <v>278</v>
      </c>
      <c r="AT257" s="3" t="str">
        <f>IFERROR(MID(VLOOKUP($B257,Seqs!$A:$B,2,0),AU257,1),"")</f>
        <v>T</v>
      </c>
      <c r="AU257" s="3">
        <v>307</v>
      </c>
      <c r="AV257" s="3" t="str">
        <f>IFERROR(MID(VLOOKUP($B257,Seqs!$A:$B,2,0),AW257,1),"")</f>
        <v>C</v>
      </c>
      <c r="AW257" s="3">
        <v>308</v>
      </c>
      <c r="AX257" s="3" t="str">
        <f>IFERROR(MID(VLOOKUP($B257,Seqs!$A:$B,2,0),AY257,1),"")</f>
        <v>S</v>
      </c>
      <c r="AY257" s="3">
        <v>325</v>
      </c>
      <c r="AZ257" s="77" t="str">
        <f>VLOOKUP(B257,Classification!A:D,2,0)</f>
        <v>A</v>
      </c>
      <c r="BA257" s="94" t="str">
        <f>VLOOKUP(B257,Classification!A:D,4,0)</f>
        <v>Prostanoid</v>
      </c>
      <c r="BB257" s="27" t="b">
        <f t="shared" ref="BB257" si="868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" si="869">_xlfn.AGGREGATE(9,6,CH257:CS257)-_xlfn.AGGREGATE(9,6,BV257:CG257)+12</f>
        <v>257</v>
      </c>
      <c r="BD257" s="2" t="s">
        <v>23</v>
      </c>
      <c r="BE257" s="3" t="s">
        <v>1381</v>
      </c>
      <c r="BF257" s="119">
        <v>2.8</v>
      </c>
      <c r="BG257" s="49" t="s">
        <v>1</v>
      </c>
      <c r="BH257" s="49" t="s">
        <v>1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ref="BV257" si="870">E257</f>
        <v>32</v>
      </c>
      <c r="BW257" s="71" t="str">
        <f t="shared" ref="BW257" si="871">I257</f>
        <v>-</v>
      </c>
      <c r="BX257" s="72">
        <f t="shared" ref="BX257" si="872">M257</f>
        <v>64</v>
      </c>
      <c r="BY257" s="71">
        <f t="shared" ref="BY257" si="873">Q257</f>
        <v>96</v>
      </c>
      <c r="BZ257" s="72">
        <f t="shared" ref="BZ257" si="874">U257</f>
        <v>101</v>
      </c>
      <c r="CA257" s="71">
        <f t="shared" ref="CA257" si="875">Y257</f>
        <v>136</v>
      </c>
      <c r="CB257" s="72">
        <f t="shared" ref="CB257" si="876">AC257</f>
        <v>144</v>
      </c>
      <c r="CC257" s="71">
        <f t="shared" ref="CC257" si="877">AG257</f>
        <v>182</v>
      </c>
      <c r="CD257" s="72">
        <f t="shared" ref="CD257" si="878">AK257</f>
        <v>194</v>
      </c>
      <c r="CE257" s="71">
        <f t="shared" ref="CE257" si="879">AO257</f>
        <v>244</v>
      </c>
      <c r="CF257" s="72">
        <f t="shared" ref="CF257" si="880">AS257</f>
        <v>278</v>
      </c>
      <c r="CG257" s="71">
        <f t="shared" ref="CG257" si="881">AW257</f>
        <v>308</v>
      </c>
      <c r="CH257" s="70">
        <f t="shared" ref="CH257" si="882">G257</f>
        <v>60</v>
      </c>
      <c r="CI257" s="71" t="str">
        <f t="shared" ref="CI257" si="883">K257</f>
        <v>-</v>
      </c>
      <c r="CJ257" s="72">
        <f t="shared" ref="CJ257" si="884">O257</f>
        <v>94</v>
      </c>
      <c r="CK257" s="72">
        <f t="shared" ref="CK257" si="885">S257</f>
        <v>99</v>
      </c>
      <c r="CL257" s="72">
        <f t="shared" ref="CL257" si="886">W257</f>
        <v>135</v>
      </c>
      <c r="CM257" s="72">
        <f t="shared" ref="CM257" si="887">AA257</f>
        <v>143</v>
      </c>
      <c r="CN257" s="72">
        <f t="shared" ref="CN257" si="888">AE257</f>
        <v>170</v>
      </c>
      <c r="CO257" s="72">
        <f t="shared" ref="CO257" si="889">AI257</f>
        <v>184</v>
      </c>
      <c r="CP257" s="72">
        <f t="shared" ref="CP257" si="890">AM257</f>
        <v>236</v>
      </c>
      <c r="CQ257" s="72">
        <f t="shared" ref="CQ257" si="891">AQ257</f>
        <v>271</v>
      </c>
      <c r="CR257" s="72">
        <f t="shared" ref="CR257" si="892">AU257</f>
        <v>307</v>
      </c>
      <c r="CS257" s="72">
        <f t="shared" ref="CS257" si="893">AY257</f>
        <v>325</v>
      </c>
      <c r="CT257" s="23" t="e">
        <f t="shared" ref="CT257" si="894">M257-K257</f>
        <v>#VALUE!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ref="A258" si="895">CONCATENATE(B258,"_",C258)</f>
        <v>pd2r2_human_6D29</v>
      </c>
      <c r="B258" s="3" t="s">
        <v>360</v>
      </c>
      <c r="C258" s="3" t="s">
        <v>1559</v>
      </c>
      <c r="D258" s="3" t="str">
        <f>IFERROR(MID(VLOOKUP($B258,Seqs!$A:$B,2,0),E258,1),"")</f>
        <v>A</v>
      </c>
      <c r="E258" s="3">
        <v>34</v>
      </c>
      <c r="F258" s="3" t="str">
        <f>IFERROR(MID(VLOOKUP($B258,Seqs!$A:$B,2,0),G258,1),"")</f>
        <v>R</v>
      </c>
      <c r="G258" s="3">
        <v>62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V</v>
      </c>
      <c r="M258" s="3">
        <v>66</v>
      </c>
      <c r="N258" s="3" t="str">
        <f>IFERROR(MID(VLOOKUP($B258,Seqs!$A:$B,2,0),O258,1),"")</f>
        <v>S</v>
      </c>
      <c r="O258" s="3">
        <v>96</v>
      </c>
      <c r="P258" s="3" t="str">
        <f>IFERROR(MID(VLOOKUP($B258,Seqs!$A:$B,2,0),Q258,1),"")</f>
        <v>E</v>
      </c>
      <c r="Q258" s="3">
        <v>98</v>
      </c>
      <c r="R258" s="3" t="str">
        <f>IFERROR(MID(VLOOKUP($B258,Seqs!$A:$B,2,0),S258,1),"")</f>
        <v>T</v>
      </c>
      <c r="S258" s="3">
        <v>101</v>
      </c>
      <c r="T258" s="3" t="str">
        <f>IFERROR(MID(VLOOKUP($B258,Seqs!$A:$B,2,0),U258,1),"")</f>
        <v>F</v>
      </c>
      <c r="U258" s="3">
        <v>103</v>
      </c>
      <c r="V258" s="3" t="str">
        <f>IFERROR(MID(VLOOKUP($B258,Seqs!$A:$B,2,0),W258,1),"")</f>
        <v>V</v>
      </c>
      <c r="W258" s="3">
        <v>137</v>
      </c>
      <c r="X258" s="3" t="str">
        <f>IFERROR(MID(VLOOKUP($B258,Seqs!$A:$B,2,0),Y258,1),"")</f>
        <v>W</v>
      </c>
      <c r="Y258" s="3">
        <v>138</v>
      </c>
      <c r="Z258" s="3" t="str">
        <f>IFERROR(MID(VLOOKUP($B258,Seqs!$A:$B,2,0),AA258,1),"")</f>
        <v>V</v>
      </c>
      <c r="AA258" s="3">
        <v>145</v>
      </c>
      <c r="AB258" s="3" t="str">
        <f>IFERROR(MID(VLOOKUP($B258,Seqs!$A:$B,2,0),AC258,1),"")</f>
        <v>A</v>
      </c>
      <c r="AC258" s="3">
        <v>146</v>
      </c>
      <c r="AD258" s="3" t="str">
        <f>IFERROR(MID(VLOOKUP($B258,Seqs!$A:$B,2,0),AE258,1),"")</f>
        <v>T</v>
      </c>
      <c r="AE258" s="3">
        <v>172</v>
      </c>
      <c r="AF258" s="3" t="str">
        <f>IFERROR(MID(VLOOKUP($B258,Seqs!$A:$B,2,0),AG258,1),"")</f>
        <v>Y</v>
      </c>
      <c r="AG258" s="3">
        <v>184</v>
      </c>
      <c r="AH258" s="3" t="str">
        <f>IFERROR(MID(VLOOKUP($B258,Seqs!$A:$B,2,0),AI258,1),"")</f>
        <v>V</v>
      </c>
      <c r="AI258" s="3">
        <v>186</v>
      </c>
      <c r="AJ258" s="3" t="str">
        <f>IFERROR(MID(VLOOKUP($B258,Seqs!$A:$B,2,0),AK258,1),"")</f>
        <v>D</v>
      </c>
      <c r="AK258" s="3">
        <v>196</v>
      </c>
      <c r="AL258" s="3" t="str">
        <f>IFERROR(MID(VLOOKUP($B258,Seqs!$A:$B,2,0),AM258,1),"")</f>
        <v>R</v>
      </c>
      <c r="AM258" s="3">
        <v>238</v>
      </c>
      <c r="AN258" s="3" t="str">
        <f>IFERROR(MID(VLOOKUP($B258,Seqs!$A:$B,2,0),AO258,1),"")</f>
        <v>R</v>
      </c>
      <c r="AO258" s="3">
        <v>246</v>
      </c>
      <c r="AP258" s="3" t="str">
        <f>IFERROR(MID(VLOOKUP($B258,Seqs!$A:$B,2,0),AQ258,1),"")</f>
        <v>H</v>
      </c>
      <c r="AQ258" s="3">
        <v>273</v>
      </c>
      <c r="AR258" s="3" t="str">
        <f>IFERROR(MID(VLOOKUP($B258,Seqs!$A:$B,2,0),AS258,1),"")</f>
        <v>P</v>
      </c>
      <c r="AS258" s="3">
        <v>280</v>
      </c>
      <c r="AT258" s="3" t="str">
        <f>IFERROR(MID(VLOOKUP($B258,Seqs!$A:$B,2,0),AU258,1),"")</f>
        <v>P</v>
      </c>
      <c r="AU258" s="3">
        <v>309</v>
      </c>
      <c r="AV258" s="3" t="str">
        <f>IFERROR(MID(VLOOKUP($B258,Seqs!$A:$B,2,0),AW258,1),"")</f>
        <v>D</v>
      </c>
      <c r="AW258" s="3">
        <v>310</v>
      </c>
      <c r="AX258" s="3" t="str">
        <f>IFERROR(MID(VLOOKUP($B258,Seqs!$A:$B,2,0),AY258,1),"")</f>
        <v>D</v>
      </c>
      <c r="AY258" s="3">
        <v>329</v>
      </c>
      <c r="AZ258" s="77" t="str">
        <f>VLOOKUP(B258,Classification!A:D,2,0)</f>
        <v>A</v>
      </c>
      <c r="BA258" s="94" t="str">
        <f>VLOOKUP(B258,Classification!A:D,4,0)</f>
        <v>Prostanoid</v>
      </c>
      <c r="BB258" s="27" t="b">
        <f t="shared" ref="BB258" si="896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" si="897">_xlfn.AGGREGATE(9,6,CH258:CS258)-_xlfn.AGGREGATE(9,6,BV258:CG258)+12</f>
        <v>259</v>
      </c>
      <c r="BD258" s="2" t="s">
        <v>1383</v>
      </c>
      <c r="BE258" s="3" t="s">
        <v>1381</v>
      </c>
      <c r="BF258" s="119">
        <v>4.74</v>
      </c>
      <c r="BG258" s="49" t="s">
        <v>1</v>
      </c>
      <c r="BH258" s="49" t="s">
        <v>1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ref="BV258" si="898">E258</f>
        <v>34</v>
      </c>
      <c r="BW258" s="71" t="str">
        <f t="shared" ref="BW258" si="899">I258</f>
        <v>-</v>
      </c>
      <c r="BX258" s="72">
        <f t="shared" ref="BX258" si="900">M258</f>
        <v>66</v>
      </c>
      <c r="BY258" s="71">
        <f t="shared" ref="BY258" si="901">Q258</f>
        <v>98</v>
      </c>
      <c r="BZ258" s="72">
        <f t="shared" ref="BZ258" si="902">U258</f>
        <v>103</v>
      </c>
      <c r="CA258" s="71">
        <f t="shared" ref="CA258" si="903">Y258</f>
        <v>138</v>
      </c>
      <c r="CB258" s="72">
        <f t="shared" ref="CB258" si="904">AC258</f>
        <v>146</v>
      </c>
      <c r="CC258" s="71">
        <f t="shared" ref="CC258" si="905">AG258</f>
        <v>184</v>
      </c>
      <c r="CD258" s="72">
        <f t="shared" ref="CD258" si="906">AK258</f>
        <v>196</v>
      </c>
      <c r="CE258" s="71">
        <f t="shared" ref="CE258" si="907">AO258</f>
        <v>246</v>
      </c>
      <c r="CF258" s="72">
        <f t="shared" ref="CF258" si="908">AS258</f>
        <v>280</v>
      </c>
      <c r="CG258" s="71">
        <f t="shared" ref="CG258" si="909">AW258</f>
        <v>310</v>
      </c>
      <c r="CH258" s="70">
        <f t="shared" ref="CH258" si="910">G258</f>
        <v>62</v>
      </c>
      <c r="CI258" s="71" t="str">
        <f t="shared" ref="CI258" si="911">K258</f>
        <v>-</v>
      </c>
      <c r="CJ258" s="72">
        <f t="shared" ref="CJ258" si="912">O258</f>
        <v>96</v>
      </c>
      <c r="CK258" s="72">
        <f t="shared" ref="CK258" si="913">S258</f>
        <v>101</v>
      </c>
      <c r="CL258" s="72">
        <f t="shared" ref="CL258" si="914">W258</f>
        <v>137</v>
      </c>
      <c r="CM258" s="72">
        <f t="shared" ref="CM258" si="915">AA258</f>
        <v>145</v>
      </c>
      <c r="CN258" s="72">
        <f t="shared" ref="CN258" si="916">AE258</f>
        <v>172</v>
      </c>
      <c r="CO258" s="72">
        <f t="shared" ref="CO258" si="917">AI258</f>
        <v>186</v>
      </c>
      <c r="CP258" s="72">
        <f t="shared" ref="CP258" si="918">AM258</f>
        <v>238</v>
      </c>
      <c r="CQ258" s="72">
        <f t="shared" ref="CQ258" si="919">AQ258</f>
        <v>273</v>
      </c>
      <c r="CR258" s="72">
        <f t="shared" ref="CR258" si="920">AU258</f>
        <v>309</v>
      </c>
      <c r="CS258" s="72">
        <f t="shared" ref="CS258" si="921">AY258</f>
        <v>329</v>
      </c>
      <c r="CT258" s="23" t="e">
        <f t="shared" ref="CT258" si="922">M258-K258</f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s="12" customFormat="1" x14ac:dyDescent="0.2">
      <c r="A259" s="9" t="str">
        <f t="shared" ref="A259:A261" si="923">CONCATENATE(B259,"_",C259)</f>
        <v>pe2r3_human__wt</v>
      </c>
      <c r="B259" s="9" t="s">
        <v>363</v>
      </c>
      <c r="C259" s="9" t="s">
        <v>100</v>
      </c>
      <c r="D259" s="9" t="str">
        <f>IFERROR(MID(VLOOKUP($B259,Seqs!$A:$B,2,0),E259,1),"")</f>
        <v>V</v>
      </c>
      <c r="E259" s="9">
        <v>52</v>
      </c>
      <c r="F259" s="9" t="str">
        <f>IFERROR(MID(VLOOKUP($B259,Seqs!$A:$B,2,0),G259,1),"")</f>
        <v>R</v>
      </c>
      <c r="G259" s="9">
        <v>78</v>
      </c>
      <c r="H259" s="9" t="str">
        <f>IFERROR(MID(VLOOKUP($B259,Seqs!$A:$B,2,0),I259,1),"")</f>
        <v/>
      </c>
      <c r="I259" s="109" t="s">
        <v>23</v>
      </c>
      <c r="J259" s="9" t="str">
        <f>IFERROR(MID(VLOOKUP($B259,Seqs!$A:$B,2,0),K259,1),"")</f>
        <v/>
      </c>
      <c r="K259" s="109" t="s">
        <v>23</v>
      </c>
      <c r="L259" s="9" t="str">
        <f>IFERROR(MID(VLOOKUP($B259,Seqs!$A:$B,2,0),M259,1),"")</f>
        <v>K</v>
      </c>
      <c r="M259" s="9">
        <v>85</v>
      </c>
      <c r="N259" s="9" t="str">
        <f>IFERROR(MID(VLOOKUP($B259,Seqs!$A:$B,2,0),O259,1),"")</f>
        <v>K</v>
      </c>
      <c r="O259" s="9">
        <v>117</v>
      </c>
      <c r="P259" s="9" t="str">
        <f>IFERROR(MID(VLOOKUP($B259,Seqs!$A:$B,2,0),Q259,1),"")</f>
        <v>Q</v>
      </c>
      <c r="Q259" s="9">
        <v>118</v>
      </c>
      <c r="R259" s="9" t="str">
        <f>IFERROR(MID(VLOOKUP($B259,Seqs!$A:$B,2,0),S259,1),"")</f>
        <v>S</v>
      </c>
      <c r="S259" s="9">
        <v>126</v>
      </c>
      <c r="T259" s="9" t="str">
        <f>IFERROR(MID(VLOOKUP($B259,Seqs!$A:$B,2,0),U259,1),"")</f>
        <v>G</v>
      </c>
      <c r="U259" s="9">
        <v>127</v>
      </c>
      <c r="V259" s="9" t="str">
        <f>IFERROR(MID(VLOOKUP($B259,Seqs!$A:$B,2,0),W259,1),"")</f>
        <v>A</v>
      </c>
      <c r="W259" s="9">
        <v>161</v>
      </c>
      <c r="X259" s="9" t="str">
        <f>IFERROR(MID(VLOOKUP($B259,Seqs!$A:$B,2,0),Y259,1),"")</f>
        <v>P</v>
      </c>
      <c r="Y259" s="9">
        <v>162</v>
      </c>
      <c r="Z259" s="9" t="str">
        <f>IFERROR(MID(VLOOKUP($B259,Seqs!$A:$B,2,0),AA259,1),"")</f>
        <v>M</v>
      </c>
      <c r="AA259" s="9">
        <v>169</v>
      </c>
      <c r="AB259" s="9" t="str">
        <f>IFERROR(MID(VLOOKUP($B259,Seqs!$A:$B,2,0),AC259,1),"")</f>
        <v>K</v>
      </c>
      <c r="AC259" s="9">
        <v>170</v>
      </c>
      <c r="AD259" s="9" t="str">
        <f>IFERROR(MID(VLOOKUP($B259,Seqs!$A:$B,2,0),AE259,1),"")</f>
        <v>G</v>
      </c>
      <c r="AE259" s="9">
        <v>195</v>
      </c>
      <c r="AF259" s="9" t="str">
        <f>IFERROR(MID(VLOOKUP($B259,Seqs!$A:$B,2,0),AG259,1),"")</f>
        <v>C</v>
      </c>
      <c r="AG259" s="9">
        <v>208</v>
      </c>
      <c r="AH259" s="9" t="str">
        <f>IFERROR(MID(VLOOKUP($B259,Seqs!$A:$B,2,0),AI259,1),"")</f>
        <v>I</v>
      </c>
      <c r="AI259" s="9">
        <v>210</v>
      </c>
      <c r="AJ259" s="9" t="str">
        <f>IFERROR(MID(VLOOKUP($B259,Seqs!$A:$B,2,0),AK259,1),"")</f>
        <v>W</v>
      </c>
      <c r="AK259" s="9">
        <v>225</v>
      </c>
      <c r="AL259" s="9" t="str">
        <f>IFERROR(MID(VLOOKUP($B259,Seqs!$A:$B,2,0),AM259,1),"")</f>
        <v>T</v>
      </c>
      <c r="AM259" s="9">
        <v>265</v>
      </c>
      <c r="AN259" s="9" t="str">
        <f>IFERROR(MID(VLOOKUP($B259,Seqs!$A:$B,2,0),AO259,1),"")</f>
        <v>A</v>
      </c>
      <c r="AO259" s="9">
        <v>271</v>
      </c>
      <c r="AP259" s="9" t="str">
        <f>IFERROR(MID(VLOOKUP($B259,Seqs!$A:$B,2,0),AQ259,1),"")</f>
        <v>S</v>
      </c>
      <c r="AQ259" s="9">
        <v>311</v>
      </c>
      <c r="AR259" s="9" t="str">
        <f>IFERROR(MID(VLOOKUP($B259,Seqs!$A:$B,2,0),AS259,1),"")</f>
        <v>T</v>
      </c>
      <c r="AS259" s="9">
        <v>317</v>
      </c>
      <c r="AT259" s="9" t="str">
        <f>IFERROR(MID(VLOOKUP($B259,Seqs!$A:$B,2,0),AU259,1),"")</f>
        <v>Y</v>
      </c>
      <c r="AU259" s="9">
        <v>346</v>
      </c>
      <c r="AV259" s="9" t="str">
        <f>IFERROR(MID(VLOOKUP($B259,Seqs!$A:$B,2,0),AW259,1),"")</f>
        <v>L</v>
      </c>
      <c r="AW259" s="9">
        <v>347</v>
      </c>
      <c r="AX259" s="9" t="str">
        <f>IFERROR(MID(VLOOKUP($B259,Seqs!$A:$B,2,0),AY259,1),"")</f>
        <v>S</v>
      </c>
      <c r="AY259" s="9">
        <v>369</v>
      </c>
      <c r="AZ259" s="110" t="str">
        <f>VLOOKUP(B259,Classification!A:D,2,0)</f>
        <v>A</v>
      </c>
      <c r="BA259" s="98" t="str">
        <f>VLOOKUP(B259,Classification!A:D,4,0)</f>
        <v>Prostanoid</v>
      </c>
      <c r="BB259" s="36" t="b">
        <f t="shared" ref="BB259:BB261" si="924"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109">
        <f t="shared" ref="BC259:BC261" si="925">_xlfn.AGGREGATE(9,6,CH259:CS259)-_xlfn.AGGREGATE(9,6,BV259:CG259)+12</f>
        <v>277</v>
      </c>
      <c r="BD259" s="40" t="s">
        <v>23</v>
      </c>
      <c r="BE259" s="9" t="s">
        <v>23</v>
      </c>
      <c r="BF259" s="120" t="s">
        <v>23</v>
      </c>
      <c r="BG259" s="51" t="s">
        <v>23</v>
      </c>
      <c r="BH259" s="51" t="s">
        <v>23</v>
      </c>
      <c r="BJ259" s="111" t="s">
        <v>1293</v>
      </c>
      <c r="BK259" s="112" t="s">
        <v>1293</v>
      </c>
      <c r="BL259" s="112" t="s">
        <v>1293</v>
      </c>
      <c r="BM259" s="112" t="s">
        <v>1293</v>
      </c>
      <c r="BN259" s="112" t="s">
        <v>1293</v>
      </c>
      <c r="BO259" s="112" t="s">
        <v>1293</v>
      </c>
      <c r="BP259" s="112" t="s">
        <v>1293</v>
      </c>
      <c r="BQ259" s="112" t="s">
        <v>1293</v>
      </c>
      <c r="BR259" s="112" t="s">
        <v>1293</v>
      </c>
      <c r="BS259" s="112" t="s">
        <v>1293</v>
      </c>
      <c r="BT259" s="112" t="s">
        <v>1293</v>
      </c>
      <c r="BU259" s="112" t="s">
        <v>1293</v>
      </c>
      <c r="BV259" s="111">
        <f t="shared" ref="BV259:BV261" si="926">E259</f>
        <v>52</v>
      </c>
      <c r="BW259" s="113" t="str">
        <f t="shared" ref="BW259:BW261" si="927">I259</f>
        <v>-</v>
      </c>
      <c r="BX259" s="114">
        <f t="shared" ref="BX259:BX261" si="928">M259</f>
        <v>85</v>
      </c>
      <c r="BY259" s="113">
        <f t="shared" ref="BY259:BY261" si="929">Q259</f>
        <v>118</v>
      </c>
      <c r="BZ259" s="114">
        <f t="shared" ref="BZ259:BZ261" si="930">U259</f>
        <v>127</v>
      </c>
      <c r="CA259" s="113">
        <f t="shared" ref="CA259:CA261" si="931">Y259</f>
        <v>162</v>
      </c>
      <c r="CB259" s="114">
        <f t="shared" ref="CB259:CB261" si="932">AC259</f>
        <v>170</v>
      </c>
      <c r="CC259" s="113">
        <f t="shared" ref="CC259:CC261" si="933">AG259</f>
        <v>208</v>
      </c>
      <c r="CD259" s="114">
        <f t="shared" ref="CD259:CD261" si="934">AK259</f>
        <v>225</v>
      </c>
      <c r="CE259" s="113">
        <f t="shared" ref="CE259:CE261" si="935">AO259</f>
        <v>271</v>
      </c>
      <c r="CF259" s="114">
        <f t="shared" ref="CF259:CF261" si="936">AS259</f>
        <v>317</v>
      </c>
      <c r="CG259" s="113">
        <f t="shared" ref="CG259:CG261" si="937">AW259</f>
        <v>347</v>
      </c>
      <c r="CH259" s="111">
        <f t="shared" ref="CH259:CH261" si="938">G259</f>
        <v>78</v>
      </c>
      <c r="CI259" s="113" t="str">
        <f t="shared" ref="CI259:CI261" si="939">K259</f>
        <v>-</v>
      </c>
      <c r="CJ259" s="114">
        <f t="shared" ref="CJ259:CJ261" si="940">O259</f>
        <v>117</v>
      </c>
      <c r="CK259" s="114">
        <f t="shared" ref="CK259:CK261" si="941">S259</f>
        <v>126</v>
      </c>
      <c r="CL259" s="114">
        <f t="shared" ref="CL259:CL261" si="942">W259</f>
        <v>161</v>
      </c>
      <c r="CM259" s="114">
        <f t="shared" ref="CM259:CM261" si="943">AA259</f>
        <v>169</v>
      </c>
      <c r="CN259" s="114">
        <f t="shared" ref="CN259:CN261" si="944">AE259</f>
        <v>195</v>
      </c>
      <c r="CO259" s="114">
        <f t="shared" ref="CO259:CO261" si="945">AI259</f>
        <v>210</v>
      </c>
      <c r="CP259" s="114">
        <f t="shared" ref="CP259:CP261" si="946">AM259</f>
        <v>265</v>
      </c>
      <c r="CQ259" s="114">
        <f t="shared" ref="CQ259:CQ261" si="947">AQ259</f>
        <v>311</v>
      </c>
      <c r="CR259" s="114">
        <f t="shared" ref="CR259:CR261" si="948">AU259</f>
        <v>346</v>
      </c>
      <c r="CS259" s="114">
        <f t="shared" ref="CS259:CS261" si="949">AY259</f>
        <v>369</v>
      </c>
      <c r="CT259" s="109" t="e">
        <f t="shared" ref="CT259:CT261" si="950">M259-K259</f>
        <v>#VALUE!</v>
      </c>
    </row>
    <row r="260" spans="1:1029" s="12" customFormat="1" x14ac:dyDescent="0.2">
      <c r="A260" s="9" t="str">
        <f t="shared" ref="A260" si="951">CONCATENATE(B260,"_",C260)</f>
        <v>pe2r3_human_6AK3</v>
      </c>
      <c r="B260" s="9" t="s">
        <v>363</v>
      </c>
      <c r="C260" s="9" t="s">
        <v>1564</v>
      </c>
      <c r="D260" s="9" t="str">
        <f>IFERROR(MID(VLOOKUP($B260,Seqs!$A:$B,2,0),E260,1),"")</f>
        <v>V</v>
      </c>
      <c r="E260" s="9">
        <v>52</v>
      </c>
      <c r="F260" s="9" t="str">
        <f>IFERROR(MID(VLOOKUP($B260,Seqs!$A:$B,2,0),G260,1),"")</f>
        <v>Y</v>
      </c>
      <c r="G260" s="9">
        <v>77</v>
      </c>
      <c r="H260" s="9" t="str">
        <f>IFERROR(MID(VLOOKUP($B260,Seqs!$A:$B,2,0),I260,1),"")</f>
        <v/>
      </c>
      <c r="I260" s="109" t="s">
        <v>23</v>
      </c>
      <c r="J260" s="9" t="str">
        <f>IFERROR(MID(VLOOKUP($B260,Seqs!$A:$B,2,0),K260,1),"")</f>
        <v/>
      </c>
      <c r="K260" s="109" t="s">
        <v>23</v>
      </c>
      <c r="L260" s="9" t="str">
        <f>IFERROR(MID(VLOOKUP($B260,Seqs!$A:$B,2,0),M260,1),"")</f>
        <v>K</v>
      </c>
      <c r="M260" s="9">
        <v>86</v>
      </c>
      <c r="N260" s="9" t="str">
        <f>IFERROR(MID(VLOOKUP($B260,Seqs!$A:$B,2,0),O260,1),"")</f>
        <v>K</v>
      </c>
      <c r="O260" s="9">
        <v>117</v>
      </c>
      <c r="P260" s="9" t="str">
        <f>IFERROR(MID(VLOOKUP($B260,Seqs!$A:$B,2,0),Q260,1),"")</f>
        <v/>
      </c>
      <c r="Q260" s="9" t="s">
        <v>23</v>
      </c>
      <c r="R260" s="9" t="str">
        <f>IFERROR(MID(VLOOKUP($B260,Seqs!$A:$B,2,0),S260,1),"")</f>
        <v/>
      </c>
      <c r="S260" s="9" t="s">
        <v>23</v>
      </c>
      <c r="T260" s="9" t="str">
        <f>IFERROR(MID(VLOOKUP($B260,Seqs!$A:$B,2,0),U260,1),"")</f>
        <v>G</v>
      </c>
      <c r="U260" s="9">
        <v>127</v>
      </c>
      <c r="V260" s="9" t="str">
        <f>IFERROR(MID(VLOOKUP($B260,Seqs!$A:$B,2,0),W260,1),"")</f>
        <v>A</v>
      </c>
      <c r="W260" s="9">
        <v>161</v>
      </c>
      <c r="X260" s="9" t="str">
        <f>IFERROR(MID(VLOOKUP($B260,Seqs!$A:$B,2,0),Y260,1),"")</f>
        <v>P</v>
      </c>
      <c r="Y260" s="9">
        <v>162</v>
      </c>
      <c r="Z260" s="9" t="str">
        <f>IFERROR(MID(VLOOKUP($B260,Seqs!$A:$B,2,0),AA260,1),"")</f>
        <v>M</v>
      </c>
      <c r="AA260" s="9">
        <v>169</v>
      </c>
      <c r="AB260" s="9" t="str">
        <f>IFERROR(MID(VLOOKUP($B260,Seqs!$A:$B,2,0),AC260,1),"")</f>
        <v>K</v>
      </c>
      <c r="AC260" s="9">
        <v>170</v>
      </c>
      <c r="AD260" s="9" t="str">
        <f>IFERROR(MID(VLOOKUP($B260,Seqs!$A:$B,2,0),AE260,1),"")</f>
        <v>G</v>
      </c>
      <c r="AE260" s="9">
        <v>195</v>
      </c>
      <c r="AF260" s="9" t="str">
        <f>IFERROR(MID(VLOOKUP($B260,Seqs!$A:$B,2,0),AG260,1),"")</f>
        <v>C</v>
      </c>
      <c r="AG260" s="9">
        <v>208</v>
      </c>
      <c r="AH260" s="9" t="str">
        <f>IFERROR(MID(VLOOKUP($B260,Seqs!$A:$B,2,0),AI260,1),"")</f>
        <v>I</v>
      </c>
      <c r="AI260" s="9">
        <v>210</v>
      </c>
      <c r="AJ260" s="9" t="str">
        <f>IFERROR(MID(VLOOKUP($B260,Seqs!$A:$B,2,0),AK260,1),"")</f>
        <v>G</v>
      </c>
      <c r="AK260" s="9">
        <v>226</v>
      </c>
      <c r="AL260" s="9" t="str">
        <f>IFERROR(MID(VLOOKUP($B260,Seqs!$A:$B,2,0),AM260,1),"")</f>
        <v>A</v>
      </c>
      <c r="AM260" s="9">
        <v>264</v>
      </c>
      <c r="AN260" s="9" t="str">
        <f>IFERROR(MID(VLOOKUP($B260,Seqs!$A:$B,2,0),AO260,1),"")</f>
        <v>A</v>
      </c>
      <c r="AO260" s="9">
        <v>271</v>
      </c>
      <c r="AP260" s="9" t="str">
        <f>IFERROR(MID(VLOOKUP($B260,Seqs!$A:$B,2,0),AQ260,1),"")</f>
        <v>F</v>
      </c>
      <c r="AQ260" s="9">
        <v>307</v>
      </c>
      <c r="AR260" s="9" t="str">
        <f>IFERROR(MID(VLOOKUP($B260,Seqs!$A:$B,2,0),AS260,1),"")</f>
        <v>K</v>
      </c>
      <c r="AS260" s="9">
        <v>323</v>
      </c>
      <c r="AT260" s="9" t="str">
        <f>IFERROR(MID(VLOOKUP($B260,Seqs!$A:$B,2,0),AU260,1),"")</f>
        <v>Y</v>
      </c>
      <c r="AU260" s="9">
        <v>346</v>
      </c>
      <c r="AV260" s="9" t="str">
        <f>IFERROR(MID(VLOOKUP($B260,Seqs!$A:$B,2,0),AW260,1),"")</f>
        <v>L</v>
      </c>
      <c r="AW260" s="9">
        <v>347</v>
      </c>
      <c r="AX260" s="9" t="str">
        <f>IFERROR(MID(VLOOKUP($B260,Seqs!$A:$B,2,0),AY260,1),"")</f>
        <v>L</v>
      </c>
      <c r="AY260" s="9">
        <v>353</v>
      </c>
      <c r="AZ260" s="110" t="str">
        <f>VLOOKUP(B260,Classification!A:D,2,0)</f>
        <v>A</v>
      </c>
      <c r="BA260" s="98" t="str">
        <f>VLOOKUP(B260,Classification!A:D,4,0)</f>
        <v>Prostanoid</v>
      </c>
      <c r="BB260" s="36" t="b">
        <f t="shared" ref="BB260" si="952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109">
        <f t="shared" ref="BC260" si="953">_xlfn.AGGREGATE(9,6,CH260:CS260)-_xlfn.AGGREGATE(9,6,BV260:CG260)+12</f>
        <v>239</v>
      </c>
      <c r="BD260" s="40" t="s">
        <v>1382</v>
      </c>
      <c r="BE260" s="9" t="s">
        <v>1297</v>
      </c>
      <c r="BF260" s="120">
        <v>2.9</v>
      </c>
      <c r="BG260" s="51" t="s">
        <v>1287</v>
      </c>
      <c r="BH260" s="51" t="s">
        <v>1287</v>
      </c>
      <c r="BJ260" s="111" t="s">
        <v>1293</v>
      </c>
      <c r="BK260" s="112" t="s">
        <v>1293</v>
      </c>
      <c r="BL260" s="112" t="s">
        <v>1293</v>
      </c>
      <c r="BM260" s="112" t="s">
        <v>1293</v>
      </c>
      <c r="BN260" s="112" t="s">
        <v>1293</v>
      </c>
      <c r="BO260" s="112" t="s">
        <v>1293</v>
      </c>
      <c r="BP260" s="112" t="s">
        <v>1293</v>
      </c>
      <c r="BQ260" s="112" t="s">
        <v>1293</v>
      </c>
      <c r="BR260" s="112" t="s">
        <v>1293</v>
      </c>
      <c r="BS260" s="112" t="s">
        <v>1293</v>
      </c>
      <c r="BT260" s="112" t="s">
        <v>1293</v>
      </c>
      <c r="BU260" s="112" t="s">
        <v>1293</v>
      </c>
      <c r="BV260" s="111">
        <f t="shared" ref="BV260" si="954">E260</f>
        <v>52</v>
      </c>
      <c r="BW260" s="113" t="str">
        <f t="shared" ref="BW260" si="955">I260</f>
        <v>-</v>
      </c>
      <c r="BX260" s="114">
        <f t="shared" ref="BX260" si="956">M260</f>
        <v>86</v>
      </c>
      <c r="BY260" s="113" t="str">
        <f t="shared" ref="BY260" si="957">Q260</f>
        <v>-</v>
      </c>
      <c r="BZ260" s="114">
        <f t="shared" ref="BZ260" si="958">U260</f>
        <v>127</v>
      </c>
      <c r="CA260" s="113">
        <f t="shared" ref="CA260" si="959">Y260</f>
        <v>162</v>
      </c>
      <c r="CB260" s="114">
        <f t="shared" ref="CB260" si="960">AC260</f>
        <v>170</v>
      </c>
      <c r="CC260" s="113">
        <f t="shared" ref="CC260" si="961">AG260</f>
        <v>208</v>
      </c>
      <c r="CD260" s="114">
        <f t="shared" ref="CD260" si="962">AK260</f>
        <v>226</v>
      </c>
      <c r="CE260" s="113">
        <f t="shared" ref="CE260" si="963">AO260</f>
        <v>271</v>
      </c>
      <c r="CF260" s="114">
        <f t="shared" ref="CF260" si="964">AS260</f>
        <v>323</v>
      </c>
      <c r="CG260" s="113">
        <f t="shared" ref="CG260" si="965">AW260</f>
        <v>347</v>
      </c>
      <c r="CH260" s="111">
        <f t="shared" ref="CH260" si="966">G260</f>
        <v>77</v>
      </c>
      <c r="CI260" s="113" t="str">
        <f t="shared" ref="CI260" si="967">K260</f>
        <v>-</v>
      </c>
      <c r="CJ260" s="114">
        <f t="shared" ref="CJ260" si="968">O260</f>
        <v>117</v>
      </c>
      <c r="CK260" s="114" t="str">
        <f t="shared" ref="CK260" si="969">S260</f>
        <v>-</v>
      </c>
      <c r="CL260" s="114">
        <f t="shared" ref="CL260" si="970">W260</f>
        <v>161</v>
      </c>
      <c r="CM260" s="114">
        <f t="shared" ref="CM260" si="971">AA260</f>
        <v>169</v>
      </c>
      <c r="CN260" s="114">
        <f t="shared" ref="CN260" si="972">AE260</f>
        <v>195</v>
      </c>
      <c r="CO260" s="114">
        <f t="shared" ref="CO260" si="973">AI260</f>
        <v>210</v>
      </c>
      <c r="CP260" s="114">
        <f t="shared" ref="CP260" si="974">AM260</f>
        <v>264</v>
      </c>
      <c r="CQ260" s="114">
        <f t="shared" ref="CQ260" si="975">AQ260</f>
        <v>307</v>
      </c>
      <c r="CR260" s="114">
        <f t="shared" ref="CR260" si="976">AU260</f>
        <v>346</v>
      </c>
      <c r="CS260" s="114">
        <f t="shared" ref="CS260" si="977">AY260</f>
        <v>353</v>
      </c>
      <c r="CT260" s="109" t="e">
        <f t="shared" ref="CT260" si="978">M260-K260</f>
        <v>#VALUE!</v>
      </c>
    </row>
    <row r="261" spans="1:1029" s="12" customFormat="1" x14ac:dyDescent="0.2">
      <c r="A261" s="9" t="str">
        <f t="shared" si="923"/>
        <v>pe2r3_human_6M9T</v>
      </c>
      <c r="B261" s="9" t="s">
        <v>363</v>
      </c>
      <c r="C261" s="9" t="s">
        <v>1563</v>
      </c>
      <c r="D261" s="9" t="str">
        <f>IFERROR(MID(VLOOKUP($B261,Seqs!$A:$B,2,0),E261,1),"")</f>
        <v>V</v>
      </c>
      <c r="E261" s="9">
        <v>52</v>
      </c>
      <c r="F261" s="9" t="str">
        <f>IFERROR(MID(VLOOKUP($B261,Seqs!$A:$B,2,0),G261,1),"")</f>
        <v>R</v>
      </c>
      <c r="G261" s="9">
        <v>78</v>
      </c>
      <c r="H261" s="9" t="str">
        <f>IFERROR(MID(VLOOKUP($B261,Seqs!$A:$B,2,0),I261,1),"")</f>
        <v/>
      </c>
      <c r="I261" s="109" t="s">
        <v>23</v>
      </c>
      <c r="J261" s="9" t="str">
        <f>IFERROR(MID(VLOOKUP($B261,Seqs!$A:$B,2,0),K261,1),"")</f>
        <v/>
      </c>
      <c r="K261" s="109" t="s">
        <v>23</v>
      </c>
      <c r="L261" s="9" t="str">
        <f>IFERROR(MID(VLOOKUP($B261,Seqs!$A:$B,2,0),M261,1),"")</f>
        <v>K</v>
      </c>
      <c r="M261" s="9">
        <v>85</v>
      </c>
      <c r="N261" s="9" t="str">
        <f>IFERROR(MID(VLOOKUP($B261,Seqs!$A:$B,2,0),O261,1),"")</f>
        <v>K</v>
      </c>
      <c r="O261" s="9">
        <v>117</v>
      </c>
      <c r="P261" s="9" t="str">
        <f>IFERROR(MID(VLOOKUP($B261,Seqs!$A:$B,2,0),Q261,1),"")</f>
        <v>Q</v>
      </c>
      <c r="Q261" s="9">
        <v>118</v>
      </c>
      <c r="R261" s="9" t="str">
        <f>IFERROR(MID(VLOOKUP($B261,Seqs!$A:$B,2,0),S261,1),"")</f>
        <v>S</v>
      </c>
      <c r="S261" s="9">
        <v>126</v>
      </c>
      <c r="T261" s="9" t="str">
        <f>IFERROR(MID(VLOOKUP($B261,Seqs!$A:$B,2,0),U261,1),"")</f>
        <v>G</v>
      </c>
      <c r="U261" s="9">
        <v>127</v>
      </c>
      <c r="V261" s="9" t="str">
        <f>IFERROR(MID(VLOOKUP($B261,Seqs!$A:$B,2,0),W261,1),"")</f>
        <v>A</v>
      </c>
      <c r="W261" s="9">
        <v>161</v>
      </c>
      <c r="X261" s="9" t="str">
        <f>IFERROR(MID(VLOOKUP($B261,Seqs!$A:$B,2,0),Y261,1),"")</f>
        <v>P</v>
      </c>
      <c r="Y261" s="9">
        <v>162</v>
      </c>
      <c r="Z261" s="9" t="str">
        <f>IFERROR(MID(VLOOKUP($B261,Seqs!$A:$B,2,0),AA261,1),"")</f>
        <v>M</v>
      </c>
      <c r="AA261" s="9">
        <v>169</v>
      </c>
      <c r="AB261" s="9" t="str">
        <f>IFERROR(MID(VLOOKUP($B261,Seqs!$A:$B,2,0),AC261,1),"")</f>
        <v>K</v>
      </c>
      <c r="AC261" s="9">
        <v>170</v>
      </c>
      <c r="AD261" s="9" t="str">
        <f>IFERROR(MID(VLOOKUP($B261,Seqs!$A:$B,2,0),AE261,1),"")</f>
        <v>G</v>
      </c>
      <c r="AE261" s="9">
        <v>195</v>
      </c>
      <c r="AF261" s="9" t="str">
        <f>IFERROR(MID(VLOOKUP($B261,Seqs!$A:$B,2,0),AG261,1),"")</f>
        <v>C</v>
      </c>
      <c r="AG261" s="9">
        <v>208</v>
      </c>
      <c r="AH261" s="9" t="str">
        <f>IFERROR(MID(VLOOKUP($B261,Seqs!$A:$B,2,0),AI261,1),"")</f>
        <v>I</v>
      </c>
      <c r="AI261" s="9">
        <v>210</v>
      </c>
      <c r="AJ261" s="9" t="str">
        <f>IFERROR(MID(VLOOKUP($B261,Seqs!$A:$B,2,0),AK261,1),"")</f>
        <v>W</v>
      </c>
      <c r="AK261" s="9">
        <v>225</v>
      </c>
      <c r="AL261" s="9" t="str">
        <f>IFERROR(MID(VLOOKUP($B261,Seqs!$A:$B,2,0),AM261,1),"")</f>
        <v>S</v>
      </c>
      <c r="AM261" s="9">
        <v>258</v>
      </c>
      <c r="AN261" s="9" t="str">
        <f>IFERROR(MID(VLOOKUP($B261,Seqs!$A:$B,2,0),AO261,1),"")</f>
        <v>R</v>
      </c>
      <c r="AO261" s="9">
        <v>275</v>
      </c>
      <c r="AP261" s="9" t="str">
        <f>IFERROR(MID(VLOOKUP($B261,Seqs!$A:$B,2,0),AQ261,1),"")</f>
        <v>F</v>
      </c>
      <c r="AQ261" s="9">
        <v>307</v>
      </c>
      <c r="AR261" s="9" t="str">
        <f>IFERROR(MID(VLOOKUP($B261,Seqs!$A:$B,2,0),AS261,1),"")</f>
        <v>K</v>
      </c>
      <c r="AS261" s="9">
        <v>323</v>
      </c>
      <c r="AT261" s="9" t="str">
        <f>IFERROR(MID(VLOOKUP($B261,Seqs!$A:$B,2,0),AU261,1),"")</f>
        <v>Y</v>
      </c>
      <c r="AU261" s="9">
        <v>346</v>
      </c>
      <c r="AV261" s="9" t="str">
        <f>IFERROR(MID(VLOOKUP($B261,Seqs!$A:$B,2,0),AW261,1),"")</f>
        <v>L</v>
      </c>
      <c r="AW261" s="9">
        <v>347</v>
      </c>
      <c r="AX261" s="9" t="str">
        <f>IFERROR(MID(VLOOKUP($B261,Seqs!$A:$B,2,0),AY261,1),"")</f>
        <v>L</v>
      </c>
      <c r="AY261" s="9">
        <v>353</v>
      </c>
      <c r="AZ261" s="110" t="str">
        <f>VLOOKUP(B261,Classification!A:D,2,0)</f>
        <v>A</v>
      </c>
      <c r="BA261" s="98" t="str">
        <f>VLOOKUP(B261,Classification!A:D,4,0)</f>
        <v>Prostanoid</v>
      </c>
      <c r="BB261" s="36" t="b">
        <f t="shared" si="924"/>
        <v>1</v>
      </c>
      <c r="BC261" s="109">
        <f t="shared" si="925"/>
        <v>240</v>
      </c>
      <c r="BD261" s="40" t="s">
        <v>1440</v>
      </c>
      <c r="BE261" s="9" t="s">
        <v>1484</v>
      </c>
      <c r="BF261" s="120">
        <v>2.5</v>
      </c>
      <c r="BG261" s="51" t="s">
        <v>1</v>
      </c>
      <c r="BH261" s="51" t="s">
        <v>1</v>
      </c>
      <c r="BJ261" s="111" t="s">
        <v>1293</v>
      </c>
      <c r="BK261" s="112" t="s">
        <v>1293</v>
      </c>
      <c r="BL261" s="112" t="s">
        <v>1293</v>
      </c>
      <c r="BM261" s="112" t="s">
        <v>1293</v>
      </c>
      <c r="BN261" s="112" t="s">
        <v>1293</v>
      </c>
      <c r="BO261" s="112" t="s">
        <v>1293</v>
      </c>
      <c r="BP261" s="112" t="s">
        <v>1293</v>
      </c>
      <c r="BQ261" s="112" t="s">
        <v>1293</v>
      </c>
      <c r="BR261" s="112" t="s">
        <v>1293</v>
      </c>
      <c r="BS261" s="112" t="s">
        <v>1293</v>
      </c>
      <c r="BT261" s="112" t="s">
        <v>1293</v>
      </c>
      <c r="BU261" s="112" t="s">
        <v>1293</v>
      </c>
      <c r="BV261" s="111">
        <f t="shared" si="926"/>
        <v>52</v>
      </c>
      <c r="BW261" s="113" t="str">
        <f t="shared" si="927"/>
        <v>-</v>
      </c>
      <c r="BX261" s="114">
        <f t="shared" si="928"/>
        <v>85</v>
      </c>
      <c r="BY261" s="113">
        <f t="shared" si="929"/>
        <v>118</v>
      </c>
      <c r="BZ261" s="114">
        <f t="shared" si="930"/>
        <v>127</v>
      </c>
      <c r="CA261" s="113">
        <f t="shared" si="931"/>
        <v>162</v>
      </c>
      <c r="CB261" s="114">
        <f t="shared" si="932"/>
        <v>170</v>
      </c>
      <c r="CC261" s="113">
        <f t="shared" si="933"/>
        <v>208</v>
      </c>
      <c r="CD261" s="114">
        <f t="shared" si="934"/>
        <v>225</v>
      </c>
      <c r="CE261" s="113">
        <f t="shared" si="935"/>
        <v>275</v>
      </c>
      <c r="CF261" s="114">
        <f t="shared" si="936"/>
        <v>323</v>
      </c>
      <c r="CG261" s="113">
        <f t="shared" si="937"/>
        <v>347</v>
      </c>
      <c r="CH261" s="111">
        <f t="shared" si="938"/>
        <v>78</v>
      </c>
      <c r="CI261" s="113" t="str">
        <f t="shared" si="939"/>
        <v>-</v>
      </c>
      <c r="CJ261" s="114">
        <f t="shared" si="940"/>
        <v>117</v>
      </c>
      <c r="CK261" s="114">
        <f t="shared" si="941"/>
        <v>126</v>
      </c>
      <c r="CL261" s="114">
        <f t="shared" si="942"/>
        <v>161</v>
      </c>
      <c r="CM261" s="114">
        <f t="shared" si="943"/>
        <v>169</v>
      </c>
      <c r="CN261" s="114">
        <f t="shared" si="944"/>
        <v>195</v>
      </c>
      <c r="CO261" s="114">
        <f t="shared" si="945"/>
        <v>210</v>
      </c>
      <c r="CP261" s="114">
        <f t="shared" si="946"/>
        <v>258</v>
      </c>
      <c r="CQ261" s="114">
        <f t="shared" si="947"/>
        <v>307</v>
      </c>
      <c r="CR261" s="114">
        <f t="shared" si="948"/>
        <v>346</v>
      </c>
      <c r="CS261" s="114">
        <f t="shared" si="949"/>
        <v>353</v>
      </c>
      <c r="CT261" s="109" t="e">
        <f t="shared" si="950"/>
        <v>#VALUE!</v>
      </c>
    </row>
    <row r="262" spans="1:1029" x14ac:dyDescent="0.2">
      <c r="A262" s="9" t="str">
        <f t="shared" ref="A262" si="979">CONCATENATE(B262,"_",C262)</f>
        <v>pe2r4_human__wt</v>
      </c>
      <c r="B262" s="9" t="s">
        <v>364</v>
      </c>
      <c r="C262" s="9" t="s">
        <v>100</v>
      </c>
      <c r="D262" s="9" t="str">
        <f>IFERROR(MID(VLOOKUP($B262,Seqs!$A:$B,2,0),E262,1),"")</f>
        <v>N</v>
      </c>
      <c r="E262" s="9">
        <v>18</v>
      </c>
      <c r="F262" s="9" t="str">
        <f>IFERROR(MID(VLOOKUP($B262,Seqs!$A:$B,2,0),G262,1),"")</f>
        <v>C</v>
      </c>
      <c r="G262" s="9">
        <v>43</v>
      </c>
      <c r="H262" s="9" t="str">
        <f>IFERROR(MID(VLOOKUP($B262,Seqs!$A:$B,2,0),I262,1),"")</f>
        <v/>
      </c>
      <c r="I262" s="109" t="s">
        <v>23</v>
      </c>
      <c r="J262" s="9" t="str">
        <f>IFERROR(MID(VLOOKUP($B262,Seqs!$A:$B,2,0),K262,1),"")</f>
        <v/>
      </c>
      <c r="K262" s="109" t="s">
        <v>23</v>
      </c>
      <c r="L262" s="9" t="str">
        <f>IFERROR(MID(VLOOKUP($B262,Seqs!$A:$B,2,0),M262,1),"")</f>
        <v>E</v>
      </c>
      <c r="M262" s="9">
        <v>51</v>
      </c>
      <c r="N262" s="9" t="str">
        <f>IFERROR(MID(VLOOKUP($B262,Seqs!$A:$B,2,0),O262,1),"")</f>
        <v>K</v>
      </c>
      <c r="O262" s="9">
        <v>82</v>
      </c>
      <c r="P262" s="9" t="str">
        <f>IFERROR(MID(VLOOKUP($B262,Seqs!$A:$B,2,0),Q262,1),"")</f>
        <v/>
      </c>
      <c r="Q262" s="9" t="s">
        <v>23</v>
      </c>
      <c r="R262" s="9" t="str">
        <f>IFERROR(MID(VLOOKUP($B262,Seqs!$A:$B,2,0),S262,1),"")</f>
        <v/>
      </c>
      <c r="S262" s="9" t="s">
        <v>23</v>
      </c>
      <c r="T262" s="9" t="str">
        <f>IFERROR(MID(VLOOKUP($B262,Seqs!$A:$B,2,0),U262,1),"")</f>
        <v>G</v>
      </c>
      <c r="U262" s="9">
        <v>88</v>
      </c>
      <c r="V262" s="9" t="str">
        <f>IFERROR(MID(VLOOKUP($B262,Seqs!$A:$B,2,0),W262,1),"")</f>
        <v>H</v>
      </c>
      <c r="W262" s="9">
        <v>123</v>
      </c>
      <c r="X262" s="9" t="str">
        <f>IFERROR(MID(VLOOKUP($B262,Seqs!$A:$B,2,0),Y262,1),"")</f>
        <v>A</v>
      </c>
      <c r="Y262" s="9">
        <v>124</v>
      </c>
      <c r="Z262" s="9" t="str">
        <f>IFERROR(MID(VLOOKUP($B262,Seqs!$A:$B,2,0),AA262,1),"")</f>
        <v>V</v>
      </c>
      <c r="AA262" s="9">
        <v>131</v>
      </c>
      <c r="AB262" s="9" t="str">
        <f>IFERROR(MID(VLOOKUP($B262,Seqs!$A:$B,2,0),AC262,1),"")</f>
        <v>D</v>
      </c>
      <c r="AC262" s="9">
        <v>132</v>
      </c>
      <c r="AD262" s="9" t="str">
        <f>IFERROR(MID(VLOOKUP($B262,Seqs!$A:$B,2,0),AE262,1),"")</f>
        <v>G</v>
      </c>
      <c r="AE262" s="9">
        <v>157</v>
      </c>
      <c r="AF262" s="9" t="str">
        <f>IFERROR(MID(VLOOKUP($B262,Seqs!$A:$B,2,0),AG262,1),"")</f>
        <v>C</v>
      </c>
      <c r="AG262" s="9">
        <v>170</v>
      </c>
      <c r="AH262" s="9" t="str">
        <f>IFERROR(MID(VLOOKUP($B262,Seqs!$A:$B,2,0),AI262,1),"")</f>
        <v>I</v>
      </c>
      <c r="AI262" s="9">
        <v>172</v>
      </c>
      <c r="AJ262" s="9" t="str">
        <f>IFERROR(MID(VLOOKUP($B262,Seqs!$A:$B,2,0),AK262,1),"")</f>
        <v>V</v>
      </c>
      <c r="AK262" s="9">
        <v>178</v>
      </c>
      <c r="AL262" s="9" t="str">
        <f>IFERROR(MID(VLOOKUP($B262,Seqs!$A:$B,2,0),AM262,1),"")</f>
        <v>L</v>
      </c>
      <c r="AM262" s="9">
        <v>223</v>
      </c>
      <c r="AN262" s="9" t="str">
        <f>IFERROR(MID(VLOOKUP($B262,Seqs!$A:$B,2,0),AO262,1),"")</f>
        <v>R</v>
      </c>
      <c r="AO262" s="9">
        <v>261</v>
      </c>
      <c r="AP262" s="9" t="str">
        <f>IFERROR(MID(VLOOKUP($B262,Seqs!$A:$B,2,0),AQ262,1),"")</f>
        <v>Y</v>
      </c>
      <c r="AQ262" s="9">
        <v>298</v>
      </c>
      <c r="AR262" s="9" t="str">
        <f>IFERROR(MID(VLOOKUP($B262,Seqs!$A:$B,2,0),AS262,1),"")</f>
        <v>N</v>
      </c>
      <c r="AS262" s="9">
        <v>309</v>
      </c>
      <c r="AT262" s="9" t="str">
        <f>IFERROR(MID(VLOOKUP($B262,Seqs!$A:$B,2,0),AU262,1),"")</f>
        <v>L</v>
      </c>
      <c r="AU262" s="9">
        <v>332</v>
      </c>
      <c r="AV262" s="9" t="str">
        <f>IFERROR(MID(VLOOKUP($B262,Seqs!$A:$B,2,0),AW262,1),"")</f>
        <v>R</v>
      </c>
      <c r="AW262" s="9">
        <v>333</v>
      </c>
      <c r="AX262" s="9" t="str">
        <f>IFERROR(MID(VLOOKUP($B262,Seqs!$A:$B,2,0),AY262,1),"")</f>
        <v>C</v>
      </c>
      <c r="AY262" s="9">
        <v>346</v>
      </c>
      <c r="AZ262" s="110" t="str">
        <f>VLOOKUP(B262,Classification!A:D,2,0)</f>
        <v>A</v>
      </c>
      <c r="BA262" s="98" t="str">
        <f>VLOOKUP(B262,Classification!A:D,4,0)</f>
        <v>Prostanoid</v>
      </c>
      <c r="BB262" s="36" t="b">
        <f t="shared" ref="BB262" si="980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109">
        <f t="shared" ref="BC262" si="981">_xlfn.AGGREGATE(9,6,CH262:CS262)-_xlfn.AGGREGATE(9,6,BV262:CG262)+12</f>
        <v>255</v>
      </c>
      <c r="BD262" s="40" t="s">
        <v>23</v>
      </c>
      <c r="BE262" s="9" t="s">
        <v>23</v>
      </c>
      <c r="BF262" s="120" t="s">
        <v>23</v>
      </c>
      <c r="BG262" s="51" t="s">
        <v>23</v>
      </c>
      <c r="BH262" s="51" t="s">
        <v>23</v>
      </c>
      <c r="BI262" s="12"/>
      <c r="BJ262" s="111" t="s">
        <v>1293</v>
      </c>
      <c r="BK262" s="112" t="s">
        <v>1293</v>
      </c>
      <c r="BL262" s="112" t="s">
        <v>1293</v>
      </c>
      <c r="BM262" s="112" t="s">
        <v>1293</v>
      </c>
      <c r="BN262" s="112" t="s">
        <v>1293</v>
      </c>
      <c r="BO262" s="112" t="s">
        <v>1293</v>
      </c>
      <c r="BP262" s="112" t="s">
        <v>1293</v>
      </c>
      <c r="BQ262" s="112" t="s">
        <v>1293</v>
      </c>
      <c r="BR262" s="112" t="s">
        <v>1293</v>
      </c>
      <c r="BS262" s="112" t="s">
        <v>1293</v>
      </c>
      <c r="BT262" s="112" t="s">
        <v>1293</v>
      </c>
      <c r="BU262" s="112" t="s">
        <v>1293</v>
      </c>
      <c r="BV262" s="111">
        <f t="shared" ref="BV262" si="982">E262</f>
        <v>18</v>
      </c>
      <c r="BW262" s="113" t="str">
        <f t="shared" ref="BW262" si="983">I262</f>
        <v>-</v>
      </c>
      <c r="BX262" s="114">
        <f t="shared" ref="BX262" si="984">M262</f>
        <v>51</v>
      </c>
      <c r="BY262" s="113" t="str">
        <f t="shared" ref="BY262" si="985">Q262</f>
        <v>-</v>
      </c>
      <c r="BZ262" s="114">
        <f t="shared" ref="BZ262" si="986">U262</f>
        <v>88</v>
      </c>
      <c r="CA262" s="113">
        <f t="shared" ref="CA262" si="987">Y262</f>
        <v>124</v>
      </c>
      <c r="CB262" s="114">
        <f t="shared" ref="CB262" si="988">AC262</f>
        <v>132</v>
      </c>
      <c r="CC262" s="113">
        <f t="shared" ref="CC262" si="989">AG262</f>
        <v>170</v>
      </c>
      <c r="CD262" s="114">
        <f t="shared" ref="CD262" si="990">AK262</f>
        <v>178</v>
      </c>
      <c r="CE262" s="113">
        <f t="shared" ref="CE262" si="991">AO262</f>
        <v>261</v>
      </c>
      <c r="CF262" s="114">
        <f t="shared" ref="CF262" si="992">AS262</f>
        <v>309</v>
      </c>
      <c r="CG262" s="113">
        <f t="shared" ref="CG262" si="993">AW262</f>
        <v>333</v>
      </c>
      <c r="CH262" s="111">
        <f t="shared" ref="CH262" si="994">G262</f>
        <v>43</v>
      </c>
      <c r="CI262" s="113" t="str">
        <f t="shared" ref="CI262" si="995">K262</f>
        <v>-</v>
      </c>
      <c r="CJ262" s="114">
        <f t="shared" ref="CJ262" si="996">O262</f>
        <v>82</v>
      </c>
      <c r="CK262" s="114" t="str">
        <f t="shared" ref="CK262" si="997">S262</f>
        <v>-</v>
      </c>
      <c r="CL262" s="114">
        <f t="shared" ref="CL262" si="998">W262</f>
        <v>123</v>
      </c>
      <c r="CM262" s="114">
        <f t="shared" ref="CM262" si="999">AA262</f>
        <v>131</v>
      </c>
      <c r="CN262" s="114">
        <f t="shared" ref="CN262" si="1000">AE262</f>
        <v>157</v>
      </c>
      <c r="CO262" s="114">
        <f t="shared" ref="CO262" si="1001">AI262</f>
        <v>172</v>
      </c>
      <c r="CP262" s="114">
        <f t="shared" ref="CP262" si="1002">AM262</f>
        <v>223</v>
      </c>
      <c r="CQ262" s="114">
        <f t="shared" ref="CQ262" si="1003">AQ262</f>
        <v>298</v>
      </c>
      <c r="CR262" s="114">
        <f t="shared" ref="CR262" si="1004">AU262</f>
        <v>332</v>
      </c>
      <c r="CS262" s="114">
        <f t="shared" ref="CS262" si="1005">AY262</f>
        <v>346</v>
      </c>
      <c r="CT262" s="109" t="e">
        <f t="shared" ref="CT262" si="1006">M262-K262</f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9" t="str">
        <f>CONCATENATE(B263,"_",C263)</f>
        <v>pe2r4_human_5YWY</v>
      </c>
      <c r="B263" s="9" t="s">
        <v>364</v>
      </c>
      <c r="C263" s="9" t="s">
        <v>1560</v>
      </c>
      <c r="D263" s="9" t="str">
        <f>IFERROR(MID(VLOOKUP($B263,Seqs!$A:$B,2,0),E263,1),"")</f>
        <v>N</v>
      </c>
      <c r="E263" s="9">
        <v>18</v>
      </c>
      <c r="F263" s="9" t="str">
        <f>IFERROR(MID(VLOOKUP($B263,Seqs!$A:$B,2,0),G263,1),"")</f>
        <v>C</v>
      </c>
      <c r="G263" s="9">
        <v>43</v>
      </c>
      <c r="H263" s="9" t="str">
        <f>IFERROR(MID(VLOOKUP($B263,Seqs!$A:$B,2,0),I263,1),"")</f>
        <v/>
      </c>
      <c r="I263" s="109" t="s">
        <v>23</v>
      </c>
      <c r="J263" s="9" t="str">
        <f>IFERROR(MID(VLOOKUP($B263,Seqs!$A:$B,2,0),K263,1),"")</f>
        <v/>
      </c>
      <c r="K263" s="109" t="s">
        <v>23</v>
      </c>
      <c r="L263" s="9" t="str">
        <f>IFERROR(MID(VLOOKUP($B263,Seqs!$A:$B,2,0),M263,1),"")</f>
        <v>E</v>
      </c>
      <c r="M263" s="9">
        <v>51</v>
      </c>
      <c r="N263" s="9" t="str">
        <f>IFERROR(MID(VLOOKUP($B263,Seqs!$A:$B,2,0),O263,1),"")</f>
        <v>K</v>
      </c>
      <c r="O263" s="9">
        <v>82</v>
      </c>
      <c r="P263" s="9" t="str">
        <f>IFERROR(MID(VLOOKUP($B263,Seqs!$A:$B,2,0),Q263,1),"")</f>
        <v/>
      </c>
      <c r="Q263" s="9" t="s">
        <v>23</v>
      </c>
      <c r="R263" s="9" t="str">
        <f>IFERROR(MID(VLOOKUP($B263,Seqs!$A:$B,2,0),S263,1),"")</f>
        <v/>
      </c>
      <c r="S263" s="9" t="s">
        <v>23</v>
      </c>
      <c r="T263" s="9" t="str">
        <f>IFERROR(MID(VLOOKUP($B263,Seqs!$A:$B,2,0),U263,1),"")</f>
        <v>G</v>
      </c>
      <c r="U263" s="9">
        <v>88</v>
      </c>
      <c r="V263" s="9" t="str">
        <f>IFERROR(MID(VLOOKUP($B263,Seqs!$A:$B,2,0),W263,1),"")</f>
        <v>H</v>
      </c>
      <c r="W263" s="9">
        <v>123</v>
      </c>
      <c r="X263" s="9" t="str">
        <f>IFERROR(MID(VLOOKUP($B263,Seqs!$A:$B,2,0),Y263,1),"")</f>
        <v>A</v>
      </c>
      <c r="Y263" s="9">
        <v>124</v>
      </c>
      <c r="Z263" s="9" t="str">
        <f>IFERROR(MID(VLOOKUP($B263,Seqs!$A:$B,2,0),AA263,1),"")</f>
        <v>V</v>
      </c>
      <c r="AA263" s="9">
        <v>131</v>
      </c>
      <c r="AB263" s="9" t="str">
        <f>IFERROR(MID(VLOOKUP($B263,Seqs!$A:$B,2,0),AC263,1),"")</f>
        <v>D</v>
      </c>
      <c r="AC263" s="9">
        <v>132</v>
      </c>
      <c r="AD263" s="9" t="str">
        <f>IFERROR(MID(VLOOKUP($B263,Seqs!$A:$B,2,0),AE263,1),"")</f>
        <v>G</v>
      </c>
      <c r="AE263" s="9">
        <v>157</v>
      </c>
      <c r="AF263" s="9" t="str">
        <f>IFERROR(MID(VLOOKUP($B263,Seqs!$A:$B,2,0),AG263,1),"")</f>
        <v>C</v>
      </c>
      <c r="AG263" s="9">
        <v>170</v>
      </c>
      <c r="AH263" s="9" t="str">
        <f>IFERROR(MID(VLOOKUP($B263,Seqs!$A:$B,2,0),AI263,1),"")</f>
        <v>I</v>
      </c>
      <c r="AI263" s="9">
        <v>172</v>
      </c>
      <c r="AJ263" s="9" t="str">
        <f>IFERROR(MID(VLOOKUP($B263,Seqs!$A:$B,2,0),AK263,1),"")</f>
        <v>V</v>
      </c>
      <c r="AK263" s="9">
        <v>178</v>
      </c>
      <c r="AL263" s="9" t="str">
        <f>IFERROR(MID(VLOOKUP($B263,Seqs!$A:$B,2,0),AM263,1),"")</f>
        <v>H</v>
      </c>
      <c r="AM263" s="9">
        <v>214</v>
      </c>
      <c r="AN263" s="9" t="str">
        <f>IFERROR(MID(VLOOKUP($B263,Seqs!$A:$B,2,0),AO263,1),"")</f>
        <v>A</v>
      </c>
      <c r="AO263" s="9">
        <v>266</v>
      </c>
      <c r="AP263" s="9" t="str">
        <f>IFERROR(MID(VLOOKUP($B263,Seqs!$A:$B,2,0),AQ263,1),"")</f>
        <v>Y</v>
      </c>
      <c r="AQ263" s="9">
        <v>298</v>
      </c>
      <c r="AR263" s="9" t="str">
        <f>IFERROR(MID(VLOOKUP($B263,Seqs!$A:$B,2,0),AS263,1),"")</f>
        <v>N</v>
      </c>
      <c r="AS263" s="9">
        <v>309</v>
      </c>
      <c r="AT263" s="9" t="str">
        <f>IFERROR(MID(VLOOKUP($B263,Seqs!$A:$B,2,0),AU263,1),"")</f>
        <v>L</v>
      </c>
      <c r="AU263" s="9">
        <v>332</v>
      </c>
      <c r="AV263" s="9" t="str">
        <f>IFERROR(MID(VLOOKUP($B263,Seqs!$A:$B,2,0),AW263,1),"")</f>
        <v>R</v>
      </c>
      <c r="AW263" s="9">
        <v>333</v>
      </c>
      <c r="AX263" s="9" t="str">
        <f>IFERROR(MID(VLOOKUP($B263,Seqs!$A:$B,2,0),AY263,1),"")</f>
        <v>I</v>
      </c>
      <c r="AY263" s="9">
        <v>344</v>
      </c>
      <c r="AZ263" s="110" t="str">
        <f>VLOOKUP(B263,Classification!A:D,2,0)</f>
        <v>A</v>
      </c>
      <c r="BA263" s="98" t="str">
        <f>VLOOKUP(B263,Classification!A:D,4,0)</f>
        <v>Prostanoid</v>
      </c>
      <c r="BB263" s="36" t="b">
        <f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109">
        <f>_xlfn.AGGREGATE(9,6,CH263:CS263)-_xlfn.AGGREGATE(9,6,BV263:CG263)+12</f>
        <v>239</v>
      </c>
      <c r="BD263" s="40" t="s">
        <v>1383</v>
      </c>
      <c r="BE263" s="9" t="s">
        <v>1381</v>
      </c>
      <c r="BF263" s="120">
        <v>3.2</v>
      </c>
      <c r="BG263" s="51" t="s">
        <v>1</v>
      </c>
      <c r="BH263" s="51" t="s">
        <v>1</v>
      </c>
      <c r="BI263" s="12"/>
      <c r="BJ263" s="111" t="s">
        <v>1293</v>
      </c>
      <c r="BK263" s="112" t="s">
        <v>1293</v>
      </c>
      <c r="BL263" s="112" t="s">
        <v>1293</v>
      </c>
      <c r="BM263" s="112" t="s">
        <v>1293</v>
      </c>
      <c r="BN263" s="112" t="s">
        <v>1293</v>
      </c>
      <c r="BO263" s="112" t="s">
        <v>1293</v>
      </c>
      <c r="BP263" s="112" t="s">
        <v>1293</v>
      </c>
      <c r="BQ263" s="112" t="s">
        <v>1293</v>
      </c>
      <c r="BR263" s="112" t="s">
        <v>1293</v>
      </c>
      <c r="BS263" s="112" t="s">
        <v>1293</v>
      </c>
      <c r="BT263" s="112" t="s">
        <v>1293</v>
      </c>
      <c r="BU263" s="112" t="s">
        <v>1293</v>
      </c>
      <c r="BV263" s="111">
        <f>E263</f>
        <v>18</v>
      </c>
      <c r="BW263" s="113" t="str">
        <f>I263</f>
        <v>-</v>
      </c>
      <c r="BX263" s="114">
        <f>M263</f>
        <v>51</v>
      </c>
      <c r="BY263" s="113" t="str">
        <f>Q263</f>
        <v>-</v>
      </c>
      <c r="BZ263" s="114">
        <f>U263</f>
        <v>88</v>
      </c>
      <c r="CA263" s="113">
        <f>Y263</f>
        <v>124</v>
      </c>
      <c r="CB263" s="114">
        <f>AC263</f>
        <v>132</v>
      </c>
      <c r="CC263" s="113">
        <f>AG263</f>
        <v>170</v>
      </c>
      <c r="CD263" s="114">
        <f>AK263</f>
        <v>178</v>
      </c>
      <c r="CE263" s="113">
        <f>AO263</f>
        <v>266</v>
      </c>
      <c r="CF263" s="114">
        <f>AS263</f>
        <v>309</v>
      </c>
      <c r="CG263" s="113">
        <f>AW263</f>
        <v>333</v>
      </c>
      <c r="CH263" s="111">
        <f>G263</f>
        <v>43</v>
      </c>
      <c r="CI263" s="113" t="str">
        <f>K263</f>
        <v>-</v>
      </c>
      <c r="CJ263" s="114">
        <f>O263</f>
        <v>82</v>
      </c>
      <c r="CK263" s="114" t="str">
        <f>S263</f>
        <v>-</v>
      </c>
      <c r="CL263" s="114">
        <f>W263</f>
        <v>123</v>
      </c>
      <c r="CM263" s="114">
        <f>AA263</f>
        <v>131</v>
      </c>
      <c r="CN263" s="114">
        <f>AE263</f>
        <v>157</v>
      </c>
      <c r="CO263" s="114">
        <f>AI263</f>
        <v>172</v>
      </c>
      <c r="CP263" s="114">
        <f>AM263</f>
        <v>214</v>
      </c>
      <c r="CQ263" s="114">
        <f>AQ263</f>
        <v>298</v>
      </c>
      <c r="CR263" s="114">
        <f>AU263</f>
        <v>332</v>
      </c>
      <c r="CS263" s="114">
        <f>AY263</f>
        <v>344</v>
      </c>
      <c r="CT263" s="109" t="e">
        <f>M263-K263</f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9" t="str">
        <f>CONCATENATE(B264,"_",C264)</f>
        <v>pe2r4_human_5YHL</v>
      </c>
      <c r="B264" s="9" t="s">
        <v>364</v>
      </c>
      <c r="C264" s="9" t="s">
        <v>1562</v>
      </c>
      <c r="D264" s="9" t="str">
        <f>IFERROR(MID(VLOOKUP($B264,Seqs!$A:$B,2,0),E264,1),"")</f>
        <v>N</v>
      </c>
      <c r="E264" s="9">
        <v>18</v>
      </c>
      <c r="F264" s="9" t="str">
        <f>IFERROR(MID(VLOOKUP($B264,Seqs!$A:$B,2,0),G264,1),"")</f>
        <v>C</v>
      </c>
      <c r="G264" s="9">
        <v>43</v>
      </c>
      <c r="H264" s="9" t="str">
        <f>IFERROR(MID(VLOOKUP($B264,Seqs!$A:$B,2,0),I264,1),"")</f>
        <v/>
      </c>
      <c r="I264" s="109" t="s">
        <v>23</v>
      </c>
      <c r="J264" s="9" t="str">
        <f>IFERROR(MID(VLOOKUP($B264,Seqs!$A:$B,2,0),K264,1),"")</f>
        <v/>
      </c>
      <c r="K264" s="109" t="s">
        <v>23</v>
      </c>
      <c r="L264" s="9" t="str">
        <f>IFERROR(MID(VLOOKUP($B264,Seqs!$A:$B,2,0),M264,1),"")</f>
        <v>E</v>
      </c>
      <c r="M264" s="9">
        <v>51</v>
      </c>
      <c r="N264" s="9" t="str">
        <f>IFERROR(MID(VLOOKUP($B264,Seqs!$A:$B,2,0),O264,1),"")</f>
        <v>K</v>
      </c>
      <c r="O264" s="9">
        <v>82</v>
      </c>
      <c r="P264" s="9" t="str">
        <f>IFERROR(MID(VLOOKUP($B264,Seqs!$A:$B,2,0),Q264,1),"")</f>
        <v/>
      </c>
      <c r="Q264" s="9" t="s">
        <v>23</v>
      </c>
      <c r="R264" s="9" t="str">
        <f>IFERROR(MID(VLOOKUP($B264,Seqs!$A:$B,2,0),S264,1),"")</f>
        <v/>
      </c>
      <c r="S264" s="9" t="s">
        <v>23</v>
      </c>
      <c r="T264" s="9" t="str">
        <f>IFERROR(MID(VLOOKUP($B264,Seqs!$A:$B,2,0),U264,1),"")</f>
        <v>G</v>
      </c>
      <c r="U264" s="9">
        <v>88</v>
      </c>
      <c r="V264" s="9" t="str">
        <f>IFERROR(MID(VLOOKUP($B264,Seqs!$A:$B,2,0),W264,1),"")</f>
        <v>H</v>
      </c>
      <c r="W264" s="9">
        <v>123</v>
      </c>
      <c r="X264" s="9" t="str">
        <f>IFERROR(MID(VLOOKUP($B264,Seqs!$A:$B,2,0),Y264,1),"")</f>
        <v>A</v>
      </c>
      <c r="Y264" s="9">
        <v>124</v>
      </c>
      <c r="Z264" s="9" t="str">
        <f>IFERROR(MID(VLOOKUP($B264,Seqs!$A:$B,2,0),AA264,1),"")</f>
        <v>V</v>
      </c>
      <c r="AA264" s="9">
        <v>131</v>
      </c>
      <c r="AB264" s="9" t="str">
        <f>IFERROR(MID(VLOOKUP($B264,Seqs!$A:$B,2,0),AC264,1),"")</f>
        <v>D</v>
      </c>
      <c r="AC264" s="9">
        <v>132</v>
      </c>
      <c r="AD264" s="9" t="str">
        <f>IFERROR(MID(VLOOKUP($B264,Seqs!$A:$B,2,0),AE264,1),"")</f>
        <v>G</v>
      </c>
      <c r="AE264" s="9">
        <v>157</v>
      </c>
      <c r="AF264" s="9" t="str">
        <f>IFERROR(MID(VLOOKUP($B264,Seqs!$A:$B,2,0),AG264,1),"")</f>
        <v>C</v>
      </c>
      <c r="AG264" s="9">
        <v>170</v>
      </c>
      <c r="AH264" s="9" t="str">
        <f>IFERROR(MID(VLOOKUP($B264,Seqs!$A:$B,2,0),AI264,1),"")</f>
        <v>I</v>
      </c>
      <c r="AI264" s="9">
        <v>172</v>
      </c>
      <c r="AJ264" s="9" t="str">
        <f>IFERROR(MID(VLOOKUP($B264,Seqs!$A:$B,2,0),AK264,1),"")</f>
        <v>V</v>
      </c>
      <c r="AK264" s="9">
        <v>178</v>
      </c>
      <c r="AL264" s="9" t="str">
        <f>IFERROR(MID(VLOOKUP($B264,Seqs!$A:$B,2,0),AM264,1),"")</f>
        <v>H</v>
      </c>
      <c r="AM264" s="9">
        <v>214</v>
      </c>
      <c r="AN264" s="9" t="str">
        <f>IFERROR(MID(VLOOKUP($B264,Seqs!$A:$B,2,0),AO264,1),"")</f>
        <v>A</v>
      </c>
      <c r="AO264" s="9">
        <v>266</v>
      </c>
      <c r="AP264" s="9" t="str">
        <f>IFERROR(MID(VLOOKUP($B264,Seqs!$A:$B,2,0),AQ264,1),"")</f>
        <v>Y</v>
      </c>
      <c r="AQ264" s="9">
        <v>298</v>
      </c>
      <c r="AR264" s="9" t="str">
        <f>IFERROR(MID(VLOOKUP($B264,Seqs!$A:$B,2,0),AS264,1),"")</f>
        <v>N</v>
      </c>
      <c r="AS264" s="9">
        <v>309</v>
      </c>
      <c r="AT264" s="9" t="str">
        <f>IFERROR(MID(VLOOKUP($B264,Seqs!$A:$B,2,0),AU264,1),"")</f>
        <v>L</v>
      </c>
      <c r="AU264" s="9">
        <v>332</v>
      </c>
      <c r="AV264" s="9" t="str">
        <f>IFERROR(MID(VLOOKUP($B264,Seqs!$A:$B,2,0),AW264,1),"")</f>
        <v>R</v>
      </c>
      <c r="AW264" s="9">
        <v>333</v>
      </c>
      <c r="AX264" s="9" t="str">
        <f>IFERROR(MID(VLOOKUP($B264,Seqs!$A:$B,2,0),AY264,1),"")</f>
        <v>I</v>
      </c>
      <c r="AY264" s="9">
        <v>344</v>
      </c>
      <c r="AZ264" s="110" t="str">
        <f>VLOOKUP(B264,Classification!A:D,2,0)</f>
        <v>A</v>
      </c>
      <c r="BA264" s="98" t="str">
        <f>VLOOKUP(B264,Classification!A:D,4,0)</f>
        <v>Prostanoid</v>
      </c>
      <c r="BB264" s="36" t="b">
        <f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109">
        <f>_xlfn.AGGREGATE(9,6,CH264:CS264)-_xlfn.AGGREGATE(9,6,BV264:CG264)+12</f>
        <v>239</v>
      </c>
      <c r="BD264" s="40" t="s">
        <v>23</v>
      </c>
      <c r="BE264" s="9" t="s">
        <v>1381</v>
      </c>
      <c r="BF264" s="120">
        <v>4.2</v>
      </c>
      <c r="BG264" s="51" t="s">
        <v>1</v>
      </c>
      <c r="BH264" s="51" t="s">
        <v>1</v>
      </c>
      <c r="BI264" s="12"/>
      <c r="BJ264" s="111" t="s">
        <v>1293</v>
      </c>
      <c r="BK264" s="112" t="s">
        <v>1293</v>
      </c>
      <c r="BL264" s="112" t="s">
        <v>1293</v>
      </c>
      <c r="BM264" s="112" t="s">
        <v>1293</v>
      </c>
      <c r="BN264" s="112" t="s">
        <v>1293</v>
      </c>
      <c r="BO264" s="112" t="s">
        <v>1293</v>
      </c>
      <c r="BP264" s="112" t="s">
        <v>1293</v>
      </c>
      <c r="BQ264" s="112" t="s">
        <v>1293</v>
      </c>
      <c r="BR264" s="112" t="s">
        <v>1293</v>
      </c>
      <c r="BS264" s="112" t="s">
        <v>1293</v>
      </c>
      <c r="BT264" s="112" t="s">
        <v>1293</v>
      </c>
      <c r="BU264" s="112" t="s">
        <v>1293</v>
      </c>
      <c r="BV264" s="111">
        <f>E264</f>
        <v>18</v>
      </c>
      <c r="BW264" s="113" t="str">
        <f>I264</f>
        <v>-</v>
      </c>
      <c r="BX264" s="114">
        <f>M264</f>
        <v>51</v>
      </c>
      <c r="BY264" s="113" t="str">
        <f>Q264</f>
        <v>-</v>
      </c>
      <c r="BZ264" s="114">
        <f>U264</f>
        <v>88</v>
      </c>
      <c r="CA264" s="113">
        <f>Y264</f>
        <v>124</v>
      </c>
      <c r="CB264" s="114">
        <f>AC264</f>
        <v>132</v>
      </c>
      <c r="CC264" s="113">
        <f>AG264</f>
        <v>170</v>
      </c>
      <c r="CD264" s="114">
        <f>AK264</f>
        <v>178</v>
      </c>
      <c r="CE264" s="113">
        <f>AO264</f>
        <v>266</v>
      </c>
      <c r="CF264" s="114">
        <f>AS264</f>
        <v>309</v>
      </c>
      <c r="CG264" s="113">
        <f>AW264</f>
        <v>333</v>
      </c>
      <c r="CH264" s="111">
        <f>G264</f>
        <v>43</v>
      </c>
      <c r="CI264" s="113" t="str">
        <f>K264</f>
        <v>-</v>
      </c>
      <c r="CJ264" s="114">
        <f>O264</f>
        <v>82</v>
      </c>
      <c r="CK264" s="114" t="str">
        <f>S264</f>
        <v>-</v>
      </c>
      <c r="CL264" s="114">
        <f>W264</f>
        <v>123</v>
      </c>
      <c r="CM264" s="114">
        <f>AA264</f>
        <v>131</v>
      </c>
      <c r="CN264" s="114">
        <f>AE264</f>
        <v>157</v>
      </c>
      <c r="CO264" s="114">
        <f>AI264</f>
        <v>172</v>
      </c>
      <c r="CP264" s="114">
        <f>AM264</f>
        <v>214</v>
      </c>
      <c r="CQ264" s="114">
        <f>AQ264</f>
        <v>298</v>
      </c>
      <c r="CR264" s="114">
        <f>AU264</f>
        <v>332</v>
      </c>
      <c r="CS264" s="114">
        <f>AY264</f>
        <v>344</v>
      </c>
      <c r="CT264" s="109" t="e">
        <f>M264-K264</f>
        <v>#VALUE!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>CONCATENATE(B265,"_",C265)</f>
        <v>ptafr_human__wt</v>
      </c>
      <c r="B265" s="3" t="s">
        <v>371</v>
      </c>
      <c r="C265" s="3" t="s">
        <v>100</v>
      </c>
      <c r="D265" s="3" t="str">
        <f>IFERROR(MID(VLOOKUP($B265,Seqs!$A:$B,2,0),E265,1),"")</f>
        <v>D</v>
      </c>
      <c r="E265" s="3">
        <v>10</v>
      </c>
      <c r="F265" s="3" t="str">
        <f>IFERROR(MID(VLOOKUP($B265,Seqs!$A:$B,2,0),G265,1),"")</f>
        <v>Y</v>
      </c>
      <c r="G265" s="3">
        <v>44</v>
      </c>
      <c r="H265" s="3" t="str">
        <f>IFERROR(MID(VLOOKUP($B265,Seqs!$A:$B,2,0),I265,1),"")</f>
        <v/>
      </c>
      <c r="I265" s="23" t="s">
        <v>23</v>
      </c>
      <c r="J265" s="3" t="str">
        <f>IFERROR(MID(VLOOKUP($B265,Seqs!$A:$B,2,0),K265,1),"")</f>
        <v/>
      </c>
      <c r="K265" s="23" t="s">
        <v>23</v>
      </c>
      <c r="L265" s="3" t="str">
        <f>IFERROR(MID(VLOOKUP($B265,Seqs!$A:$B,2,0),M265,1),"")</f>
        <v>F</v>
      </c>
      <c r="M265" s="3">
        <v>49</v>
      </c>
      <c r="N265" s="3" t="str">
        <f>IFERROR(MID(VLOOKUP($B265,Seqs!$A:$B,2,0),O265,1),"")</f>
        <v>Q</v>
      </c>
      <c r="O265" s="3">
        <v>80</v>
      </c>
      <c r="P265" s="3" t="str">
        <f>IFERROR(MID(VLOOKUP($B265,Seqs!$A:$B,2,0),Q265,1),"")</f>
        <v>N</v>
      </c>
      <c r="Q265" s="3">
        <v>82</v>
      </c>
      <c r="R265" s="3" t="str">
        <f>IFERROR(MID(VLOOKUP($B265,Seqs!$A:$B,2,0),S265,1),"")</f>
        <v>L</v>
      </c>
      <c r="S265" s="3">
        <v>85</v>
      </c>
      <c r="T265" s="3" t="str">
        <f>IFERROR(MID(VLOOKUP($B265,Seqs!$A:$B,2,0),U265,1),"")</f>
        <v>P</v>
      </c>
      <c r="U265" s="3">
        <v>86</v>
      </c>
      <c r="V265" s="3" t="str">
        <f>IFERROR(MID(VLOOKUP($B265,Seqs!$A:$B,2,0),W265,1),"")</f>
        <v>R</v>
      </c>
      <c r="W265" s="3">
        <v>121</v>
      </c>
      <c r="X265" s="3" t="str">
        <f>IFERROR(MID(VLOOKUP($B265,Seqs!$A:$B,2,0),Y265,1),"")</f>
        <v>P</v>
      </c>
      <c r="Y265" s="3">
        <v>122</v>
      </c>
      <c r="Z265" s="3" t="str">
        <f>IFERROR(MID(VLOOKUP($B265,Seqs!$A:$B,2,0),AA265,1),"")</f>
        <v>N</v>
      </c>
      <c r="AA265" s="3">
        <v>129</v>
      </c>
      <c r="AB265" s="3" t="str">
        <f>IFERROR(MID(VLOOKUP($B265,Seqs!$A:$B,2,0),AC265,1),"")</f>
        <v>T</v>
      </c>
      <c r="AC265" s="3">
        <v>130</v>
      </c>
      <c r="AD265" s="3" t="str">
        <f>IFERROR(MID(VLOOKUP($B265,Seqs!$A:$B,2,0),AE265,1),"")</f>
        <v>L</v>
      </c>
      <c r="AE265" s="3">
        <v>155</v>
      </c>
      <c r="AF265" s="3" t="str">
        <f>IFERROR(MID(VLOOKUP($B265,Seqs!$A:$B,2,0),AG265,1),"")</f>
        <v>C</v>
      </c>
      <c r="AG265" s="3">
        <v>173</v>
      </c>
      <c r="AH265" s="3" t="str">
        <f>IFERROR(MID(VLOOKUP($B265,Seqs!$A:$B,2,0),AI265,1),"")</f>
        <v>E</v>
      </c>
      <c r="AI265" s="3">
        <v>175</v>
      </c>
      <c r="AJ265" s="3" t="str">
        <f>IFERROR(MID(VLOOKUP($B265,Seqs!$A:$B,2,0),AK265,1),"")</f>
        <v>S</v>
      </c>
      <c r="AK265" s="3">
        <v>181</v>
      </c>
      <c r="AL265" s="3" t="str">
        <f>IFERROR(MID(VLOOKUP($B265,Seqs!$A:$B,2,0),AM265,1),"")</f>
        <v>Q</v>
      </c>
      <c r="AM265" s="3">
        <v>216</v>
      </c>
      <c r="AN265" s="3" t="str">
        <f>IFERROR(MID(VLOOKUP($B265,Seqs!$A:$B,2,0),AO265,1),"")</f>
        <v>Q</v>
      </c>
      <c r="AO265" s="3">
        <v>221</v>
      </c>
      <c r="AP265" s="3" t="str">
        <f>IFERROR(MID(VLOOKUP($B265,Seqs!$A:$B,2,0),AQ265,1),"")</f>
        <v>G</v>
      </c>
      <c r="AQ265" s="3">
        <v>261</v>
      </c>
      <c r="AR265" s="3" t="str">
        <f>IFERROR(MID(VLOOKUP($B265,Seqs!$A:$B,2,0),AS265,1),"")</f>
        <v>D</v>
      </c>
      <c r="AS265" s="3">
        <v>264</v>
      </c>
      <c r="AT265" s="3" t="str">
        <f>IFERROR(MID(VLOOKUP($B265,Seqs!$A:$B,2,0),AU265,1),"")</f>
        <v>K</v>
      </c>
      <c r="AU265" s="3">
        <v>299</v>
      </c>
      <c r="AV265" s="3" t="str">
        <f>IFERROR(MID(VLOOKUP($B265,Seqs!$A:$B,2,0),AW265,1),"")</f>
        <v>F</v>
      </c>
      <c r="AW265" s="3">
        <v>300</v>
      </c>
      <c r="AX265" s="3" t="str">
        <f>IFERROR(MID(VLOOKUP($B265,Seqs!$A:$B,2,0),AY265,1),"")</f>
        <v>S</v>
      </c>
      <c r="AY265" s="3">
        <v>313</v>
      </c>
      <c r="AZ265" s="77" t="str">
        <f>VLOOKUP(B265,Classification!A:D,2,0)</f>
        <v>A</v>
      </c>
      <c r="BA265" s="94" t="str">
        <f>VLOOKUP(B265,Classification!A:D,4,0)</f>
        <v>Platelet-activatingfactor</v>
      </c>
      <c r="BB265" s="27" t="b">
        <f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23">
        <f>_xlfn.AGGREGATE(9,6,CH265:CS265)-_xlfn.AGGREGATE(9,6,BV265:CG265)+12</f>
        <v>272</v>
      </c>
      <c r="BD265" s="2" t="s">
        <v>23</v>
      </c>
      <c r="BE265" s="3" t="s">
        <v>23</v>
      </c>
      <c r="BF265" s="119" t="s">
        <v>23</v>
      </c>
      <c r="BG265" s="49" t="s">
        <v>1384</v>
      </c>
      <c r="BH265" s="49" t="s">
        <v>1384</v>
      </c>
      <c r="BI265" s="1"/>
      <c r="BJ265" s="70" t="s">
        <v>1293</v>
      </c>
      <c r="BK265" s="57" t="s">
        <v>1293</v>
      </c>
      <c r="BL265" s="57" t="s">
        <v>1293</v>
      </c>
      <c r="BM265" s="57" t="s">
        <v>1293</v>
      </c>
      <c r="BN265" s="57" t="s">
        <v>1293</v>
      </c>
      <c r="BO265" s="57" t="s">
        <v>1293</v>
      </c>
      <c r="BP265" s="57" t="s">
        <v>1293</v>
      </c>
      <c r="BQ265" s="57" t="s">
        <v>1293</v>
      </c>
      <c r="BR265" s="57" t="s">
        <v>1293</v>
      </c>
      <c r="BS265" s="57" t="s">
        <v>1293</v>
      </c>
      <c r="BT265" s="57" t="s">
        <v>1293</v>
      </c>
      <c r="BU265" s="57" t="s">
        <v>1293</v>
      </c>
      <c r="BV265" s="70">
        <f>E265</f>
        <v>10</v>
      </c>
      <c r="BW265" s="71" t="str">
        <f>I265</f>
        <v>-</v>
      </c>
      <c r="BX265" s="72">
        <f>M265</f>
        <v>49</v>
      </c>
      <c r="BY265" s="71">
        <f>Q265</f>
        <v>82</v>
      </c>
      <c r="BZ265" s="72">
        <f>U265</f>
        <v>86</v>
      </c>
      <c r="CA265" s="71">
        <f>Y265</f>
        <v>122</v>
      </c>
      <c r="CB265" s="72">
        <f>AC265</f>
        <v>130</v>
      </c>
      <c r="CC265" s="71">
        <f>AG265</f>
        <v>173</v>
      </c>
      <c r="CD265" s="72">
        <f>AK265</f>
        <v>181</v>
      </c>
      <c r="CE265" s="71">
        <f>AO265</f>
        <v>221</v>
      </c>
      <c r="CF265" s="72">
        <f>AS265</f>
        <v>264</v>
      </c>
      <c r="CG265" s="71">
        <f>AW265</f>
        <v>300</v>
      </c>
      <c r="CH265" s="70">
        <f>G265</f>
        <v>44</v>
      </c>
      <c r="CI265" s="71" t="str">
        <f>K265</f>
        <v>-</v>
      </c>
      <c r="CJ265" s="72">
        <f>O265</f>
        <v>80</v>
      </c>
      <c r="CK265" s="72">
        <f>S265</f>
        <v>85</v>
      </c>
      <c r="CL265" s="72">
        <f>W265</f>
        <v>121</v>
      </c>
      <c r="CM265" s="72">
        <f>AA265</f>
        <v>129</v>
      </c>
      <c r="CN265" s="72">
        <f>AE265</f>
        <v>155</v>
      </c>
      <c r="CO265" s="72">
        <f>AI265</f>
        <v>175</v>
      </c>
      <c r="CP265" s="72">
        <f>AM265</f>
        <v>216</v>
      </c>
      <c r="CQ265" s="72">
        <f>AQ265</f>
        <v>261</v>
      </c>
      <c r="CR265" s="72">
        <f>AU265</f>
        <v>299</v>
      </c>
      <c r="CS265" s="72">
        <f>AY265</f>
        <v>313</v>
      </c>
      <c r="CT265" s="23" t="e">
        <f>M265-K265</f>
        <v>#VALUE!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>CONCATENATE(B266,"_",C266)</f>
        <v>ptafr_human_5ZKP</v>
      </c>
      <c r="B266" s="3" t="s">
        <v>371</v>
      </c>
      <c r="C266" s="3" t="s">
        <v>1521</v>
      </c>
      <c r="D266" s="3" t="str">
        <f>IFERROR(MID(VLOOKUP($B266,Seqs!$A:$B,2,0),E266,1),"")</f>
        <v>S</v>
      </c>
      <c r="E266" s="3">
        <v>11</v>
      </c>
      <c r="F266" s="3" t="str">
        <f>IFERROR(MID(VLOOKUP($B266,Seqs!$A:$B,2,0),G266,1),"")</f>
        <v>Y</v>
      </c>
      <c r="G266" s="3">
        <v>44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F</v>
      </c>
      <c r="M266" s="3">
        <v>49</v>
      </c>
      <c r="N266" s="3" t="str">
        <f>IFERROR(MID(VLOOKUP($B266,Seqs!$A:$B,2,0),O266,1),"")</f>
        <v>Q</v>
      </c>
      <c r="O266" s="3">
        <v>80</v>
      </c>
      <c r="P266" s="3" t="str">
        <f>IFERROR(MID(VLOOKUP($B266,Seqs!$A:$B,2,0),Q266,1),"")</f>
        <v>N</v>
      </c>
      <c r="Q266" s="3">
        <v>82</v>
      </c>
      <c r="R266" s="3" t="str">
        <f>IFERROR(MID(VLOOKUP($B266,Seqs!$A:$B,2,0),S266,1),"")</f>
        <v>L</v>
      </c>
      <c r="S266" s="3">
        <v>85</v>
      </c>
      <c r="T266" s="3" t="str">
        <f>IFERROR(MID(VLOOKUP($B266,Seqs!$A:$B,2,0),U266,1),"")</f>
        <v>P</v>
      </c>
      <c r="U266" s="3">
        <v>86</v>
      </c>
      <c r="V266" s="3" t="str">
        <f>IFERROR(MID(VLOOKUP($B266,Seqs!$A:$B,2,0),W266,1),"")</f>
        <v>T</v>
      </c>
      <c r="W266" s="3">
        <v>120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I</v>
      </c>
      <c r="AC266" s="3">
        <v>141</v>
      </c>
      <c r="AD266" s="3" t="str">
        <f>IFERROR(MID(VLOOKUP($B266,Seqs!$A:$B,2,0),AE266,1),"")</f>
        <v>L</v>
      </c>
      <c r="AE266" s="3">
        <v>155</v>
      </c>
      <c r="AF266" s="3" t="str">
        <f>IFERROR(MID(VLOOKUP($B266,Seqs!$A:$B,2,0),AG266,1),"")</f>
        <v>C</v>
      </c>
      <c r="AG266" s="3">
        <v>173</v>
      </c>
      <c r="AH266" s="3" t="str">
        <f>IFERROR(MID(VLOOKUP($B266,Seqs!$A:$B,2,0),AI266,1),"")</f>
        <v>E</v>
      </c>
      <c r="AI266" s="3">
        <v>175</v>
      </c>
      <c r="AJ266" s="3" t="str">
        <f>IFERROR(MID(VLOOKUP($B266,Seqs!$A:$B,2,0),AK266,1),"")</f>
        <v>P</v>
      </c>
      <c r="AK266" s="3">
        <v>183</v>
      </c>
      <c r="AL266" s="3" t="str">
        <f>IFERROR(MID(VLOOKUP($B266,Seqs!$A:$B,2,0),AM266,1),"")</f>
        <v>L</v>
      </c>
      <c r="AM266" s="3">
        <v>214</v>
      </c>
      <c r="AN266" s="3" t="str">
        <f>IFERROR(MID(VLOOKUP($B266,Seqs!$A:$B,2,0),AO266,1),"")</f>
        <v>A</v>
      </c>
      <c r="AO266" s="3">
        <v>224</v>
      </c>
      <c r="AP266" s="3" t="str">
        <f>IFERROR(MID(VLOOKUP($B266,Seqs!$A:$B,2,0),AQ266,1),"")</f>
        <v>G</v>
      </c>
      <c r="AQ266" s="3">
        <v>261</v>
      </c>
      <c r="AR266" s="3" t="str">
        <f>IFERROR(MID(VLOOKUP($B266,Seqs!$A:$B,2,0),AS266,1),"")</f>
        <v>D</v>
      </c>
      <c r="AS266" s="3">
        <v>264</v>
      </c>
      <c r="AT266" s="3" t="str">
        <f>IFERROR(MID(VLOOKUP($B266,Seqs!$A:$B,2,0),AU266,1),"")</f>
        <v>K</v>
      </c>
      <c r="AU266" s="3">
        <v>299</v>
      </c>
      <c r="AV266" s="3" t="str">
        <f>IFERROR(MID(VLOOKUP($B266,Seqs!$A:$B,2,0),AW266,1),"")</f>
        <v>F</v>
      </c>
      <c r="AW266" s="3">
        <v>300</v>
      </c>
      <c r="AX266" s="3" t="str">
        <f>IFERROR(MID(VLOOKUP($B266,Seqs!$A:$B,2,0),AY266,1),"")</f>
        <v>S</v>
      </c>
      <c r="AY266" s="3">
        <v>313</v>
      </c>
      <c r="AZ266" s="77" t="str">
        <f>VLOOKUP(B266,Classification!A:D,2,0)</f>
        <v>A</v>
      </c>
      <c r="BA266" s="94" t="str">
        <f>VLOOKUP(B266,Classification!A:D,4,0)</f>
        <v>Platelet-activatingfactor</v>
      </c>
      <c r="BB266" s="27" t="b">
        <f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23">
        <f>_xlfn.AGGREGATE(9,6,CH266:CS266)-_xlfn.AGGREGATE(9,6,BV266:CG266)+12</f>
        <v>245</v>
      </c>
      <c r="BD266" s="2" t="s">
        <v>1382</v>
      </c>
      <c r="BE266" s="3" t="s">
        <v>1297</v>
      </c>
      <c r="BF266" s="119">
        <v>2.81</v>
      </c>
      <c r="BG266" s="49" t="s">
        <v>1</v>
      </c>
      <c r="BH266" s="49" t="s">
        <v>1</v>
      </c>
      <c r="BI266" s="1"/>
      <c r="BJ266" s="70" t="s">
        <v>1293</v>
      </c>
      <c r="BK266" s="57" t="s">
        <v>1293</v>
      </c>
      <c r="BL266" s="57" t="s">
        <v>1293</v>
      </c>
      <c r="BM266" s="57" t="s">
        <v>1293</v>
      </c>
      <c r="BN266" s="57" t="s">
        <v>1293</v>
      </c>
      <c r="BO266" s="57" t="s">
        <v>1293</v>
      </c>
      <c r="BP266" s="57" t="s">
        <v>1293</v>
      </c>
      <c r="BQ266" s="57" t="s">
        <v>1293</v>
      </c>
      <c r="BR266" s="57" t="s">
        <v>1293</v>
      </c>
      <c r="BS266" s="57" t="s">
        <v>1293</v>
      </c>
      <c r="BT266" s="57" t="s">
        <v>1293</v>
      </c>
      <c r="BU266" s="57" t="s">
        <v>1293</v>
      </c>
      <c r="BV266" s="70">
        <f>E266</f>
        <v>11</v>
      </c>
      <c r="BW266" s="71" t="str">
        <f>I266</f>
        <v>-</v>
      </c>
      <c r="BX266" s="72">
        <f>M266</f>
        <v>49</v>
      </c>
      <c r="BY266" s="71">
        <f>Q266</f>
        <v>82</v>
      </c>
      <c r="BZ266" s="72">
        <f>U266</f>
        <v>86</v>
      </c>
      <c r="CA266" s="71" t="str">
        <f>Y266</f>
        <v>-</v>
      </c>
      <c r="CB266" s="72">
        <f>AC266</f>
        <v>141</v>
      </c>
      <c r="CC266" s="71">
        <f>AG266</f>
        <v>173</v>
      </c>
      <c r="CD266" s="72">
        <f>AK266</f>
        <v>183</v>
      </c>
      <c r="CE266" s="71">
        <f>AO266</f>
        <v>224</v>
      </c>
      <c r="CF266" s="72">
        <f>AS266</f>
        <v>264</v>
      </c>
      <c r="CG266" s="71">
        <f>AW266</f>
        <v>300</v>
      </c>
      <c r="CH266" s="70">
        <f>G266</f>
        <v>44</v>
      </c>
      <c r="CI266" s="71" t="str">
        <f>K266</f>
        <v>-</v>
      </c>
      <c r="CJ266" s="72">
        <f>O266</f>
        <v>80</v>
      </c>
      <c r="CK266" s="72">
        <f>S266</f>
        <v>85</v>
      </c>
      <c r="CL266" s="72">
        <f>W266</f>
        <v>120</v>
      </c>
      <c r="CM266" s="72" t="str">
        <f>AA266</f>
        <v>-</v>
      </c>
      <c r="CN266" s="72">
        <f>AE266</f>
        <v>155</v>
      </c>
      <c r="CO266" s="72">
        <f>AI266</f>
        <v>175</v>
      </c>
      <c r="CP266" s="72">
        <f>AM266</f>
        <v>214</v>
      </c>
      <c r="CQ266" s="72">
        <f>AQ266</f>
        <v>261</v>
      </c>
      <c r="CR266" s="72">
        <f>AU266</f>
        <v>299</v>
      </c>
      <c r="CS266" s="72">
        <f>AY266</f>
        <v>313</v>
      </c>
      <c r="CT266" s="23" t="e">
        <f>M266-K266</f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>CONCATENATE(B267,"_",C267)</f>
        <v>ptafr_human_5ZKQ</v>
      </c>
      <c r="B267" s="3" t="s">
        <v>371</v>
      </c>
      <c r="C267" s="3" t="s">
        <v>1523</v>
      </c>
      <c r="D267" s="3" t="str">
        <f>IFERROR(MID(VLOOKUP($B267,Seqs!$A:$B,2,0),E267,1),"")</f>
        <v>D</v>
      </c>
      <c r="E267" s="3">
        <v>10</v>
      </c>
      <c r="F267" s="3" t="str">
        <f>IFERROR(MID(VLOOKUP($B267,Seqs!$A:$B,2,0),G267,1),"")</f>
        <v>L</v>
      </c>
      <c r="G267" s="3">
        <v>43</v>
      </c>
      <c r="H267" s="3" t="str">
        <f>IFERROR(MID(VLOOKUP($B267,Seqs!$A:$B,2,0),I267,1),"")</f>
        <v/>
      </c>
      <c r="I267" s="23" t="s">
        <v>23</v>
      </c>
      <c r="J267" s="3" t="str">
        <f>IFERROR(MID(VLOOKUP($B267,Seqs!$A:$B,2,0),K267,1),"")</f>
        <v/>
      </c>
      <c r="K267" s="23" t="s">
        <v>23</v>
      </c>
      <c r="L267" s="3" t="str">
        <f>IFERROR(MID(VLOOKUP($B267,Seqs!$A:$B,2,0),M267,1),"")</f>
        <v>F</v>
      </c>
      <c r="M267" s="3">
        <v>49</v>
      </c>
      <c r="N267" s="3" t="str">
        <f>IFERROR(MID(VLOOKUP($B267,Seqs!$A:$B,2,0),O267,1),"")</f>
        <v>Q</v>
      </c>
      <c r="O267" s="3">
        <v>80</v>
      </c>
      <c r="P267" s="3" t="str">
        <f>IFERROR(MID(VLOOKUP($B267,Seqs!$A:$B,2,0),Q267,1),"")</f>
        <v>N</v>
      </c>
      <c r="Q267" s="3">
        <v>82</v>
      </c>
      <c r="R267" s="3" t="str">
        <f>IFERROR(MID(VLOOKUP($B267,Seqs!$A:$B,2,0),S267,1),"")</f>
        <v>L</v>
      </c>
      <c r="S267" s="3">
        <v>85</v>
      </c>
      <c r="T267" s="3" t="str">
        <f>IFERROR(MID(VLOOKUP($B267,Seqs!$A:$B,2,0),U267,1),"")</f>
        <v>P</v>
      </c>
      <c r="U267" s="3">
        <v>86</v>
      </c>
      <c r="V267" s="3" t="str">
        <f>IFERROR(MID(VLOOKUP($B267,Seqs!$A:$B,2,0),W267,1),"")</f>
        <v>R</v>
      </c>
      <c r="W267" s="3">
        <v>121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T</v>
      </c>
      <c r="AC267" s="3">
        <v>130</v>
      </c>
      <c r="AD267" s="3" t="str">
        <f>IFERROR(MID(VLOOKUP($B267,Seqs!$A:$B,2,0),AE267,1),"")</f>
        <v>I</v>
      </c>
      <c r="AE267" s="3">
        <v>154</v>
      </c>
      <c r="AF267" s="3" t="str">
        <f>IFERROR(MID(VLOOKUP($B267,Seqs!$A:$B,2,0),AG267,1),"")</f>
        <v>C</v>
      </c>
      <c r="AG267" s="3">
        <v>173</v>
      </c>
      <c r="AH267" s="3" t="str">
        <f>IFERROR(MID(VLOOKUP($B267,Seqs!$A:$B,2,0),AI267,1),"")</f>
        <v>E</v>
      </c>
      <c r="AI267" s="3">
        <v>175</v>
      </c>
      <c r="AJ267" s="3" t="str">
        <f>IFERROR(MID(VLOOKUP($B267,Seqs!$A:$B,2,0),AK267,1),"")</f>
        <v>S</v>
      </c>
      <c r="AK267" s="3">
        <v>181</v>
      </c>
      <c r="AL267" s="3" t="str">
        <f>IFERROR(MID(VLOOKUP($B267,Seqs!$A:$B,2,0),AM267,1),"")</f>
        <v>M</v>
      </c>
      <c r="AM267" s="3">
        <v>215</v>
      </c>
      <c r="AN267" s="3" t="str">
        <f>IFERROR(MID(VLOOKUP($B267,Seqs!$A:$B,2,0),AO267,1),"")</f>
        <v>K</v>
      </c>
      <c r="AO267" s="3">
        <v>227</v>
      </c>
      <c r="AP267" s="3" t="str">
        <f>IFERROR(MID(VLOOKUP($B267,Seqs!$A:$B,2,0),AQ267,1),"")</f>
        <v>G</v>
      </c>
      <c r="AQ267" s="3">
        <v>261</v>
      </c>
      <c r="AR267" s="3" t="str">
        <f>IFERROR(MID(VLOOKUP($B267,Seqs!$A:$B,2,0),AS267,1),"")</f>
        <v>D</v>
      </c>
      <c r="AS267" s="3">
        <v>264</v>
      </c>
      <c r="AT267" s="3" t="str">
        <f>IFERROR(MID(VLOOKUP($B267,Seqs!$A:$B,2,0),AU267,1),"")</f>
        <v>T</v>
      </c>
      <c r="AU267" s="3">
        <v>297</v>
      </c>
      <c r="AV267" s="3" t="str">
        <f>IFERROR(MID(VLOOKUP($B267,Seqs!$A:$B,2,0),AW267,1),"")</f>
        <v/>
      </c>
      <c r="AW267" s="3" t="s">
        <v>23</v>
      </c>
      <c r="AX267" s="3" t="str">
        <f>IFERROR(MID(VLOOKUP($B267,Seqs!$A:$B,2,0),AY267,1),"")</f>
        <v/>
      </c>
      <c r="AY267" s="3" t="s">
        <v>23</v>
      </c>
      <c r="AZ267" s="77" t="str">
        <f>VLOOKUP(B267,Classification!A:D,2,0)</f>
        <v>A</v>
      </c>
      <c r="BA267" s="94" t="str">
        <f>VLOOKUP(B267,Classification!A:D,4,0)</f>
        <v>Platelet-activatingfactor</v>
      </c>
      <c r="BB267" s="27" t="b">
        <f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23">
        <f>_xlfn.AGGREGATE(9,6,CH267:CS267)-_xlfn.AGGREGATE(9,6,BV267:CG267)+12</f>
        <v>241</v>
      </c>
      <c r="BD267" s="2" t="s">
        <v>1440</v>
      </c>
      <c r="BE267" s="3" t="s">
        <v>1439</v>
      </c>
      <c r="BF267" s="119">
        <v>2.9</v>
      </c>
      <c r="BG267" s="49" t="s">
        <v>1287</v>
      </c>
      <c r="BH267" s="49" t="s">
        <v>1287</v>
      </c>
      <c r="BI267" s="1"/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>E267</f>
        <v>10</v>
      </c>
      <c r="BW267" s="71" t="str">
        <f>I267</f>
        <v>-</v>
      </c>
      <c r="BX267" s="72">
        <f>M267</f>
        <v>49</v>
      </c>
      <c r="BY267" s="71">
        <f>Q267</f>
        <v>82</v>
      </c>
      <c r="BZ267" s="72">
        <f>U267</f>
        <v>86</v>
      </c>
      <c r="CA267" s="71" t="str">
        <f>Y267</f>
        <v>-</v>
      </c>
      <c r="CB267" s="72">
        <f>AC267</f>
        <v>130</v>
      </c>
      <c r="CC267" s="71">
        <f>AG267</f>
        <v>173</v>
      </c>
      <c r="CD267" s="72">
        <f>AK267</f>
        <v>181</v>
      </c>
      <c r="CE267" s="71">
        <f>AO267</f>
        <v>227</v>
      </c>
      <c r="CF267" s="72">
        <f>AS267</f>
        <v>264</v>
      </c>
      <c r="CG267" s="71" t="str">
        <f>AW267</f>
        <v>-</v>
      </c>
      <c r="CH267" s="70">
        <f>G267</f>
        <v>43</v>
      </c>
      <c r="CI267" s="71" t="str">
        <f>K267</f>
        <v>-</v>
      </c>
      <c r="CJ267" s="72">
        <f>O267</f>
        <v>80</v>
      </c>
      <c r="CK267" s="72">
        <f>S267</f>
        <v>85</v>
      </c>
      <c r="CL267" s="72">
        <f>W267</f>
        <v>121</v>
      </c>
      <c r="CM267" s="72" t="str">
        <f>AA267</f>
        <v>-</v>
      </c>
      <c r="CN267" s="72">
        <f>AE267</f>
        <v>154</v>
      </c>
      <c r="CO267" s="72">
        <f>AI267</f>
        <v>175</v>
      </c>
      <c r="CP267" s="72">
        <f>AM267</f>
        <v>215</v>
      </c>
      <c r="CQ267" s="72">
        <f>AQ267</f>
        <v>261</v>
      </c>
      <c r="CR267" s="72">
        <f>AU267</f>
        <v>297</v>
      </c>
      <c r="CS267" s="72" t="str">
        <f>AY267</f>
        <v>-</v>
      </c>
      <c r="CT267" s="23" t="e">
        <f>M267-K267</f>
        <v>#VALUE!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si="811"/>
        <v>q08bg4_danre__wt</v>
      </c>
      <c r="B268" s="3" t="s">
        <v>1451</v>
      </c>
      <c r="C268" s="3" t="s">
        <v>100</v>
      </c>
      <c r="D268" s="3" t="str">
        <f>IFERROR(MID(VLOOKUP($B268,Seqs!$A:$B,2,0),E268,1),"")</f>
        <v>K</v>
      </c>
      <c r="E268" s="3">
        <v>26</v>
      </c>
      <c r="F268" s="3" t="str">
        <f>IFERROR(MID(VLOOKUP($B268,Seqs!$A:$B,2,0),G268,1),"")</f>
        <v>S</v>
      </c>
      <c r="G268" s="3">
        <v>55</v>
      </c>
      <c r="H268" s="3" t="str">
        <f>IFERROR(MID(VLOOKUP($B268,Seqs!$A:$B,2,0),I268,1),"")</f>
        <v>L</v>
      </c>
      <c r="I268" s="23">
        <v>56</v>
      </c>
      <c r="J268" s="3" t="str">
        <f>IFERROR(MID(VLOOKUP($B268,Seqs!$A:$B,2,0),K268,1),"")</f>
        <v>R</v>
      </c>
      <c r="K268" s="23">
        <v>59</v>
      </c>
      <c r="L268" s="3" t="str">
        <f>IFERROR(MID(VLOOKUP($B268,Seqs!$A:$B,2,0),M268,1),"")</f>
        <v>N</v>
      </c>
      <c r="M268" s="3">
        <v>60</v>
      </c>
      <c r="N268" s="3" t="str">
        <f>IFERROR(MID(VLOOKUP($B268,Seqs!$A:$B,2,0),O268,1),"")</f>
        <v>Q</v>
      </c>
      <c r="O268" s="3">
        <v>89</v>
      </c>
      <c r="P268" s="3" t="str">
        <f>IFERROR(MID(VLOOKUP($B268,Seqs!$A:$B,2,0),Q268,1),"")</f>
        <v>N</v>
      </c>
      <c r="Q268" s="3">
        <v>91</v>
      </c>
      <c r="R268" s="3" t="str">
        <f>IFERROR(MID(VLOOKUP($B268,Seqs!$A:$B,2,0),S268,1),"")</f>
        <v>F</v>
      </c>
      <c r="S268" s="3">
        <v>94</v>
      </c>
      <c r="T268" s="3" t="str">
        <f>IFERROR(MID(VLOOKUP($B268,Seqs!$A:$B,2,0),U268,1),"")</f>
        <v>G</v>
      </c>
      <c r="U268" s="3">
        <v>95</v>
      </c>
      <c r="V268" s="3" t="str">
        <f>IFERROR(MID(VLOOKUP($B268,Seqs!$A:$B,2,0),W268,1),"")</f>
        <v>Y</v>
      </c>
      <c r="W268" s="3">
        <v>130</v>
      </c>
      <c r="X268" s="3" t="str">
        <f>IFERROR(MID(VLOOKUP($B268,Seqs!$A:$B,2,0),Y268,1),"")</f>
        <v>P</v>
      </c>
      <c r="Y268" s="3">
        <v>131</v>
      </c>
      <c r="Z268" s="3" t="str">
        <f>IFERROR(MID(VLOOKUP($B268,Seqs!$A:$B,2,0),AA268,1),"")</f>
        <v>R</v>
      </c>
      <c r="AA268" s="3">
        <v>138</v>
      </c>
      <c r="AB268" s="3" t="str">
        <f>IFERROR(MID(VLOOKUP($B268,Seqs!$A:$B,2,0),AC268,1),"")</f>
        <v>T</v>
      </c>
      <c r="AC268" s="3">
        <v>139</v>
      </c>
      <c r="AD268" s="3" t="str">
        <f>IFERROR(MID(VLOOKUP($B268,Seqs!$A:$B,2,0),AE268,1),"")</f>
        <v>N</v>
      </c>
      <c r="AE268" s="3">
        <v>166</v>
      </c>
      <c r="AF268" s="3" t="str">
        <f>IFERROR(MID(VLOOKUP($B268,Seqs!$A:$B,2,0),AG268,1),"")</f>
        <v>C</v>
      </c>
      <c r="AG268" s="3">
        <v>178</v>
      </c>
      <c r="AH268" s="3" t="str">
        <f>IFERROR(MID(VLOOKUP($B268,Seqs!$A:$B,2,0),AI268,1),"")</f>
        <v>E</v>
      </c>
      <c r="AI268" s="3">
        <v>180</v>
      </c>
      <c r="AJ268" s="3" t="str">
        <f>IFERROR(MID(VLOOKUP($B268,Seqs!$A:$B,2,0),AK268,1),"")</f>
        <v>W</v>
      </c>
      <c r="AK268" s="3">
        <v>187</v>
      </c>
      <c r="AL268" s="3" t="str">
        <f>IFERROR(MID(VLOOKUP($B268,Seqs!$A:$B,2,0),AM268,1),"")</f>
        <v>P</v>
      </c>
      <c r="AM268" s="3">
        <v>224</v>
      </c>
      <c r="AN268" s="3" t="str">
        <f>IFERROR(MID(VLOOKUP($B268,Seqs!$A:$B,2,0),AO268,1),"")</f>
        <v>R</v>
      </c>
      <c r="AO268" s="3">
        <v>229</v>
      </c>
      <c r="AP268" s="3" t="str">
        <f>IFERROR(MID(VLOOKUP($B268,Seqs!$A:$B,2,0),AQ268,1),"")</f>
        <v>N</v>
      </c>
      <c r="AQ268" s="3">
        <v>269</v>
      </c>
      <c r="AR268" s="3" t="str">
        <f>IFERROR(MID(VLOOKUP($B268,Seqs!$A:$B,2,0),AS268,1),"")</f>
        <v>G</v>
      </c>
      <c r="AS268" s="3">
        <v>273</v>
      </c>
      <c r="AT268" s="3" t="str">
        <f>IFERROR(MID(VLOOKUP($B268,Seqs!$A:$B,2,0),AU268,1),"")</f>
        <v>T</v>
      </c>
      <c r="AU268" s="3">
        <v>305</v>
      </c>
      <c r="AV268" s="3" t="str">
        <f>IFERROR(MID(VLOOKUP($B268,Seqs!$A:$B,2,0),AW268,1),"")</f>
        <v>S</v>
      </c>
      <c r="AW268" s="3">
        <v>306</v>
      </c>
      <c r="AX268" s="3" t="str">
        <f>IFERROR(MID(VLOOKUP($B268,Seqs!$A:$B,2,0),AY268,1),"")</f>
        <v>G</v>
      </c>
      <c r="AY268" s="3">
        <v>320</v>
      </c>
      <c r="AZ268" s="77" t="str">
        <f>VLOOKUP(B268,Classification!A:D,2,0)</f>
        <v>A</v>
      </c>
      <c r="BA268" s="94" t="str">
        <f>VLOOKUP(B268,Classification!A:D,4,0)</f>
        <v>Lysophospholipid(LPA)</v>
      </c>
      <c r="BB268" s="27" t="b">
        <f t="shared" si="812"/>
        <v>1</v>
      </c>
      <c r="BC268" s="23">
        <f t="shared" si="813"/>
        <v>270</v>
      </c>
      <c r="BD268" s="2" t="s">
        <v>23</v>
      </c>
      <c r="BE268" s="3" t="s">
        <v>23</v>
      </c>
      <c r="BF268" s="119" t="s">
        <v>23</v>
      </c>
      <c r="BG268" s="49" t="s">
        <v>1</v>
      </c>
      <c r="BH268" s="49" t="s">
        <v>1384</v>
      </c>
      <c r="BI268" s="1"/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814"/>
        <v>26</v>
      </c>
      <c r="BW268" s="71">
        <f t="shared" si="815"/>
        <v>56</v>
      </c>
      <c r="BX268" s="72">
        <f t="shared" si="816"/>
        <v>60</v>
      </c>
      <c r="BY268" s="71">
        <f t="shared" si="817"/>
        <v>91</v>
      </c>
      <c r="BZ268" s="72">
        <f t="shared" si="818"/>
        <v>95</v>
      </c>
      <c r="CA268" s="71">
        <f t="shared" si="819"/>
        <v>131</v>
      </c>
      <c r="CB268" s="72">
        <f t="shared" si="820"/>
        <v>139</v>
      </c>
      <c r="CC268" s="71">
        <f t="shared" si="821"/>
        <v>178</v>
      </c>
      <c r="CD268" s="72">
        <f t="shared" si="822"/>
        <v>187</v>
      </c>
      <c r="CE268" s="71">
        <f t="shared" si="823"/>
        <v>229</v>
      </c>
      <c r="CF268" s="72">
        <f t="shared" si="824"/>
        <v>273</v>
      </c>
      <c r="CG268" s="71">
        <f t="shared" si="825"/>
        <v>306</v>
      </c>
      <c r="CH268" s="70">
        <f t="shared" si="826"/>
        <v>55</v>
      </c>
      <c r="CI268" s="71">
        <f t="shared" si="827"/>
        <v>59</v>
      </c>
      <c r="CJ268" s="72">
        <f t="shared" si="828"/>
        <v>89</v>
      </c>
      <c r="CK268" s="72">
        <f t="shared" si="829"/>
        <v>94</v>
      </c>
      <c r="CL268" s="72">
        <f t="shared" si="830"/>
        <v>130</v>
      </c>
      <c r="CM268" s="72">
        <f t="shared" si="831"/>
        <v>138</v>
      </c>
      <c r="CN268" s="72">
        <f t="shared" si="832"/>
        <v>166</v>
      </c>
      <c r="CO268" s="72">
        <f t="shared" si="833"/>
        <v>180</v>
      </c>
      <c r="CP268" s="72">
        <f t="shared" si="834"/>
        <v>224</v>
      </c>
      <c r="CQ268" s="72">
        <f t="shared" si="835"/>
        <v>269</v>
      </c>
      <c r="CR268" s="72">
        <f t="shared" si="836"/>
        <v>305</v>
      </c>
      <c r="CS268" s="72">
        <f t="shared" si="837"/>
        <v>320</v>
      </c>
      <c r="CT268" s="23">
        <f t="shared" si="838"/>
        <v>1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si="811"/>
        <v>q08bg4_danre_5XSZ</v>
      </c>
      <c r="B269" s="3" t="s">
        <v>1451</v>
      </c>
      <c r="C269" s="3" t="s">
        <v>1453</v>
      </c>
      <c r="D269" s="3" t="str">
        <f>IFERROR(MID(VLOOKUP($B269,Seqs!$A:$B,2,0),E269,1),"")</f>
        <v>K</v>
      </c>
      <c r="E269" s="3">
        <v>26</v>
      </c>
      <c r="F269" s="3" t="str">
        <f>IFERROR(MID(VLOOKUP($B269,Seqs!$A:$B,2,0),G269,1),"")</f>
        <v>S</v>
      </c>
      <c r="G269" s="3">
        <v>55</v>
      </c>
      <c r="H269" s="3" t="str">
        <f>IFERROR(MID(VLOOKUP($B269,Seqs!$A:$B,2,0),I269,1),"")</f>
        <v/>
      </c>
      <c r="I269" s="23" t="s">
        <v>23</v>
      </c>
      <c r="J269" s="3" t="str">
        <f>IFERROR(MID(VLOOKUP($B269,Seqs!$A:$B,2,0),K269,1),"")</f>
        <v/>
      </c>
      <c r="K269" s="23" t="s">
        <v>23</v>
      </c>
      <c r="L269" s="3" t="str">
        <f>IFERROR(MID(VLOOKUP($B269,Seqs!$A:$B,2,0),M269,1),"")</f>
        <v>N</v>
      </c>
      <c r="M269" s="3">
        <v>60</v>
      </c>
      <c r="N269" s="3" t="str">
        <f>IFERROR(MID(VLOOKUP($B269,Seqs!$A:$B,2,0),O269,1),"")</f>
        <v>Q</v>
      </c>
      <c r="O269" s="3">
        <v>89</v>
      </c>
      <c r="P269" s="3" t="str">
        <f>IFERROR(MID(VLOOKUP($B269,Seqs!$A:$B,2,0),Q269,1),"")</f>
        <v>N</v>
      </c>
      <c r="Q269" s="3">
        <v>91</v>
      </c>
      <c r="R269" s="3" t="str">
        <f>IFERROR(MID(VLOOKUP($B269,Seqs!$A:$B,2,0),S269,1),"")</f>
        <v>F</v>
      </c>
      <c r="S269" s="3">
        <v>94</v>
      </c>
      <c r="T269" s="3" t="str">
        <f>IFERROR(MID(VLOOKUP($B269,Seqs!$A:$B,2,0),U269,1),"")</f>
        <v>G</v>
      </c>
      <c r="U269" s="3">
        <v>95</v>
      </c>
      <c r="V269" s="3" t="str">
        <f>IFERROR(MID(VLOOKUP($B269,Seqs!$A:$B,2,0),W269,1),"")</f>
        <v>Y</v>
      </c>
      <c r="W269" s="3">
        <v>130</v>
      </c>
      <c r="X269" s="3" t="str">
        <f>IFERROR(MID(VLOOKUP($B269,Seqs!$A:$B,2,0),Y269,1),"")</f>
        <v>P</v>
      </c>
      <c r="Y269" s="3">
        <v>131</v>
      </c>
      <c r="Z269" s="3" t="str">
        <f>IFERROR(MID(VLOOKUP($B269,Seqs!$A:$B,2,0),AA269,1),"")</f>
        <v>R</v>
      </c>
      <c r="AA269" s="3">
        <v>138</v>
      </c>
      <c r="AB269" s="3" t="str">
        <f>IFERROR(MID(VLOOKUP($B269,Seqs!$A:$B,2,0),AC269,1),"")</f>
        <v>T</v>
      </c>
      <c r="AC269" s="3">
        <v>139</v>
      </c>
      <c r="AD269" s="3" t="str">
        <f>IFERROR(MID(VLOOKUP($B269,Seqs!$A:$B,2,0),AE269,1),"")</f>
        <v>N</v>
      </c>
      <c r="AE269" s="3">
        <v>166</v>
      </c>
      <c r="AF269" s="3" t="str">
        <f>IFERROR(MID(VLOOKUP($B269,Seqs!$A:$B,2,0),AG269,1),"")</f>
        <v>C</v>
      </c>
      <c r="AG269" s="3">
        <v>178</v>
      </c>
      <c r="AH269" s="3" t="str">
        <f>IFERROR(MID(VLOOKUP($B269,Seqs!$A:$B,2,0),AI269,1),"")</f>
        <v>F</v>
      </c>
      <c r="AI269" s="3">
        <v>179</v>
      </c>
      <c r="AJ269" s="3" t="str">
        <f>IFERROR(MID(VLOOKUP($B269,Seqs!$A:$B,2,0),AK269,1),"")</f>
        <v>W</v>
      </c>
      <c r="AK269" s="3">
        <v>187</v>
      </c>
      <c r="AL269" s="3" t="str">
        <f>IFERROR(MID(VLOOKUP($B269,Seqs!$A:$B,2,0),AM269,1),"")</f>
        <v>R</v>
      </c>
      <c r="AM269" s="3">
        <v>223</v>
      </c>
      <c r="AN269" s="3" t="str">
        <f>IFERROR(MID(VLOOKUP($B269,Seqs!$A:$B,2,0),AO269,1),"")</f>
        <v>N</v>
      </c>
      <c r="AO269" s="3">
        <v>234</v>
      </c>
      <c r="AP269" s="3" t="str">
        <f>IFERROR(MID(VLOOKUP($B269,Seqs!$A:$B,2,0),AQ269,1),"")</f>
        <v>N</v>
      </c>
      <c r="AQ269" s="3">
        <v>269</v>
      </c>
      <c r="AR269" s="3" t="str">
        <f>IFERROR(MID(VLOOKUP($B269,Seqs!$A:$B,2,0),AS269,1),"")</f>
        <v>G</v>
      </c>
      <c r="AS269" s="3">
        <v>273</v>
      </c>
      <c r="AT269" s="3" t="str">
        <f>IFERROR(MID(VLOOKUP($B269,Seqs!$A:$B,2,0),AU269,1),"")</f>
        <v>T</v>
      </c>
      <c r="AU269" s="3">
        <v>308</v>
      </c>
      <c r="AV269" s="3" t="str">
        <f>IFERROR(MID(VLOOKUP($B269,Seqs!$A:$B,2,0),AW269,1),"")</f>
        <v/>
      </c>
      <c r="AW269" s="3" t="s">
        <v>23</v>
      </c>
      <c r="AX269" s="3" t="str">
        <f>IFERROR(MID(VLOOKUP($B269,Seqs!$A:$B,2,0),AY269,1),"")</f>
        <v/>
      </c>
      <c r="AY269" s="3" t="s">
        <v>23</v>
      </c>
      <c r="AZ269" s="77" t="str">
        <f>VLOOKUP(B269,Classification!A:D,2,0)</f>
        <v>A</v>
      </c>
      <c r="BA269" s="94" t="str">
        <f>VLOOKUP(B269,Classification!A:D,4,0)</f>
        <v>Lysophospholipid(LPA)</v>
      </c>
      <c r="BB269" s="27" t="b">
        <f t="shared" si="812"/>
        <v>1</v>
      </c>
      <c r="BC269" s="23">
        <f t="shared" si="813"/>
        <v>249</v>
      </c>
      <c r="BD269" s="2" t="s">
        <v>1382</v>
      </c>
      <c r="BE269" s="3" t="s">
        <v>1297</v>
      </c>
      <c r="BF269" s="119">
        <v>3.2</v>
      </c>
      <c r="BG269" s="49" t="s">
        <v>1</v>
      </c>
      <c r="BH269" s="49" t="s">
        <v>1384</v>
      </c>
      <c r="BI269" s="1"/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si="814"/>
        <v>26</v>
      </c>
      <c r="BW269" s="71" t="str">
        <f t="shared" si="815"/>
        <v>-</v>
      </c>
      <c r="BX269" s="72">
        <f t="shared" si="816"/>
        <v>60</v>
      </c>
      <c r="BY269" s="71">
        <f t="shared" si="817"/>
        <v>91</v>
      </c>
      <c r="BZ269" s="72">
        <f t="shared" si="818"/>
        <v>95</v>
      </c>
      <c r="CA269" s="71">
        <f t="shared" si="819"/>
        <v>131</v>
      </c>
      <c r="CB269" s="72">
        <f t="shared" si="820"/>
        <v>139</v>
      </c>
      <c r="CC269" s="71">
        <f t="shared" si="821"/>
        <v>178</v>
      </c>
      <c r="CD269" s="72">
        <f t="shared" si="822"/>
        <v>187</v>
      </c>
      <c r="CE269" s="71">
        <f t="shared" si="823"/>
        <v>234</v>
      </c>
      <c r="CF269" s="72">
        <f t="shared" si="824"/>
        <v>273</v>
      </c>
      <c r="CG269" s="71" t="str">
        <f t="shared" si="825"/>
        <v>-</v>
      </c>
      <c r="CH269" s="70">
        <f t="shared" si="826"/>
        <v>55</v>
      </c>
      <c r="CI269" s="71" t="str">
        <f t="shared" si="827"/>
        <v>-</v>
      </c>
      <c r="CJ269" s="72">
        <f t="shared" si="828"/>
        <v>89</v>
      </c>
      <c r="CK269" s="72">
        <f t="shared" si="829"/>
        <v>94</v>
      </c>
      <c r="CL269" s="72">
        <f t="shared" si="830"/>
        <v>130</v>
      </c>
      <c r="CM269" s="72">
        <f t="shared" si="831"/>
        <v>138</v>
      </c>
      <c r="CN269" s="72">
        <f t="shared" si="832"/>
        <v>166</v>
      </c>
      <c r="CO269" s="72">
        <f t="shared" si="833"/>
        <v>179</v>
      </c>
      <c r="CP269" s="72">
        <f t="shared" si="834"/>
        <v>223</v>
      </c>
      <c r="CQ269" s="72">
        <f t="shared" si="835"/>
        <v>269</v>
      </c>
      <c r="CR269" s="72">
        <f t="shared" si="836"/>
        <v>308</v>
      </c>
      <c r="CS269" s="72" t="str">
        <f t="shared" si="837"/>
        <v>-</v>
      </c>
      <c r="CT269" s="23" t="e">
        <f t="shared" si="838"/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si="811"/>
        <v>q9wtk1_cavpo__wt</v>
      </c>
      <c r="B270" s="3" t="s">
        <v>1463</v>
      </c>
      <c r="C270" s="3" t="s">
        <v>100</v>
      </c>
      <c r="D270" s="3" t="str">
        <f>IFERROR(MID(VLOOKUP($B270,Seqs!$A:$B,2,0),E270,1),"")</f>
        <v>T</v>
      </c>
      <c r="E270" s="3">
        <v>17</v>
      </c>
      <c r="F270" s="3" t="str">
        <f>IFERROR(MID(VLOOKUP($B270,Seqs!$A:$B,2,0),G270,1),"")</f>
        <v>R</v>
      </c>
      <c r="G270" s="3">
        <v>48</v>
      </c>
      <c r="H270" s="3" t="str">
        <f>IFERROR(MID(VLOOKUP($B270,Seqs!$A:$B,2,0),I270,1),"")</f>
        <v>M</v>
      </c>
      <c r="I270" s="23">
        <v>49</v>
      </c>
      <c r="J270" s="3" t="str">
        <f>IFERROR(MID(VLOOKUP($B270,Seqs!$A:$B,2,0),K270,1),"")</f>
        <v>R</v>
      </c>
      <c r="K270" s="23">
        <v>52</v>
      </c>
      <c r="L270" s="3" t="str">
        <f>IFERROR(MID(VLOOKUP($B270,Seqs!$A:$B,2,0),M270,1),"")</f>
        <v>S</v>
      </c>
      <c r="M270" s="3">
        <v>53</v>
      </c>
      <c r="N270" s="3" t="str">
        <f>IFERROR(MID(VLOOKUP($B270,Seqs!$A:$B,2,0),O270,1),"")</f>
        <v>H</v>
      </c>
      <c r="O270" s="3">
        <v>83</v>
      </c>
      <c r="P270" s="3" t="str">
        <f>IFERROR(MID(VLOOKUP($B270,Seqs!$A:$B,2,0),Q270,1),"")</f>
        <v>T</v>
      </c>
      <c r="Q270" s="3">
        <v>84</v>
      </c>
      <c r="R270" s="3" t="str">
        <f>IFERROR(MID(VLOOKUP($B270,Seqs!$A:$B,2,0),S270,1),"")</f>
        <v>F</v>
      </c>
      <c r="S270" s="3">
        <v>87</v>
      </c>
      <c r="T270" s="3" t="str">
        <f>IFERROR(MID(VLOOKUP($B270,Seqs!$A:$B,2,0),U270,1),"")</f>
        <v>K</v>
      </c>
      <c r="U270" s="3">
        <v>88</v>
      </c>
      <c r="V270" s="3" t="str">
        <f>IFERROR(MID(VLOOKUP($B270,Seqs!$A:$B,2,0),W270,1),"")</f>
        <v>S</v>
      </c>
      <c r="W270" s="3">
        <v>123</v>
      </c>
      <c r="X270" s="3" t="str">
        <f>IFERROR(MID(VLOOKUP($B270,Seqs!$A:$B,2,0),Y270,1),"")</f>
        <v>P</v>
      </c>
      <c r="Y270" s="3">
        <v>124</v>
      </c>
      <c r="Z270" s="3" t="str">
        <f>IFERROR(MID(VLOOKUP($B270,Seqs!$A:$B,2,0),AA270,1),"")</f>
        <v>R</v>
      </c>
      <c r="AA270" s="3">
        <v>131</v>
      </c>
      <c r="AB270" s="3" t="str">
        <f>IFERROR(MID(VLOOKUP($B270,Seqs!$A:$B,2,0),AC270,1),"")</f>
        <v>T</v>
      </c>
      <c r="AC270" s="3">
        <v>132</v>
      </c>
      <c r="AD270" s="3" t="str">
        <f>IFERROR(MID(VLOOKUP($B270,Seqs!$A:$B,2,0),AE270,1),"")</f>
        <v>R</v>
      </c>
      <c r="AE270" s="3">
        <v>158</v>
      </c>
      <c r="AF270" s="3" t="str">
        <f>IFERROR(MID(VLOOKUP($B270,Seqs!$A:$B,2,0),AG270,1),"")</f>
        <v>C</v>
      </c>
      <c r="AG270" s="3">
        <v>170</v>
      </c>
      <c r="AH270" s="3" t="str">
        <f>IFERROR(MID(VLOOKUP($B270,Seqs!$A:$B,2,0),AI270,1),"")</f>
        <v>A</v>
      </c>
      <c r="AI270" s="3">
        <v>172</v>
      </c>
      <c r="AJ270" s="3" t="str">
        <f>IFERROR(MID(VLOOKUP($B270,Seqs!$A:$B,2,0),AK270,1),"")</f>
        <v>S</v>
      </c>
      <c r="AK270" s="3">
        <v>176</v>
      </c>
      <c r="AL270" s="3" t="str">
        <f>IFERROR(MID(VLOOKUP($B270,Seqs!$A:$B,2,0),AM270,1),"")</f>
        <v>R</v>
      </c>
      <c r="AM270" s="3">
        <v>213</v>
      </c>
      <c r="AN270" s="3" t="str">
        <f>IFERROR(MID(VLOOKUP($B270,Seqs!$A:$B,2,0),AO270,1),"")</f>
        <v>R</v>
      </c>
      <c r="AO270" s="3">
        <v>218</v>
      </c>
      <c r="AP270" s="3" t="str">
        <f>IFERROR(MID(VLOOKUP($B270,Seqs!$A:$B,2,0),AQ270,1),"")</f>
        <v>A</v>
      </c>
      <c r="AQ270" s="3">
        <v>252</v>
      </c>
      <c r="AR270" s="3" t="str">
        <f>IFERROR(MID(VLOOKUP($B270,Seqs!$A:$B,2,0),AS270,1),"")</f>
        <v>L</v>
      </c>
      <c r="AS270" s="3">
        <v>255</v>
      </c>
      <c r="AT270" s="3" t="str">
        <f>IFERROR(MID(VLOOKUP($B270,Seqs!$A:$B,2,0),AU270,1),"")</f>
        <v>A</v>
      </c>
      <c r="AU270" s="3">
        <v>287</v>
      </c>
      <c r="AV270" s="3" t="str">
        <f>IFERROR(MID(VLOOKUP($B270,Seqs!$A:$B,2,0),AW270,1),"")</f>
        <v>G</v>
      </c>
      <c r="AW270" s="3">
        <v>288</v>
      </c>
      <c r="AX270" s="3" t="str">
        <f>IFERROR(MID(VLOOKUP($B270,Seqs!$A:$B,2,0),AY270,1),"")</f>
        <v>K</v>
      </c>
      <c r="AY270" s="3">
        <v>302</v>
      </c>
      <c r="AZ270" s="77" t="str">
        <f>VLOOKUP(B270,Classification!A:D,2,0)</f>
        <v>A</v>
      </c>
      <c r="BA270" s="94" t="str">
        <f>VLOOKUP(B270,Classification!A:D,4,0)</f>
        <v>Leukotriene</v>
      </c>
      <c r="BB270" s="27" t="b">
        <f t="shared" si="812"/>
        <v>1</v>
      </c>
      <c r="BC270" s="23">
        <f t="shared" si="813"/>
        <v>266</v>
      </c>
      <c r="BD270" s="2" t="s">
        <v>23</v>
      </c>
      <c r="BE270" s="3" t="s">
        <v>23</v>
      </c>
      <c r="BF270" s="119" t="s">
        <v>23</v>
      </c>
      <c r="BG270" s="49" t="s">
        <v>1</v>
      </c>
      <c r="BH270" s="49" t="s">
        <v>1</v>
      </c>
      <c r="BI270" s="1"/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si="814"/>
        <v>17</v>
      </c>
      <c r="BW270" s="71">
        <f t="shared" si="815"/>
        <v>49</v>
      </c>
      <c r="BX270" s="72">
        <f t="shared" si="816"/>
        <v>53</v>
      </c>
      <c r="BY270" s="71">
        <f t="shared" si="817"/>
        <v>84</v>
      </c>
      <c r="BZ270" s="72">
        <f t="shared" si="818"/>
        <v>88</v>
      </c>
      <c r="CA270" s="71">
        <f t="shared" si="819"/>
        <v>124</v>
      </c>
      <c r="CB270" s="72">
        <f t="shared" si="820"/>
        <v>132</v>
      </c>
      <c r="CC270" s="71">
        <f t="shared" si="821"/>
        <v>170</v>
      </c>
      <c r="CD270" s="72">
        <f t="shared" si="822"/>
        <v>176</v>
      </c>
      <c r="CE270" s="71">
        <f t="shared" si="823"/>
        <v>218</v>
      </c>
      <c r="CF270" s="72">
        <f t="shared" si="824"/>
        <v>255</v>
      </c>
      <c r="CG270" s="71">
        <f t="shared" si="825"/>
        <v>288</v>
      </c>
      <c r="CH270" s="70">
        <f t="shared" si="826"/>
        <v>48</v>
      </c>
      <c r="CI270" s="71">
        <f t="shared" si="827"/>
        <v>52</v>
      </c>
      <c r="CJ270" s="72">
        <f t="shared" si="828"/>
        <v>83</v>
      </c>
      <c r="CK270" s="72">
        <f t="shared" si="829"/>
        <v>87</v>
      </c>
      <c r="CL270" s="72">
        <f t="shared" si="830"/>
        <v>123</v>
      </c>
      <c r="CM270" s="72">
        <f t="shared" si="831"/>
        <v>131</v>
      </c>
      <c r="CN270" s="72">
        <f t="shared" si="832"/>
        <v>158</v>
      </c>
      <c r="CO270" s="72">
        <f t="shared" si="833"/>
        <v>172</v>
      </c>
      <c r="CP270" s="72">
        <f t="shared" si="834"/>
        <v>213</v>
      </c>
      <c r="CQ270" s="72">
        <f t="shared" si="835"/>
        <v>252</v>
      </c>
      <c r="CR270" s="72">
        <f t="shared" si="836"/>
        <v>287</v>
      </c>
      <c r="CS270" s="72">
        <f t="shared" si="837"/>
        <v>302</v>
      </c>
      <c r="CT270" s="23">
        <f t="shared" si="838"/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si="811"/>
        <v>q9wtk1_cavpo_5X33</v>
      </c>
      <c r="B271" s="3" t="s">
        <v>1463</v>
      </c>
      <c r="C271" s="3" t="s">
        <v>1464</v>
      </c>
      <c r="D271" s="3" t="str">
        <f>IFERROR(MID(VLOOKUP($B271,Seqs!$A:$B,2,0),E271,1),"")</f>
        <v>T</v>
      </c>
      <c r="E271" s="3">
        <v>17</v>
      </c>
      <c r="F271" s="3" t="str">
        <f>IFERROR(MID(VLOOKUP($B271,Seqs!$A:$B,2,0),G271,1),"")</f>
        <v>R</v>
      </c>
      <c r="G271" s="3">
        <v>48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S</v>
      </c>
      <c r="M271" s="3">
        <v>53</v>
      </c>
      <c r="N271" s="3" t="str">
        <f>IFERROR(MID(VLOOKUP($B271,Seqs!$A:$B,2,0),O271,1),"")</f>
        <v>H</v>
      </c>
      <c r="O271" s="3">
        <v>83</v>
      </c>
      <c r="P271" s="3" t="str">
        <f>IFERROR(MID(VLOOKUP($B271,Seqs!$A:$B,2,0),Q271,1),"")</f>
        <v>T</v>
      </c>
      <c r="Q271" s="3">
        <v>84</v>
      </c>
      <c r="R271" s="3" t="str">
        <f>IFERROR(MID(VLOOKUP($B271,Seqs!$A:$B,2,0),S271,1),"")</f>
        <v>F</v>
      </c>
      <c r="S271" s="3">
        <v>87</v>
      </c>
      <c r="T271" s="3" t="str">
        <f>IFERROR(MID(VLOOKUP($B271,Seqs!$A:$B,2,0),U271,1),"")</f>
        <v>K</v>
      </c>
      <c r="U271" s="3">
        <v>88</v>
      </c>
      <c r="V271" s="3" t="str">
        <f>IFERROR(MID(VLOOKUP($B271,Seqs!$A:$B,2,0),W271,1),"")</f>
        <v>S</v>
      </c>
      <c r="W271" s="3">
        <v>123</v>
      </c>
      <c r="X271" s="3" t="str">
        <f>IFERROR(MID(VLOOKUP($B271,Seqs!$A:$B,2,0),Y271,1),"")</f>
        <v>P</v>
      </c>
      <c r="Y271" s="3">
        <v>124</v>
      </c>
      <c r="Z271" s="3" t="str">
        <f>IFERROR(MID(VLOOKUP($B271,Seqs!$A:$B,2,0),AA271,1),"")</f>
        <v>R</v>
      </c>
      <c r="AA271" s="3">
        <v>131</v>
      </c>
      <c r="AB271" s="3" t="str">
        <f>IFERROR(MID(VLOOKUP($B271,Seqs!$A:$B,2,0),AC271,1),"")</f>
        <v>T</v>
      </c>
      <c r="AC271" s="3">
        <v>132</v>
      </c>
      <c r="AD271" s="3" t="str">
        <f>IFERROR(MID(VLOOKUP($B271,Seqs!$A:$B,2,0),AE271,1),"")</f>
        <v>R</v>
      </c>
      <c r="AE271" s="3">
        <v>158</v>
      </c>
      <c r="AF271" s="3" t="str">
        <f>IFERROR(MID(VLOOKUP($B271,Seqs!$A:$B,2,0),AG271,1),"")</f>
        <v>C</v>
      </c>
      <c r="AG271" s="3">
        <v>170</v>
      </c>
      <c r="AH271" s="3" t="str">
        <f>IFERROR(MID(VLOOKUP($B271,Seqs!$A:$B,2,0),AI271,1),"")</f>
        <v>A</v>
      </c>
      <c r="AI271" s="3">
        <v>172</v>
      </c>
      <c r="AJ271" s="3" t="str">
        <f>IFERROR(MID(VLOOKUP($B271,Seqs!$A:$B,2,0),AK271,1),"")</f>
        <v>S</v>
      </c>
      <c r="AK271" s="3">
        <v>176</v>
      </c>
      <c r="AL271" s="3" t="str">
        <f>IFERROR(MID(VLOOKUP($B271,Seqs!$A:$B,2,0),AM271,1),"")</f>
        <v>R</v>
      </c>
      <c r="AM271" s="3">
        <v>213</v>
      </c>
      <c r="AN271" s="3" t="str">
        <f>IFERROR(MID(VLOOKUP($B271,Seqs!$A:$B,2,0),AO271,1),"")</f>
        <v>I</v>
      </c>
      <c r="AO271" s="3">
        <v>227</v>
      </c>
      <c r="AP271" s="3" t="str">
        <f>IFERROR(MID(VLOOKUP($B271,Seqs!$A:$B,2,0),AQ271,1),"")</f>
        <v>R</v>
      </c>
      <c r="AQ271" s="3">
        <v>249</v>
      </c>
      <c r="AR271" s="3" t="str">
        <f>IFERROR(MID(VLOOKUP($B271,Seqs!$A:$B,2,0),AS271,1),"")</f>
        <v>Q</v>
      </c>
      <c r="AS271" s="3">
        <v>261</v>
      </c>
      <c r="AT271" s="3" t="str">
        <f>IFERROR(MID(VLOOKUP($B271,Seqs!$A:$B,2,0),AU271,1),"")</f>
        <v>S</v>
      </c>
      <c r="AU271" s="3">
        <v>278</v>
      </c>
      <c r="AV271" s="3" t="str">
        <f>IFERROR(MID(VLOOKUP($B271,Seqs!$A:$B,2,0),AW271,1),"")</f>
        <v/>
      </c>
      <c r="AW271" s="3" t="s">
        <v>23</v>
      </c>
      <c r="AX271" s="3" t="str">
        <f>IFERROR(MID(VLOOKUP($B271,Seqs!$A:$B,2,0),AY271,1),"")</f>
        <v/>
      </c>
      <c r="AY271" s="3" t="s">
        <v>23</v>
      </c>
      <c r="AZ271" s="77" t="str">
        <f>VLOOKUP(B271,Classification!A:D,2,0)</f>
        <v>A</v>
      </c>
      <c r="BA271" s="94" t="str">
        <f>VLOOKUP(B271,Classification!A:D,4,0)</f>
        <v>Leukotriene</v>
      </c>
      <c r="BB271" s="27" t="b">
        <f t="shared" si="812"/>
        <v>1</v>
      </c>
      <c r="BC271" s="23">
        <f t="shared" si="813"/>
        <v>222</v>
      </c>
      <c r="BD271" s="2" t="s">
        <v>1383</v>
      </c>
      <c r="BE271" s="3" t="s">
        <v>1381</v>
      </c>
      <c r="BF271" s="119">
        <v>3.7</v>
      </c>
      <c r="BG271" s="49" t="s">
        <v>1</v>
      </c>
      <c r="BH271" s="49" t="s">
        <v>1384</v>
      </c>
      <c r="BI271" s="1"/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si="814"/>
        <v>17</v>
      </c>
      <c r="BW271" s="71" t="str">
        <f t="shared" si="815"/>
        <v>-</v>
      </c>
      <c r="BX271" s="72">
        <f t="shared" si="816"/>
        <v>53</v>
      </c>
      <c r="BY271" s="71">
        <f t="shared" si="817"/>
        <v>84</v>
      </c>
      <c r="BZ271" s="72">
        <f t="shared" si="818"/>
        <v>88</v>
      </c>
      <c r="CA271" s="71">
        <f t="shared" si="819"/>
        <v>124</v>
      </c>
      <c r="CB271" s="72">
        <f t="shared" si="820"/>
        <v>132</v>
      </c>
      <c r="CC271" s="71">
        <f t="shared" si="821"/>
        <v>170</v>
      </c>
      <c r="CD271" s="72">
        <f t="shared" si="822"/>
        <v>176</v>
      </c>
      <c r="CE271" s="71">
        <f t="shared" si="823"/>
        <v>227</v>
      </c>
      <c r="CF271" s="72">
        <f t="shared" si="824"/>
        <v>261</v>
      </c>
      <c r="CG271" s="71" t="str">
        <f t="shared" si="825"/>
        <v>-</v>
      </c>
      <c r="CH271" s="70">
        <f t="shared" si="826"/>
        <v>48</v>
      </c>
      <c r="CI271" s="71" t="str">
        <f t="shared" si="827"/>
        <v>-</v>
      </c>
      <c r="CJ271" s="72">
        <f t="shared" si="828"/>
        <v>83</v>
      </c>
      <c r="CK271" s="72">
        <f t="shared" si="829"/>
        <v>87</v>
      </c>
      <c r="CL271" s="72">
        <f t="shared" si="830"/>
        <v>123</v>
      </c>
      <c r="CM271" s="72">
        <f t="shared" si="831"/>
        <v>131</v>
      </c>
      <c r="CN271" s="72">
        <f t="shared" si="832"/>
        <v>158</v>
      </c>
      <c r="CO271" s="72">
        <f t="shared" si="833"/>
        <v>172</v>
      </c>
      <c r="CP271" s="72">
        <f t="shared" si="834"/>
        <v>213</v>
      </c>
      <c r="CQ271" s="72">
        <f t="shared" si="835"/>
        <v>249</v>
      </c>
      <c r="CR271" s="72">
        <f t="shared" si="836"/>
        <v>278</v>
      </c>
      <c r="CS271" s="72" t="str">
        <f t="shared" si="837"/>
        <v>-</v>
      </c>
      <c r="CT271" s="23" t="e">
        <f t="shared" si="838"/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si="753"/>
        <v>s1pr1_human__wt</v>
      </c>
      <c r="B272" s="3" t="s">
        <v>104</v>
      </c>
      <c r="C272" s="3" t="s">
        <v>100</v>
      </c>
      <c r="D272" s="3" t="str">
        <f>IFERROR(MID(VLOOKUP($B272,Seqs!$A:$B,2,0),E272,1),"")</f>
        <v>E</v>
      </c>
      <c r="E272" s="3">
        <v>42</v>
      </c>
      <c r="F272" s="3" t="str">
        <f>IFERROR(MID(VLOOKUP($B272,Seqs!$A:$B,2,0),G272,1),"")</f>
        <v>T</v>
      </c>
      <c r="G272" s="3">
        <v>73</v>
      </c>
      <c r="H272" s="3" t="str">
        <f>IFERROR(MID(VLOOKUP($B272,Seqs!$A:$B,2,0),I272,1),"")</f>
        <v>K</v>
      </c>
      <c r="I272" s="23">
        <v>74</v>
      </c>
      <c r="J272" s="3" t="str">
        <f>IFERROR(MID(VLOOKUP($B272,Seqs!$A:$B,2,0),K272,1),"")</f>
        <v>H</v>
      </c>
      <c r="K272" s="23">
        <v>77</v>
      </c>
      <c r="L272" s="3" t="str">
        <f>IFERROR(MID(VLOOKUP($B272,Seqs!$A:$B,2,0),M272,1),"")</f>
        <v>R</v>
      </c>
      <c r="M272" s="3">
        <v>78</v>
      </c>
      <c r="N272" s="3" t="str">
        <f>IFERROR(MID(VLOOKUP($B272,Seqs!$A:$B,2,0),O272,1),"")</f>
        <v>L</v>
      </c>
      <c r="O272" s="3">
        <v>104</v>
      </c>
      <c r="P272" s="3" t="str">
        <f>IFERROR(MID(VLOOKUP($B272,Seqs!$A:$B,2,0),Q272,1),"")</f>
        <v>G</v>
      </c>
      <c r="Q272" s="3">
        <v>106</v>
      </c>
      <c r="R272" s="3" t="str">
        <f>IFERROR(MID(VLOOKUP($B272,Seqs!$A:$B,2,0),S272,1),"")</f>
        <v>L</v>
      </c>
      <c r="S272" s="3">
        <v>112</v>
      </c>
      <c r="T272" s="3" t="str">
        <f>IFERROR(MID(VLOOKUP($B272,Seqs!$A:$B,2,0),U272,1),"")</f>
        <v>T</v>
      </c>
      <c r="U272" s="3">
        <v>113</v>
      </c>
      <c r="V272" s="3" t="str">
        <f>IFERROR(MID(VLOOKUP($B272,Seqs!$A:$B,2,0),W272,1),"")</f>
        <v>K</v>
      </c>
      <c r="W272" s="105">
        <v>148</v>
      </c>
      <c r="X272" s="3" t="str">
        <f>IFERROR(MID(VLOOKUP($B272,Seqs!$A:$B,2,0),Y272,1),"")</f>
        <v>M</v>
      </c>
      <c r="Y272" s="105">
        <v>149</v>
      </c>
      <c r="Z272" s="3" t="str">
        <f>IFERROR(MID(VLOOKUP($B272,Seqs!$A:$B,2,0),AA272,1),"")</f>
        <v>S</v>
      </c>
      <c r="AA272" s="105">
        <v>155</v>
      </c>
      <c r="AB272" s="3" t="str">
        <f>IFERROR(MID(VLOOKUP($B272,Seqs!$A:$B,2,0),AC272,1),"")</f>
        <v>N</v>
      </c>
      <c r="AC272" s="105">
        <v>156</v>
      </c>
      <c r="AD272" s="3" t="str">
        <f>IFERROR(MID(VLOOKUP($B272,Seqs!$A:$B,2,0),AE272,1),"")</f>
        <v>G</v>
      </c>
      <c r="AE272" s="3">
        <v>181</v>
      </c>
      <c r="AF272" s="3" t="str">
        <f>IFERROR(MID(VLOOKUP($B272,Seqs!$A:$B,2,0),AG272,1),"")</f>
        <v/>
      </c>
      <c r="AG272" s="3" t="s">
        <v>23</v>
      </c>
      <c r="AH272" s="3" t="str">
        <f>IFERROR(MID(VLOOKUP($B272,Seqs!$A:$B,2,0),AI272,1),"")</f>
        <v/>
      </c>
      <c r="AI272" s="3" t="s">
        <v>23</v>
      </c>
      <c r="AJ272" s="3" t="str">
        <f>IFERROR(MID(VLOOKUP($B272,Seqs!$A:$B,2,0),AK272,1),"")</f>
        <v>H</v>
      </c>
      <c r="AK272" s="3">
        <v>199</v>
      </c>
      <c r="AL272" s="3" t="str">
        <f>IFERROR(MID(VLOOKUP($B272,Seqs!$A:$B,2,0),AM272,1),"")</f>
        <v>T</v>
      </c>
      <c r="AM272" s="3">
        <v>236</v>
      </c>
      <c r="AN272" s="3" t="str">
        <f>IFERROR(MID(VLOOKUP($B272,Seqs!$A:$B,2,0),AO272,1),"")</f>
        <v>S</v>
      </c>
      <c r="AO272" s="3">
        <v>245</v>
      </c>
      <c r="AP272" s="3" t="str">
        <f>IFERROR(MID(VLOOKUP($B272,Seqs!$A:$B,2,0),AQ272,1),"")</f>
        <v>C</v>
      </c>
      <c r="AQ272" s="3">
        <v>282</v>
      </c>
      <c r="AR272" s="3" t="str">
        <f>IFERROR(MID(VLOOKUP($B272,Seqs!$A:$B,2,0),AS272,1),"")</f>
        <v>D</v>
      </c>
      <c r="AS272" s="3">
        <v>288</v>
      </c>
      <c r="AT272" s="3" t="str">
        <f>IFERROR(MID(VLOOKUP($B272,Seqs!$A:$B,2,0),AU272,1),"")</f>
        <v>T</v>
      </c>
      <c r="AU272" s="3">
        <v>314</v>
      </c>
      <c r="AV272" s="3" t="str">
        <f>IFERROR(MID(VLOOKUP($B272,Seqs!$A:$B,2,0),AW272,1),"")</f>
        <v>N</v>
      </c>
      <c r="AW272" s="3">
        <v>315</v>
      </c>
      <c r="AX272" s="3" t="str">
        <f>IFERROR(MID(VLOOKUP($B272,Seqs!$A:$B,2,0),AY272,1),"")</f>
        <v>S</v>
      </c>
      <c r="AY272" s="3">
        <v>327</v>
      </c>
      <c r="AZ272" s="77" t="str">
        <f>VLOOKUP(B272,Classification!A:D,2,0)</f>
        <v>A</v>
      </c>
      <c r="BA272" s="94" t="str">
        <f>VLOOKUP(B272,Classification!A:D,4,0)</f>
        <v>Lysophospholipid(S1P)</v>
      </c>
      <c r="BB272" s="27" t="b">
        <f t="shared" si="754"/>
        <v>1</v>
      </c>
      <c r="BC272" s="23">
        <f t="shared" si="727"/>
        <v>256</v>
      </c>
      <c r="BD272" s="56" t="s">
        <v>1379</v>
      </c>
      <c r="BE272" s="3" t="s">
        <v>23</v>
      </c>
      <c r="BF272" s="119" t="s">
        <v>23</v>
      </c>
      <c r="BG272" s="49" t="s">
        <v>1379</v>
      </c>
      <c r="BH272" s="49" t="s">
        <v>1384</v>
      </c>
      <c r="BI272" s="1"/>
      <c r="BJ272" s="70" t="s">
        <v>1293</v>
      </c>
      <c r="BK272" s="57" t="s">
        <v>1293</v>
      </c>
      <c r="BL272" s="57" t="s">
        <v>1293</v>
      </c>
      <c r="BM272" s="57" t="s">
        <v>1293</v>
      </c>
      <c r="BN272" s="57" t="s">
        <v>1293</v>
      </c>
      <c r="BO272" s="57" t="s">
        <v>1293</v>
      </c>
      <c r="BP272" s="57" t="s">
        <v>1293</v>
      </c>
      <c r="BQ272" s="57" t="s">
        <v>1293</v>
      </c>
      <c r="BR272" s="57" t="s">
        <v>1293</v>
      </c>
      <c r="BS272" s="57" t="s">
        <v>1293</v>
      </c>
      <c r="BT272" s="57" t="s">
        <v>1293</v>
      </c>
      <c r="BU272" s="57" t="s">
        <v>1293</v>
      </c>
      <c r="BV272" s="70">
        <f t="shared" si="728"/>
        <v>42</v>
      </c>
      <c r="BW272" s="71">
        <f t="shared" si="729"/>
        <v>74</v>
      </c>
      <c r="BX272" s="72">
        <f t="shared" si="730"/>
        <v>78</v>
      </c>
      <c r="BY272" s="71">
        <f t="shared" si="731"/>
        <v>106</v>
      </c>
      <c r="BZ272" s="72">
        <f t="shared" si="732"/>
        <v>113</v>
      </c>
      <c r="CA272" s="71">
        <f t="shared" si="733"/>
        <v>149</v>
      </c>
      <c r="CB272" s="72">
        <f t="shared" si="734"/>
        <v>156</v>
      </c>
      <c r="CC272" s="71" t="str">
        <f t="shared" si="735"/>
        <v>-</v>
      </c>
      <c r="CD272" s="72">
        <f t="shared" si="736"/>
        <v>199</v>
      </c>
      <c r="CE272" s="71">
        <f t="shared" si="737"/>
        <v>245</v>
      </c>
      <c r="CF272" s="72">
        <f t="shared" si="738"/>
        <v>288</v>
      </c>
      <c r="CG272" s="71">
        <f t="shared" si="739"/>
        <v>315</v>
      </c>
      <c r="CH272" s="70">
        <f t="shared" si="740"/>
        <v>73</v>
      </c>
      <c r="CI272" s="71">
        <f t="shared" si="741"/>
        <v>77</v>
      </c>
      <c r="CJ272" s="72">
        <f t="shared" si="742"/>
        <v>104</v>
      </c>
      <c r="CK272" s="72">
        <f t="shared" si="743"/>
        <v>112</v>
      </c>
      <c r="CL272" s="72">
        <f t="shared" si="744"/>
        <v>148</v>
      </c>
      <c r="CM272" s="72">
        <f t="shared" si="745"/>
        <v>155</v>
      </c>
      <c r="CN272" s="72">
        <f t="shared" si="746"/>
        <v>181</v>
      </c>
      <c r="CO272" s="72" t="str">
        <f t="shared" si="747"/>
        <v>-</v>
      </c>
      <c r="CP272" s="72">
        <f t="shared" si="748"/>
        <v>236</v>
      </c>
      <c r="CQ272" s="72">
        <f t="shared" si="749"/>
        <v>282</v>
      </c>
      <c r="CR272" s="72">
        <f t="shared" si="750"/>
        <v>314</v>
      </c>
      <c r="CS272" s="72">
        <f t="shared" si="751"/>
        <v>327</v>
      </c>
      <c r="CT272" s="23">
        <f t="shared" si="752"/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753"/>
        <v>s1pr1_human_3V2Y</v>
      </c>
      <c r="B273" s="3" t="s">
        <v>104</v>
      </c>
      <c r="C273" s="3" t="s">
        <v>94</v>
      </c>
      <c r="D273" s="3" t="str">
        <f>IFERROR(MID(VLOOKUP($B273,Seqs!$A:$B,2,0),E273,1),"")</f>
        <v>E</v>
      </c>
      <c r="E273" s="3">
        <v>42</v>
      </c>
      <c r="F273" s="3" t="str">
        <f>IFERROR(MID(VLOOKUP($B273,Seqs!$A:$B,2,0),G273,1),"")</f>
        <v>T</v>
      </c>
      <c r="G273" s="3">
        <v>73</v>
      </c>
      <c r="H273" s="3" t="str">
        <f>IFERROR(MID(VLOOKUP($B273,Seqs!$A:$B,2,0),I273,1),"")</f>
        <v>K</v>
      </c>
      <c r="I273" s="23">
        <v>74</v>
      </c>
      <c r="J273" s="3" t="str">
        <f>IFERROR(MID(VLOOKUP($B273,Seqs!$A:$B,2,0),K273,1),"")</f>
        <v>H</v>
      </c>
      <c r="K273" s="23">
        <v>77</v>
      </c>
      <c r="L273" s="3" t="str">
        <f>IFERROR(MID(VLOOKUP($B273,Seqs!$A:$B,2,0),M273,1),"")</f>
        <v>R</v>
      </c>
      <c r="M273" s="3">
        <v>78</v>
      </c>
      <c r="N273" s="3" t="str">
        <f>IFERROR(MID(VLOOKUP($B273,Seqs!$A:$B,2,0),O273,1),"")</f>
        <v>L</v>
      </c>
      <c r="O273" s="3">
        <v>104</v>
      </c>
      <c r="P273" s="3" t="str">
        <f>IFERROR(MID(VLOOKUP($B273,Seqs!$A:$B,2,0),Q273,1),"")</f>
        <v>G</v>
      </c>
      <c r="Q273" s="3">
        <v>106</v>
      </c>
      <c r="R273" s="3" t="str">
        <f>IFERROR(MID(VLOOKUP($B273,Seqs!$A:$B,2,0),S273,1),"")</f>
        <v>L</v>
      </c>
      <c r="S273" s="3">
        <v>112</v>
      </c>
      <c r="T273" s="3" t="str">
        <f>IFERROR(MID(VLOOKUP($B273,Seqs!$A:$B,2,0),U273,1),"")</f>
        <v>T</v>
      </c>
      <c r="U273" s="3">
        <v>113</v>
      </c>
      <c r="V273" s="3" t="str">
        <f>IFERROR(MID(VLOOKUP($B273,Seqs!$A:$B,2,0),W273,1),"")</f>
        <v>T</v>
      </c>
      <c r="W273" s="105">
        <v>145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N</v>
      </c>
      <c r="AC273" s="105">
        <v>156</v>
      </c>
      <c r="AD273" s="3" t="str">
        <f>IFERROR(MID(VLOOKUP($B273,Seqs!$A:$B,2,0),AE273,1),"")</f>
        <v>G</v>
      </c>
      <c r="AE273" s="3">
        <v>181</v>
      </c>
      <c r="AF273" s="3" t="str">
        <f>IFERROR(MID(VLOOKUP($B273,Seqs!$A:$B,2,0),AG273,1),"")</f>
        <v/>
      </c>
      <c r="AG273" s="3" t="s">
        <v>23</v>
      </c>
      <c r="AH273" s="3" t="str">
        <f>IFERROR(MID(VLOOKUP($B273,Seqs!$A:$B,2,0),AI273,1),"")</f>
        <v/>
      </c>
      <c r="AI273" s="3" t="s">
        <v>23</v>
      </c>
      <c r="AJ273" s="3" t="str">
        <f>IFERROR(MID(VLOOKUP($B273,Seqs!$A:$B,2,0),AK273,1),"")</f>
        <v>H</v>
      </c>
      <c r="AK273" s="3">
        <v>199</v>
      </c>
      <c r="AL273" s="3" t="str">
        <f>IFERROR(MID(VLOOKUP($B273,Seqs!$A:$B,2,0),AM273,1),"")</f>
        <v>R</v>
      </c>
      <c r="AM273" s="3">
        <v>231</v>
      </c>
      <c r="AN273" s="3" t="str">
        <f>IFERROR(MID(VLOOKUP($B273,Seqs!$A:$B,2,0),AO273,1),"")</f>
        <v>S</v>
      </c>
      <c r="AO273" s="3">
        <v>251</v>
      </c>
      <c r="AP273" s="3" t="str">
        <f>IFERROR(MID(VLOOKUP($B273,Seqs!$A:$B,2,0),AQ273,1),"")</f>
        <v>C</v>
      </c>
      <c r="AQ273" s="3">
        <v>282</v>
      </c>
      <c r="AR273" s="3" t="str">
        <f>IFERROR(MID(VLOOKUP($B273,Seqs!$A:$B,2,0),AS273,1),"")</f>
        <v>D</v>
      </c>
      <c r="AS273" s="3">
        <v>288</v>
      </c>
      <c r="AT273" s="3" t="str">
        <f>IFERROR(MID(VLOOKUP($B273,Seqs!$A:$B,2,0),AU273,1),"")</f>
        <v>T</v>
      </c>
      <c r="AU273" s="3">
        <v>314</v>
      </c>
      <c r="AV273" s="3" t="str">
        <f>IFERROR(MID(VLOOKUP($B273,Seqs!$A:$B,2,0),AW273,1),"")</f>
        <v>N</v>
      </c>
      <c r="AW273" s="3">
        <v>315</v>
      </c>
      <c r="AX273" s="3" t="str">
        <f>IFERROR(MID(VLOOKUP($B273,Seqs!$A:$B,2,0),AY273,1),"")</f>
        <v>I</v>
      </c>
      <c r="AY273" s="3">
        <v>323</v>
      </c>
      <c r="AZ273" s="77" t="str">
        <f>VLOOKUP(B273,Classification!A:D,2,0)</f>
        <v>A</v>
      </c>
      <c r="BA273" s="94" t="str">
        <f>VLOOKUP(B273,Classification!A:D,4,0)</f>
        <v>Lysophospholipid(S1P)</v>
      </c>
      <c r="BB273" s="27" t="b">
        <f t="shared" si="754"/>
        <v>1</v>
      </c>
      <c r="BC273" s="23">
        <f t="shared" si="727"/>
        <v>232</v>
      </c>
      <c r="BD273" s="2" t="s">
        <v>1383</v>
      </c>
      <c r="BE273" s="3" t="s">
        <v>1381</v>
      </c>
      <c r="BF273" s="119">
        <v>2.8</v>
      </c>
      <c r="BG273" s="49" t="s">
        <v>1384</v>
      </c>
      <c r="BH273" s="49" t="s">
        <v>1384</v>
      </c>
      <c r="BI273" s="1"/>
      <c r="BJ273" s="70" t="s">
        <v>1293</v>
      </c>
      <c r="BK273" s="57" t="s">
        <v>1293</v>
      </c>
      <c r="BL273" s="57" t="s">
        <v>1293</v>
      </c>
      <c r="BM273" s="57" t="s">
        <v>1293</v>
      </c>
      <c r="BN273" s="57" t="s">
        <v>1293</v>
      </c>
      <c r="BO273" s="57" t="s">
        <v>1293</v>
      </c>
      <c r="BP273" s="57" t="s">
        <v>1293</v>
      </c>
      <c r="BQ273" s="57" t="s">
        <v>1293</v>
      </c>
      <c r="BR273" s="57" t="s">
        <v>1293</v>
      </c>
      <c r="BS273" s="57" t="s">
        <v>1293</v>
      </c>
      <c r="BT273" s="57" t="s">
        <v>1293</v>
      </c>
      <c r="BU273" s="57" t="s">
        <v>1293</v>
      </c>
      <c r="BV273" s="70">
        <f t="shared" si="728"/>
        <v>42</v>
      </c>
      <c r="BW273" s="71">
        <f t="shared" si="729"/>
        <v>74</v>
      </c>
      <c r="BX273" s="72">
        <f t="shared" si="730"/>
        <v>78</v>
      </c>
      <c r="BY273" s="71">
        <f t="shared" si="731"/>
        <v>106</v>
      </c>
      <c r="BZ273" s="72">
        <f t="shared" si="732"/>
        <v>113</v>
      </c>
      <c r="CA273" s="71" t="str">
        <f t="shared" si="733"/>
        <v>-</v>
      </c>
      <c r="CB273" s="72">
        <f t="shared" si="734"/>
        <v>156</v>
      </c>
      <c r="CC273" s="71" t="str">
        <f t="shared" si="735"/>
        <v>-</v>
      </c>
      <c r="CD273" s="72">
        <f t="shared" si="736"/>
        <v>199</v>
      </c>
      <c r="CE273" s="71">
        <f t="shared" si="737"/>
        <v>251</v>
      </c>
      <c r="CF273" s="72">
        <f t="shared" si="738"/>
        <v>288</v>
      </c>
      <c r="CG273" s="71">
        <f t="shared" si="739"/>
        <v>315</v>
      </c>
      <c r="CH273" s="70">
        <f t="shared" si="740"/>
        <v>73</v>
      </c>
      <c r="CI273" s="71">
        <f t="shared" si="741"/>
        <v>77</v>
      </c>
      <c r="CJ273" s="72">
        <f t="shared" si="742"/>
        <v>104</v>
      </c>
      <c r="CK273" s="72">
        <f t="shared" si="743"/>
        <v>112</v>
      </c>
      <c r="CL273" s="72">
        <f t="shared" si="744"/>
        <v>145</v>
      </c>
      <c r="CM273" s="72" t="str">
        <f t="shared" si="745"/>
        <v>-</v>
      </c>
      <c r="CN273" s="72">
        <f t="shared" si="746"/>
        <v>181</v>
      </c>
      <c r="CO273" s="72" t="str">
        <f t="shared" si="747"/>
        <v>-</v>
      </c>
      <c r="CP273" s="72">
        <f t="shared" si="748"/>
        <v>231</v>
      </c>
      <c r="CQ273" s="72">
        <f t="shared" si="749"/>
        <v>282</v>
      </c>
      <c r="CR273" s="72">
        <f t="shared" si="750"/>
        <v>314</v>
      </c>
      <c r="CS273" s="72">
        <f t="shared" si="751"/>
        <v>323</v>
      </c>
      <c r="CT273" s="23">
        <f t="shared" si="752"/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 t="shared" si="753"/>
        <v>us28_hcmva__wt</v>
      </c>
      <c r="B274" s="3" t="s">
        <v>924</v>
      </c>
      <c r="C274" s="3" t="s">
        <v>100</v>
      </c>
      <c r="D274" s="3" t="str">
        <f>IFERROR(MID(VLOOKUP($B274,Seqs!$A:$B,2,0),E274,1),"")</f>
        <v>F</v>
      </c>
      <c r="E274" s="105">
        <v>25</v>
      </c>
      <c r="F274" s="3" t="str">
        <f>IFERROR(MID(VLOOKUP($B274,Seqs!$A:$B,2,0),G274,1),"")</f>
        <v>R</v>
      </c>
      <c r="G274" s="3">
        <v>61</v>
      </c>
      <c r="H274" s="3" t="str">
        <f>IFERROR(MID(VLOOKUP($B274,Seqs!$A:$B,2,0),I274,1),"")</f>
        <v>R</v>
      </c>
      <c r="I274" s="23">
        <v>62</v>
      </c>
      <c r="J274" s="3" t="str">
        <f>IFERROR(MID(VLOOKUP($B274,Seqs!$A:$B,2,0),K274,1),"")</f>
        <v>Q</v>
      </c>
      <c r="K274" s="23">
        <v>65</v>
      </c>
      <c r="L274" s="3" t="str">
        <f>IFERROR(MID(VLOOKUP($B274,Seqs!$A:$B,2,0),M274,1),"")</f>
        <v>C</v>
      </c>
      <c r="M274" s="3">
        <v>66</v>
      </c>
      <c r="N274" s="3" t="str">
        <f>IFERROR(MID(VLOOKUP($B274,Seqs!$A:$B,2,0),O274,1),"")</f>
        <v>D</v>
      </c>
      <c r="O274" s="3">
        <v>95</v>
      </c>
      <c r="P274" s="3" t="str">
        <f>IFERROR(MID(VLOOKUP($B274,Seqs!$A:$B,2,0),Q274,1),"")</f>
        <v/>
      </c>
      <c r="Q274" s="3" t="s">
        <v>23</v>
      </c>
      <c r="R274" s="3" t="str">
        <f>IFERROR(MID(VLOOKUP($B274,Seqs!$A:$B,2,0),S274,1),"")</f>
        <v/>
      </c>
      <c r="S274" s="3" t="s">
        <v>23</v>
      </c>
      <c r="T274" s="3" t="str">
        <f>IFERROR(MID(VLOOKUP($B274,Seqs!$A:$B,2,0),U274,1),"")</f>
        <v>A</v>
      </c>
      <c r="U274" s="105">
        <v>100</v>
      </c>
      <c r="V274" s="3" t="str">
        <f>IFERROR(MID(VLOOKUP($B274,Seqs!$A:$B,2,0),W274,1),"")</f>
        <v>V</v>
      </c>
      <c r="W274" s="105">
        <v>134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P</v>
      </c>
      <c r="AC274" s="9">
        <v>140</v>
      </c>
      <c r="AD274" s="3" t="str">
        <f>IFERROR(MID(VLOOKUP($B274,Seqs!$A:$B,2,0),AE274,1),"")</f>
        <v>M</v>
      </c>
      <c r="AE274" s="105">
        <v>164</v>
      </c>
      <c r="AF274" s="3" t="str">
        <f>IFERROR(MID(VLOOKUP($B274,Seqs!$A:$B,2,0),AG274,1),"")</f>
        <v>C</v>
      </c>
      <c r="AG274" s="3">
        <v>173</v>
      </c>
      <c r="AH274" s="3" t="str">
        <f>IFERROR(MID(VLOOKUP($B274,Seqs!$A:$B,2,0),AI274,1),"")</f>
        <v>T</v>
      </c>
      <c r="AI274" s="3">
        <v>175</v>
      </c>
      <c r="AJ274" s="3" t="str">
        <f>IFERROR(MID(VLOOKUP($B274,Seqs!$A:$B,2,0),AK274,1),"")</f>
        <v>S</v>
      </c>
      <c r="AK274" s="105">
        <v>183</v>
      </c>
      <c r="AL274" s="3" t="str">
        <f>IFERROR(MID(VLOOKUP($B274,Seqs!$A:$B,2,0),AM274,1),"")</f>
        <v>S</v>
      </c>
      <c r="AM274" s="3">
        <v>218</v>
      </c>
      <c r="AN274" s="3" t="str">
        <f>IFERROR(MID(VLOOKUP($B274,Seqs!$A:$B,2,0),AO274,1),"")</f>
        <v>H</v>
      </c>
      <c r="AO274" s="3">
        <v>222</v>
      </c>
      <c r="AP274" s="3" t="str">
        <f>IFERROR(MID(VLOOKUP($B274,Seqs!$A:$B,2,0),AQ274,1),"")</f>
        <v>K</v>
      </c>
      <c r="AQ274" s="3">
        <v>257</v>
      </c>
      <c r="AR274" s="3" t="str">
        <f>IFERROR(MID(VLOOKUP($B274,Seqs!$A:$B,2,0),AS274,1),"")</f>
        <v>S</v>
      </c>
      <c r="AS274" s="3">
        <v>262</v>
      </c>
      <c r="AT274" s="3" t="str">
        <f>IFERROR(MID(VLOOKUP($B274,Seqs!$A:$B,2,0),AU274,1),"")</f>
        <v>V</v>
      </c>
      <c r="AU274" s="3">
        <v>294</v>
      </c>
      <c r="AV274" s="3" t="str">
        <f>IFERROR(MID(VLOOKUP($B274,Seqs!$A:$B,2,0),AW274,1),"")</f>
        <v>G</v>
      </c>
      <c r="AW274" s="3">
        <v>295</v>
      </c>
      <c r="AX274" s="3" t="str">
        <f>IFERROR(MID(VLOOKUP($B274,Seqs!$A:$B,2,0),AY274,1),"")</f>
        <v>R</v>
      </c>
      <c r="AY274" s="3">
        <v>310</v>
      </c>
      <c r="AZ274" s="77" t="str">
        <f>VLOOKUP(B274,Classification!A:D,2,0)</f>
        <v>A</v>
      </c>
      <c r="BA274" s="94" t="str">
        <f>VLOOKUP(B274,Classification!A:D,4,0)</f>
        <v>Chemokine</v>
      </c>
      <c r="BB274" s="27" t="b">
        <f t="shared" si="754"/>
        <v>1</v>
      </c>
      <c r="BC274" s="23">
        <f t="shared" si="727"/>
        <v>257</v>
      </c>
      <c r="BD274" s="56" t="s">
        <v>1379</v>
      </c>
      <c r="BE274" s="3" t="s">
        <v>23</v>
      </c>
      <c r="BF274" s="119" t="s">
        <v>23</v>
      </c>
      <c r="BG274" s="49" t="s">
        <v>1379</v>
      </c>
      <c r="BH274" s="49" t="s">
        <v>1384</v>
      </c>
      <c r="BI274" s="1"/>
      <c r="BJ274" s="70" t="s">
        <v>1293</v>
      </c>
      <c r="BK274" s="57" t="s">
        <v>1293</v>
      </c>
      <c r="BL274" s="57" t="s">
        <v>1293</v>
      </c>
      <c r="BM274" s="57" t="s">
        <v>1293</v>
      </c>
      <c r="BN274" s="57" t="s">
        <v>1293</v>
      </c>
      <c r="BO274" s="57" t="s">
        <v>1293</v>
      </c>
      <c r="BP274" s="57" t="s">
        <v>1293</v>
      </c>
      <c r="BQ274" s="57" t="s">
        <v>1293</v>
      </c>
      <c r="BR274" s="57" t="s">
        <v>1293</v>
      </c>
      <c r="BS274" s="57" t="s">
        <v>1293</v>
      </c>
      <c r="BT274" s="57" t="s">
        <v>1293</v>
      </c>
      <c r="BU274" s="57" t="s">
        <v>1293</v>
      </c>
      <c r="BV274" s="70">
        <f t="shared" si="728"/>
        <v>25</v>
      </c>
      <c r="BW274" s="71">
        <f t="shared" si="729"/>
        <v>62</v>
      </c>
      <c r="BX274" s="72">
        <f t="shared" si="730"/>
        <v>66</v>
      </c>
      <c r="BY274" s="71" t="str">
        <f t="shared" si="731"/>
        <v>-</v>
      </c>
      <c r="BZ274" s="72">
        <f t="shared" si="732"/>
        <v>100</v>
      </c>
      <c r="CA274" s="71" t="str">
        <f t="shared" si="733"/>
        <v>-</v>
      </c>
      <c r="CB274" s="72">
        <f t="shared" si="734"/>
        <v>140</v>
      </c>
      <c r="CC274" s="71">
        <f t="shared" si="735"/>
        <v>173</v>
      </c>
      <c r="CD274" s="72">
        <f t="shared" si="736"/>
        <v>183</v>
      </c>
      <c r="CE274" s="71">
        <f t="shared" si="737"/>
        <v>222</v>
      </c>
      <c r="CF274" s="72">
        <f t="shared" si="738"/>
        <v>262</v>
      </c>
      <c r="CG274" s="71">
        <f t="shared" si="739"/>
        <v>295</v>
      </c>
      <c r="CH274" s="70">
        <f t="shared" si="740"/>
        <v>61</v>
      </c>
      <c r="CI274" s="71">
        <f t="shared" si="741"/>
        <v>65</v>
      </c>
      <c r="CJ274" s="72">
        <f t="shared" si="742"/>
        <v>95</v>
      </c>
      <c r="CK274" s="72" t="str">
        <f t="shared" si="743"/>
        <v>-</v>
      </c>
      <c r="CL274" s="72">
        <f t="shared" si="744"/>
        <v>134</v>
      </c>
      <c r="CM274" s="72" t="str">
        <f t="shared" si="745"/>
        <v>-</v>
      </c>
      <c r="CN274" s="72">
        <f t="shared" si="746"/>
        <v>164</v>
      </c>
      <c r="CO274" s="72">
        <f t="shared" si="747"/>
        <v>175</v>
      </c>
      <c r="CP274" s="72">
        <f t="shared" si="748"/>
        <v>218</v>
      </c>
      <c r="CQ274" s="72">
        <f t="shared" si="749"/>
        <v>257</v>
      </c>
      <c r="CR274" s="72">
        <f t="shared" si="750"/>
        <v>294</v>
      </c>
      <c r="CS274" s="72">
        <f t="shared" si="751"/>
        <v>310</v>
      </c>
      <c r="CT274" s="23">
        <f t="shared" si="752"/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753"/>
        <v>us28_hcmva_4XT1</v>
      </c>
      <c r="B275" s="3" t="s">
        <v>924</v>
      </c>
      <c r="C275" s="3" t="s">
        <v>1124</v>
      </c>
      <c r="D275" s="3" t="str">
        <f>IFERROR(MID(VLOOKUP($B275,Seqs!$A:$B,2,0),E275,1),"")</f>
        <v>F</v>
      </c>
      <c r="E275" s="105">
        <v>25</v>
      </c>
      <c r="F275" s="3" t="str">
        <f>IFERROR(MID(VLOOKUP($B275,Seqs!$A:$B,2,0),G275,1),"")</f>
        <v>R</v>
      </c>
      <c r="G275" s="3">
        <v>61</v>
      </c>
      <c r="H275" s="3" t="str">
        <f>IFERROR(MID(VLOOKUP($B275,Seqs!$A:$B,2,0),I275,1),"")</f>
        <v/>
      </c>
      <c r="I275" s="23" t="s">
        <v>23</v>
      </c>
      <c r="J275" s="3" t="str">
        <f>IFERROR(MID(VLOOKUP($B275,Seqs!$A:$B,2,0),K275,1),"")</f>
        <v/>
      </c>
      <c r="K275" s="23" t="s">
        <v>23</v>
      </c>
      <c r="L275" s="3" t="str">
        <f>IFERROR(MID(VLOOKUP($B275,Seqs!$A:$B,2,0),M275,1),"")</f>
        <v>C</v>
      </c>
      <c r="M275" s="3">
        <v>66</v>
      </c>
      <c r="N275" s="3" t="str">
        <f>IFERROR(MID(VLOOKUP($B275,Seqs!$A:$B,2,0),O275,1),"")</f>
        <v>D</v>
      </c>
      <c r="O275" s="3">
        <v>95</v>
      </c>
      <c r="P275" s="3" t="str">
        <f>IFERROR(MID(VLOOKUP($B275,Seqs!$A:$B,2,0),Q275,1),"")</f>
        <v/>
      </c>
      <c r="Q275" s="3" t="s">
        <v>23</v>
      </c>
      <c r="R275" s="3" t="str">
        <f>IFERROR(MID(VLOOKUP($B275,Seqs!$A:$B,2,0),S275,1),"")</f>
        <v/>
      </c>
      <c r="S275" s="3" t="s">
        <v>23</v>
      </c>
      <c r="T275" s="3" t="str">
        <f>IFERROR(MID(VLOOKUP($B275,Seqs!$A:$B,2,0),U275,1),"")</f>
        <v>P</v>
      </c>
      <c r="U275" s="3">
        <v>103</v>
      </c>
      <c r="V275" s="3" t="str">
        <f>IFERROR(MID(VLOOKUP($B275,Seqs!$A:$B,2,0),W275,1),"")</f>
        <v>V</v>
      </c>
      <c r="W275" s="105">
        <v>134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P</v>
      </c>
      <c r="AC275" s="9">
        <v>140</v>
      </c>
      <c r="AD275" s="3" t="str">
        <f>IFERROR(MID(VLOOKUP($B275,Seqs!$A:$B,2,0),AE275,1),"")</f>
        <v>M</v>
      </c>
      <c r="AE275" s="105">
        <v>164</v>
      </c>
      <c r="AF275" s="3" t="str">
        <f>IFERROR(MID(VLOOKUP($B275,Seqs!$A:$B,2,0),AG275,1),"")</f>
        <v>C</v>
      </c>
      <c r="AG275" s="3">
        <v>173</v>
      </c>
      <c r="AH275" s="3" t="str">
        <f>IFERROR(MID(VLOOKUP($B275,Seqs!$A:$B,2,0),AI275,1),"")</f>
        <v>T</v>
      </c>
      <c r="AI275" s="3">
        <v>175</v>
      </c>
      <c r="AJ275" s="3" t="str">
        <f>IFERROR(MID(VLOOKUP($B275,Seqs!$A:$B,2,0),AK275,1),"")</f>
        <v>S</v>
      </c>
      <c r="AK275" s="105">
        <v>183</v>
      </c>
      <c r="AL275" s="3" t="str">
        <f>IFERROR(MID(VLOOKUP($B275,Seqs!$A:$B,2,0),AM275,1),"")</f>
        <v>S</v>
      </c>
      <c r="AM275" s="3">
        <v>218</v>
      </c>
      <c r="AN275" s="3" t="str">
        <f>IFERROR(MID(VLOOKUP($B275,Seqs!$A:$B,2,0),AO275,1),"")</f>
        <v>H</v>
      </c>
      <c r="AO275" s="3">
        <v>222</v>
      </c>
      <c r="AP275" s="3" t="str">
        <f>IFERROR(MID(VLOOKUP($B275,Seqs!$A:$B,2,0),AQ275,1),"")</f>
        <v>K</v>
      </c>
      <c r="AQ275" s="3">
        <v>257</v>
      </c>
      <c r="AR275" s="3" t="str">
        <f>IFERROR(MID(VLOOKUP($B275,Seqs!$A:$B,2,0),AS275,1),"")</f>
        <v>C</v>
      </c>
      <c r="AS275" s="3">
        <v>263</v>
      </c>
      <c r="AT275" s="3" t="str">
        <f>IFERROR(MID(VLOOKUP($B275,Seqs!$A:$B,2,0),AU275,1),"")</f>
        <v>V</v>
      </c>
      <c r="AU275" s="3">
        <v>294</v>
      </c>
      <c r="AV275" s="3" t="str">
        <f>IFERROR(MID(VLOOKUP($B275,Seqs!$A:$B,2,0),AW275,1),"")</f>
        <v>G</v>
      </c>
      <c r="AW275" s="3">
        <v>295</v>
      </c>
      <c r="AX275" s="3" t="str">
        <f>IFERROR(MID(VLOOKUP($B275,Seqs!$A:$B,2,0),AY275,1),"")</f>
        <v>R</v>
      </c>
      <c r="AY275" s="3">
        <v>310</v>
      </c>
      <c r="AZ275" s="77" t="str">
        <f>VLOOKUP(B275,Classification!A:D,2,0)</f>
        <v>A</v>
      </c>
      <c r="BA275" s="94" t="str">
        <f>VLOOKUP(B275,Classification!A:D,4,0)</f>
        <v>Chemokine</v>
      </c>
      <c r="BB275" s="27" t="b">
        <f t="shared" si="754"/>
        <v>1</v>
      </c>
      <c r="BC275" s="23">
        <f t="shared" si="727"/>
        <v>250</v>
      </c>
      <c r="BD275" s="4" t="s">
        <v>1382</v>
      </c>
      <c r="BE275" s="3" t="s">
        <v>1297</v>
      </c>
      <c r="BF275" s="119">
        <v>2.89</v>
      </c>
      <c r="BG275" s="49" t="s">
        <v>1384</v>
      </c>
      <c r="BH275" s="49" t="s">
        <v>1384</v>
      </c>
      <c r="BI275" s="1"/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si="728"/>
        <v>25</v>
      </c>
      <c r="BW275" s="71" t="str">
        <f t="shared" si="729"/>
        <v>-</v>
      </c>
      <c r="BX275" s="72">
        <f t="shared" si="730"/>
        <v>66</v>
      </c>
      <c r="BY275" s="71" t="str">
        <f t="shared" si="731"/>
        <v>-</v>
      </c>
      <c r="BZ275" s="72">
        <f t="shared" si="732"/>
        <v>103</v>
      </c>
      <c r="CA275" s="71" t="str">
        <f t="shared" si="733"/>
        <v>-</v>
      </c>
      <c r="CB275" s="72">
        <f t="shared" si="734"/>
        <v>140</v>
      </c>
      <c r="CC275" s="71">
        <f t="shared" si="735"/>
        <v>173</v>
      </c>
      <c r="CD275" s="72">
        <f t="shared" si="736"/>
        <v>183</v>
      </c>
      <c r="CE275" s="71">
        <f t="shared" si="737"/>
        <v>222</v>
      </c>
      <c r="CF275" s="72">
        <f t="shared" si="738"/>
        <v>263</v>
      </c>
      <c r="CG275" s="71">
        <f t="shared" si="739"/>
        <v>295</v>
      </c>
      <c r="CH275" s="70">
        <f t="shared" si="740"/>
        <v>61</v>
      </c>
      <c r="CI275" s="71" t="str">
        <f t="shared" si="741"/>
        <v>-</v>
      </c>
      <c r="CJ275" s="72">
        <f t="shared" si="742"/>
        <v>95</v>
      </c>
      <c r="CK275" s="72" t="str">
        <f t="shared" si="743"/>
        <v>-</v>
      </c>
      <c r="CL275" s="72">
        <f t="shared" si="744"/>
        <v>134</v>
      </c>
      <c r="CM275" s="72" t="str">
        <f t="shared" si="745"/>
        <v>-</v>
      </c>
      <c r="CN275" s="72">
        <f t="shared" si="746"/>
        <v>164</v>
      </c>
      <c r="CO275" s="72">
        <f t="shared" si="747"/>
        <v>175</v>
      </c>
      <c r="CP275" s="72">
        <f t="shared" si="748"/>
        <v>218</v>
      </c>
      <c r="CQ275" s="72">
        <f t="shared" si="749"/>
        <v>257</v>
      </c>
      <c r="CR275" s="72">
        <f t="shared" si="750"/>
        <v>294</v>
      </c>
      <c r="CS275" s="72">
        <f t="shared" si="751"/>
        <v>310</v>
      </c>
      <c r="CT275" s="23" t="e">
        <f t="shared" si="752"/>
        <v>#VALUE!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753"/>
        <v>us28_hcmva_4XT3</v>
      </c>
      <c r="B276" s="2" t="s">
        <v>924</v>
      </c>
      <c r="C276" s="3" t="s">
        <v>1378</v>
      </c>
      <c r="D276" s="3" t="str">
        <f>IFERROR(MID(VLOOKUP($B276,Seqs!$A:$B,2,0),E276,1),"")</f>
        <v>F</v>
      </c>
      <c r="E276" s="105">
        <v>25</v>
      </c>
      <c r="F276" s="3" t="str">
        <f>IFERROR(MID(VLOOKUP($B276,Seqs!$A:$B,2,0),G276,1),"")</f>
        <v>R</v>
      </c>
      <c r="G276" s="105">
        <v>62</v>
      </c>
      <c r="H276" s="3" t="str">
        <f>IFERROR(MID(VLOOKUP($B276,Seqs!$A:$B,2,0),I276,1),"")</f>
        <v/>
      </c>
      <c r="I276" s="23" t="s">
        <v>23</v>
      </c>
      <c r="J276" s="3" t="str">
        <f>IFERROR(MID(VLOOKUP($B276,Seqs!$A:$B,2,0),K276,1),"")</f>
        <v/>
      </c>
      <c r="K276" s="23" t="s">
        <v>23</v>
      </c>
      <c r="L276" s="3" t="str">
        <f>IFERROR(MID(VLOOKUP($B276,Seqs!$A:$B,2,0),M276,1),"")</f>
        <v>C</v>
      </c>
      <c r="M276" s="3">
        <v>66</v>
      </c>
      <c r="N276" s="3" t="str">
        <f>IFERROR(MID(VLOOKUP($B276,Seqs!$A:$B,2,0),O276,1),"")</f>
        <v>D</v>
      </c>
      <c r="O276" s="3">
        <v>95</v>
      </c>
      <c r="P276" s="3" t="str">
        <f>IFERROR(MID(VLOOKUP($B276,Seqs!$A:$B,2,0),Q276,1),"")</f>
        <v/>
      </c>
      <c r="Q276" s="3" t="s">
        <v>23</v>
      </c>
      <c r="R276" s="3" t="str">
        <f>IFERROR(MID(VLOOKUP($B276,Seqs!$A:$B,2,0),S276,1),"")</f>
        <v/>
      </c>
      <c r="S276" s="3" t="s">
        <v>23</v>
      </c>
      <c r="T276" s="3" t="str">
        <f>IFERROR(MID(VLOOKUP($B276,Seqs!$A:$B,2,0),U276,1),"")</f>
        <v>P</v>
      </c>
      <c r="U276" s="3">
        <v>103</v>
      </c>
      <c r="V276" s="3" t="str">
        <f>IFERROR(MID(VLOOKUP($B276,Seqs!$A:$B,2,0),W276,1),"")</f>
        <v>V</v>
      </c>
      <c r="W276" s="105">
        <v>134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P</v>
      </c>
      <c r="AC276" s="9">
        <v>140</v>
      </c>
      <c r="AD276" s="3" t="str">
        <f>IFERROR(MID(VLOOKUP($B276,Seqs!$A:$B,2,0),AE276,1),"")</f>
        <v>M</v>
      </c>
      <c r="AE276" s="105">
        <v>164</v>
      </c>
      <c r="AF276" s="3" t="str">
        <f>IFERROR(MID(VLOOKUP($B276,Seqs!$A:$B,2,0),AG276,1),"")</f>
        <v>C</v>
      </c>
      <c r="AG276" s="3">
        <v>173</v>
      </c>
      <c r="AH276" s="3" t="str">
        <f>IFERROR(MID(VLOOKUP($B276,Seqs!$A:$B,2,0),AI276,1),"")</f>
        <v>T</v>
      </c>
      <c r="AI276" s="3">
        <v>175</v>
      </c>
      <c r="AJ276" s="3" t="str">
        <f>IFERROR(MID(VLOOKUP($B276,Seqs!$A:$B,2,0),AK276,1),"")</f>
        <v>S</v>
      </c>
      <c r="AK276" s="105">
        <v>183</v>
      </c>
      <c r="AL276" s="3" t="str">
        <f>IFERROR(MID(VLOOKUP($B276,Seqs!$A:$B,2,0),AM276,1),"")</f>
        <v>S</v>
      </c>
      <c r="AM276" s="3">
        <v>218</v>
      </c>
      <c r="AN276" s="3" t="str">
        <f>IFERROR(MID(VLOOKUP($B276,Seqs!$A:$B,2,0),AO276,1),"")</f>
        <v>H</v>
      </c>
      <c r="AO276" s="3">
        <v>222</v>
      </c>
      <c r="AP276" s="3" t="str">
        <f>IFERROR(MID(VLOOKUP($B276,Seqs!$A:$B,2,0),AQ276,1),"")</f>
        <v>K</v>
      </c>
      <c r="AQ276" s="3">
        <v>257</v>
      </c>
      <c r="AR276" s="3" t="str">
        <f>IFERROR(MID(VLOOKUP($B276,Seqs!$A:$B,2,0),AS276,1),"")</f>
        <v>C</v>
      </c>
      <c r="AS276" s="3">
        <v>263</v>
      </c>
      <c r="AT276" s="3" t="str">
        <f>IFERROR(MID(VLOOKUP($B276,Seqs!$A:$B,2,0),AU276,1),"")</f>
        <v>V</v>
      </c>
      <c r="AU276" s="3">
        <v>294</v>
      </c>
      <c r="AV276" s="3" t="str">
        <f>IFERROR(MID(VLOOKUP($B276,Seqs!$A:$B,2,0),AW276,1),"")</f>
        <v/>
      </c>
      <c r="AW276" s="3" t="s">
        <v>23</v>
      </c>
      <c r="AX276" s="3" t="str">
        <f>IFERROR(MID(VLOOKUP($B276,Seqs!$A:$B,2,0),AY276,1),"")</f>
        <v/>
      </c>
      <c r="AY276" s="3" t="s">
        <v>23</v>
      </c>
      <c r="AZ276" s="77" t="str">
        <f>VLOOKUP(B276,Classification!A:D,2,0)</f>
        <v>A</v>
      </c>
      <c r="BA276" s="94" t="str">
        <f>VLOOKUP(B276,Classification!A:D,4,0)</f>
        <v>Chemokine</v>
      </c>
      <c r="BB276" s="27" t="b">
        <f t="shared" ref="BB276:BB281" si="1007"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23">
        <f t="shared" ref="BC276:BC281" si="1008">_xlfn.AGGREGATE(9,6,CH276:CS276)-_xlfn.AGGREGATE(9,6,BV276:CG276)+12</f>
        <v>236</v>
      </c>
      <c r="BD276" s="4" t="s">
        <v>23</v>
      </c>
      <c r="BE276" s="3" t="s">
        <v>1297</v>
      </c>
      <c r="BF276" s="119">
        <v>3.8</v>
      </c>
      <c r="BG276" s="49" t="s">
        <v>1384</v>
      </c>
      <c r="BH276" s="49" t="s">
        <v>1384</v>
      </c>
      <c r="BI276" s="1"/>
      <c r="BJ276" s="70" t="s">
        <v>1293</v>
      </c>
      <c r="BK276" s="57" t="s">
        <v>1293</v>
      </c>
      <c r="BL276" s="57" t="s">
        <v>1293</v>
      </c>
      <c r="BM276" s="57" t="s">
        <v>1293</v>
      </c>
      <c r="BN276" s="57" t="s">
        <v>1293</v>
      </c>
      <c r="BO276" s="57" t="s">
        <v>1293</v>
      </c>
      <c r="BP276" s="57" t="s">
        <v>1293</v>
      </c>
      <c r="BQ276" s="57" t="s">
        <v>1293</v>
      </c>
      <c r="BR276" s="57" t="s">
        <v>1293</v>
      </c>
      <c r="BS276" s="57" t="s">
        <v>1293</v>
      </c>
      <c r="BT276" s="57" t="s">
        <v>1293</v>
      </c>
      <c r="BU276" s="57" t="s">
        <v>1293</v>
      </c>
      <c r="BV276" s="70">
        <f t="shared" ref="BV276:BV281" si="1009">E276</f>
        <v>25</v>
      </c>
      <c r="BW276" s="71" t="str">
        <f t="shared" ref="BW276:BW281" si="1010">I276</f>
        <v>-</v>
      </c>
      <c r="BX276" s="72">
        <f t="shared" ref="BX276:BX281" si="1011">M276</f>
        <v>66</v>
      </c>
      <c r="BY276" s="71" t="str">
        <f t="shared" ref="BY276:BY281" si="1012">Q276</f>
        <v>-</v>
      </c>
      <c r="BZ276" s="72">
        <f t="shared" ref="BZ276:BZ281" si="1013">U276</f>
        <v>103</v>
      </c>
      <c r="CA276" s="71" t="str">
        <f t="shared" ref="CA276:CA281" si="1014">Y276</f>
        <v>-</v>
      </c>
      <c r="CB276" s="72">
        <f t="shared" ref="CB276:CB281" si="1015">AC276</f>
        <v>140</v>
      </c>
      <c r="CC276" s="71">
        <f t="shared" ref="CC276:CC281" si="1016">AG276</f>
        <v>173</v>
      </c>
      <c r="CD276" s="72">
        <f t="shared" ref="CD276:CD281" si="1017">AK276</f>
        <v>183</v>
      </c>
      <c r="CE276" s="71">
        <f t="shared" ref="CE276:CE281" si="1018">AO276</f>
        <v>222</v>
      </c>
      <c r="CF276" s="72">
        <f t="shared" ref="CF276:CF281" si="1019">AS276</f>
        <v>263</v>
      </c>
      <c r="CG276" s="71" t="str">
        <f t="shared" ref="CG276:CG281" si="1020">AW276</f>
        <v>-</v>
      </c>
      <c r="CH276" s="70">
        <f t="shared" ref="CH276:CH281" si="1021">G276</f>
        <v>62</v>
      </c>
      <c r="CI276" s="71" t="str">
        <f t="shared" ref="CI276:CI281" si="1022">K276</f>
        <v>-</v>
      </c>
      <c r="CJ276" s="72">
        <f t="shared" ref="CJ276:CJ281" si="1023">O276</f>
        <v>95</v>
      </c>
      <c r="CK276" s="72" t="str">
        <f t="shared" ref="CK276:CK281" si="1024">S276</f>
        <v>-</v>
      </c>
      <c r="CL276" s="72">
        <f t="shared" ref="CL276:CL281" si="1025">W276</f>
        <v>134</v>
      </c>
      <c r="CM276" s="72" t="str">
        <f t="shared" ref="CM276:CM281" si="1026">AA276</f>
        <v>-</v>
      </c>
      <c r="CN276" s="72">
        <f t="shared" ref="CN276:CN281" si="1027">AE276</f>
        <v>164</v>
      </c>
      <c r="CO276" s="72">
        <f t="shared" ref="CO276:CO281" si="1028">AI276</f>
        <v>175</v>
      </c>
      <c r="CP276" s="72">
        <f t="shared" ref="CP276:CP281" si="1029">AM276</f>
        <v>218</v>
      </c>
      <c r="CQ276" s="72">
        <f t="shared" ref="CQ276:CQ281" si="1030">AQ276</f>
        <v>257</v>
      </c>
      <c r="CR276" s="72">
        <f t="shared" ref="CR276:CR281" si="1031">AU276</f>
        <v>294</v>
      </c>
      <c r="CS276" s="72" t="str">
        <f t="shared" ref="CS276:CS281" si="1032">AY276</f>
        <v>-</v>
      </c>
      <c r="CT276" s="23" t="e">
        <f t="shared" ref="CT276:CT281" si="1033">M276-K276</f>
        <v>#VALUE!</v>
      </c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Q276" s="6"/>
      <c r="KR276" s="6"/>
      <c r="KS276" s="6"/>
      <c r="KT276" s="6"/>
      <c r="KU276" s="6"/>
      <c r="KV276" s="6"/>
      <c r="KW276" s="6"/>
      <c r="KX276" s="6"/>
      <c r="KY276" s="6"/>
      <c r="KZ276" s="6"/>
      <c r="LA276" s="6"/>
      <c r="LB276" s="6"/>
      <c r="LC276" s="6"/>
      <c r="LD276" s="6"/>
      <c r="LE276" s="6"/>
      <c r="LF276" s="6"/>
      <c r="LG276" s="6"/>
      <c r="LH276" s="6"/>
      <c r="LI276" s="6"/>
      <c r="LJ276" s="6"/>
      <c r="LK276" s="6"/>
      <c r="LL276" s="6"/>
      <c r="LM276" s="6"/>
      <c r="LN276" s="6"/>
      <c r="LO276" s="6"/>
      <c r="LP276" s="6"/>
      <c r="LQ276" s="6"/>
      <c r="LR276" s="6"/>
      <c r="LS276" s="6"/>
      <c r="LT276" s="6"/>
      <c r="LU276" s="6"/>
      <c r="LV276" s="6"/>
      <c r="LW276" s="6"/>
      <c r="LX276" s="6"/>
      <c r="LY276" s="6"/>
      <c r="LZ276" s="6"/>
      <c r="MA276" s="6"/>
      <c r="MB276" s="6"/>
      <c r="MC276" s="6"/>
      <c r="MD276" s="6"/>
      <c r="ME276" s="6"/>
      <c r="MF276" s="6"/>
      <c r="MG276" s="6"/>
      <c r="MH276" s="6"/>
      <c r="MI276" s="6"/>
      <c r="MJ276" s="6"/>
      <c r="MK276" s="6"/>
      <c r="ML276" s="6"/>
      <c r="MM276" s="6"/>
      <c r="MN276" s="6"/>
      <c r="MO276" s="6"/>
      <c r="MP276" s="6"/>
      <c r="MQ276" s="6"/>
      <c r="MR276" s="6"/>
      <c r="MS276" s="6"/>
      <c r="MT276" s="6"/>
      <c r="MU276" s="6"/>
      <c r="MV276" s="6"/>
      <c r="MW276" s="6"/>
      <c r="MX276" s="6"/>
      <c r="MY276" s="6"/>
      <c r="MZ276" s="6"/>
      <c r="NA276" s="6"/>
      <c r="NB276" s="6"/>
      <c r="NC276" s="6"/>
      <c r="ND276" s="6"/>
      <c r="NE276" s="6"/>
      <c r="NF276" s="6"/>
      <c r="NG276" s="6"/>
      <c r="NH276" s="6"/>
      <c r="NI276" s="6"/>
      <c r="NJ276" s="6"/>
      <c r="NK276" s="6"/>
      <c r="NL276" s="6"/>
      <c r="NM276" s="6"/>
      <c r="NN276" s="6"/>
      <c r="NO276" s="6"/>
      <c r="NP276" s="6"/>
      <c r="NQ276" s="6"/>
      <c r="NR276" s="6"/>
      <c r="NS276" s="6"/>
      <c r="NT276" s="6"/>
      <c r="NU276" s="6"/>
      <c r="NV276" s="6"/>
      <c r="NW276" s="6"/>
      <c r="NX276" s="6"/>
      <c r="NY276" s="6"/>
      <c r="NZ276" s="6"/>
      <c r="OA276" s="6"/>
      <c r="OB276" s="6"/>
      <c r="OC276" s="6"/>
      <c r="OD276" s="6"/>
      <c r="OE276" s="6"/>
      <c r="OF276" s="6"/>
      <c r="OG276" s="6"/>
      <c r="OH276" s="6"/>
      <c r="OI276" s="6"/>
      <c r="OJ276" s="6"/>
      <c r="OK276" s="6"/>
      <c r="OL276" s="6"/>
      <c r="OM276" s="6"/>
      <c r="ON276" s="6"/>
      <c r="OO276" s="6"/>
      <c r="OP276" s="6"/>
      <c r="OQ276" s="6"/>
      <c r="OR276" s="6"/>
      <c r="OS276" s="6"/>
      <c r="OT276" s="6"/>
      <c r="OU276" s="6"/>
      <c r="OV276" s="6"/>
      <c r="OW276" s="6"/>
      <c r="OX276" s="6"/>
      <c r="OY276" s="6"/>
      <c r="OZ276" s="6"/>
      <c r="PA276" s="6"/>
      <c r="PB276" s="6"/>
      <c r="PC276" s="6"/>
      <c r="PD276" s="6"/>
      <c r="PE276" s="6"/>
      <c r="PF276" s="6"/>
      <c r="PG276" s="6"/>
      <c r="PH276" s="6"/>
      <c r="PI276" s="6"/>
      <c r="PJ276" s="6"/>
      <c r="PK276" s="6"/>
      <c r="PL276" s="6"/>
      <c r="PM276" s="6"/>
      <c r="PN276" s="6"/>
      <c r="PO276" s="6"/>
      <c r="PP276" s="6"/>
      <c r="PQ276" s="6"/>
      <c r="PR276" s="6"/>
      <c r="PS276" s="6"/>
      <c r="PT276" s="6"/>
      <c r="PU276" s="6"/>
      <c r="PV276" s="6"/>
      <c r="PW276" s="6"/>
      <c r="PX276" s="6"/>
      <c r="PY276" s="6"/>
      <c r="PZ276" s="6"/>
      <c r="QA276" s="6"/>
      <c r="QB276" s="6"/>
      <c r="QC276" s="6"/>
      <c r="QD276" s="6"/>
      <c r="QE276" s="6"/>
      <c r="QF276" s="6"/>
      <c r="QG276" s="6"/>
      <c r="QH276" s="6"/>
      <c r="QI276" s="6"/>
      <c r="QJ276" s="6"/>
      <c r="QK276" s="6"/>
      <c r="QL276" s="6"/>
      <c r="QM276" s="6"/>
      <c r="QN276" s="6"/>
      <c r="QO276" s="6"/>
      <c r="QP276" s="6"/>
      <c r="QQ276" s="6"/>
      <c r="QR276" s="6"/>
      <c r="QS276" s="6"/>
      <c r="QT276" s="6"/>
      <c r="QU276" s="6"/>
      <c r="QV276" s="6"/>
      <c r="QW276" s="6"/>
      <c r="QX276" s="6"/>
      <c r="QY276" s="6"/>
      <c r="QZ276" s="6"/>
      <c r="RA276" s="6"/>
      <c r="RB276" s="6"/>
      <c r="RC276" s="6"/>
      <c r="RD276" s="6"/>
      <c r="RE276" s="6"/>
      <c r="RF276" s="6"/>
      <c r="RG276" s="6"/>
      <c r="RH276" s="6"/>
      <c r="RI276" s="6"/>
      <c r="RJ276" s="6"/>
      <c r="RK276" s="6"/>
      <c r="RL276" s="6"/>
      <c r="RM276" s="6"/>
      <c r="RN276" s="6"/>
      <c r="RO276" s="6"/>
      <c r="RP276" s="6"/>
      <c r="RQ276" s="6"/>
      <c r="RR276" s="6"/>
      <c r="RS276" s="6"/>
      <c r="RT276" s="6"/>
      <c r="RU276" s="6"/>
      <c r="RV276" s="6"/>
      <c r="RW276" s="6"/>
      <c r="RX276" s="6"/>
      <c r="RY276" s="6"/>
      <c r="RZ276" s="6"/>
      <c r="SA276" s="6"/>
      <c r="SB276" s="6"/>
      <c r="SC276" s="6"/>
      <c r="SD276" s="6"/>
      <c r="SE276" s="6"/>
      <c r="SF276" s="6"/>
      <c r="SG276" s="6"/>
      <c r="SH276" s="6"/>
      <c r="SI276" s="6"/>
      <c r="SJ276" s="6"/>
      <c r="SK276" s="6"/>
      <c r="SL276" s="6"/>
      <c r="SM276" s="6"/>
      <c r="SN276" s="6"/>
      <c r="SO276" s="6"/>
      <c r="SP276" s="6"/>
      <c r="SQ276" s="6"/>
      <c r="SR276" s="6"/>
      <c r="SS276" s="6"/>
      <c r="ST276" s="6"/>
      <c r="SU276" s="6"/>
      <c r="SV276" s="6"/>
      <c r="SW276" s="6"/>
      <c r="SX276" s="6"/>
      <c r="SY276" s="6"/>
      <c r="SZ276" s="6"/>
      <c r="TA276" s="6"/>
      <c r="TB276" s="6"/>
      <c r="TC276" s="6"/>
      <c r="TD276" s="6"/>
      <c r="TE276" s="6"/>
      <c r="TF276" s="6"/>
      <c r="TG276" s="6"/>
      <c r="TH276" s="6"/>
      <c r="TI276" s="6"/>
      <c r="TJ276" s="6"/>
      <c r="TK276" s="6"/>
      <c r="TL276" s="6"/>
      <c r="TM276" s="6"/>
      <c r="TN276" s="6"/>
      <c r="TO276" s="6"/>
      <c r="TP276" s="6"/>
      <c r="TQ276" s="6"/>
      <c r="TR276" s="6"/>
      <c r="TS276" s="6"/>
      <c r="TT276" s="6"/>
      <c r="TU276" s="6"/>
      <c r="TV276" s="6"/>
      <c r="TW276" s="6"/>
      <c r="TX276" s="6"/>
      <c r="TY276" s="6"/>
      <c r="TZ276" s="6"/>
      <c r="UA276" s="6"/>
      <c r="UB276" s="6"/>
      <c r="UC276" s="6"/>
      <c r="UD276" s="6"/>
      <c r="UE276" s="6"/>
      <c r="UF276" s="6"/>
      <c r="UG276" s="6"/>
      <c r="UH276" s="6"/>
      <c r="UI276" s="6"/>
      <c r="UJ276" s="6"/>
      <c r="UK276" s="6"/>
      <c r="UL276" s="6"/>
      <c r="UM276" s="6"/>
      <c r="UN276" s="6"/>
      <c r="UO276" s="6"/>
      <c r="UP276" s="6"/>
      <c r="UQ276" s="6"/>
      <c r="UR276" s="6"/>
      <c r="US276" s="6"/>
      <c r="UT276" s="6"/>
      <c r="UU276" s="6"/>
      <c r="UV276" s="6"/>
      <c r="UW276" s="6"/>
      <c r="UX276" s="6"/>
      <c r="UY276" s="6"/>
      <c r="UZ276" s="6"/>
      <c r="VA276" s="6"/>
      <c r="VB276" s="6"/>
      <c r="VC276" s="6"/>
      <c r="VD276" s="6"/>
      <c r="VE276" s="6"/>
      <c r="VF276" s="6"/>
      <c r="VG276" s="6"/>
      <c r="VH276" s="6"/>
      <c r="VI276" s="6"/>
      <c r="VJ276" s="6"/>
      <c r="VK276" s="6"/>
      <c r="VL276" s="6"/>
      <c r="VM276" s="6"/>
      <c r="VN276" s="6"/>
      <c r="VO276" s="6"/>
      <c r="VP276" s="6"/>
      <c r="VQ276" s="6"/>
      <c r="VR276" s="6"/>
      <c r="VS276" s="6"/>
      <c r="VT276" s="6"/>
      <c r="VU276" s="6"/>
      <c r="VV276" s="6"/>
      <c r="VW276" s="6"/>
      <c r="VX276" s="6"/>
      <c r="VY276" s="6"/>
      <c r="VZ276" s="6"/>
      <c r="WA276" s="6"/>
      <c r="WB276" s="6"/>
      <c r="WC276" s="6"/>
      <c r="WD276" s="6"/>
      <c r="WE276" s="6"/>
      <c r="WF276" s="6"/>
      <c r="WG276" s="6"/>
      <c r="WH276" s="6"/>
      <c r="WI276" s="6"/>
      <c r="WJ276" s="6"/>
      <c r="WK276" s="6"/>
      <c r="WL276" s="6"/>
      <c r="WM276" s="6"/>
      <c r="WN276" s="6"/>
      <c r="WO276" s="6"/>
      <c r="WP276" s="6"/>
      <c r="WQ276" s="6"/>
      <c r="WR276" s="6"/>
      <c r="WS276" s="6"/>
      <c r="WT276" s="6"/>
      <c r="WU276" s="6"/>
      <c r="WV276" s="6"/>
      <c r="WW276" s="6"/>
      <c r="WX276" s="6"/>
      <c r="WY276" s="6"/>
      <c r="WZ276" s="6"/>
      <c r="XA276" s="6"/>
      <c r="XB276" s="6"/>
      <c r="XC276" s="6"/>
      <c r="XD276" s="6"/>
      <c r="XE276" s="6"/>
      <c r="XF276" s="6"/>
      <c r="XG276" s="6"/>
      <c r="XH276" s="6"/>
      <c r="XI276" s="6"/>
      <c r="XJ276" s="6"/>
      <c r="XK276" s="6"/>
      <c r="XL276" s="6"/>
      <c r="XM276" s="6"/>
      <c r="XN276" s="6"/>
      <c r="XO276" s="6"/>
      <c r="XP276" s="6"/>
      <c r="XQ276" s="6"/>
      <c r="XR276" s="6"/>
      <c r="XS276" s="6"/>
      <c r="XT276" s="6"/>
      <c r="XU276" s="6"/>
      <c r="XV276" s="6"/>
      <c r="XW276" s="6"/>
      <c r="XX276" s="6"/>
      <c r="XY276" s="6"/>
      <c r="XZ276" s="6"/>
      <c r="YA276" s="6"/>
      <c r="YB276" s="6"/>
      <c r="YC276" s="6"/>
      <c r="YD276" s="6"/>
      <c r="YE276" s="6"/>
      <c r="YF276" s="6"/>
      <c r="YG276" s="6"/>
      <c r="YH276" s="6"/>
      <c r="YI276" s="6"/>
      <c r="YJ276" s="6"/>
      <c r="YK276" s="6"/>
      <c r="YL276" s="6"/>
      <c r="YM276" s="6"/>
      <c r="YN276" s="6"/>
      <c r="YO276" s="6"/>
      <c r="YP276" s="6"/>
      <c r="YQ276" s="6"/>
      <c r="YR276" s="6"/>
      <c r="YS276" s="6"/>
      <c r="YT276" s="6"/>
      <c r="YU276" s="6"/>
      <c r="YV276" s="6"/>
      <c r="YW276" s="6"/>
      <c r="YX276" s="6"/>
      <c r="YY276" s="6"/>
      <c r="YZ276" s="6"/>
      <c r="ZA276" s="6"/>
      <c r="ZB276" s="6"/>
      <c r="ZC276" s="6"/>
      <c r="ZD276" s="6"/>
      <c r="ZE276" s="6"/>
      <c r="ZF276" s="6"/>
      <c r="ZG276" s="6"/>
      <c r="ZH276" s="6"/>
      <c r="ZI276" s="6"/>
      <c r="ZJ276" s="6"/>
      <c r="ZK276" s="6"/>
      <c r="ZL276" s="6"/>
      <c r="ZM276" s="6"/>
      <c r="ZN276" s="6"/>
      <c r="ZO276" s="6"/>
      <c r="ZP276" s="6"/>
      <c r="ZQ276" s="6"/>
      <c r="ZR276" s="6"/>
      <c r="ZS276" s="6"/>
      <c r="ZT276" s="6"/>
      <c r="ZU276" s="6"/>
      <c r="ZV276" s="6"/>
      <c r="ZW276" s="6"/>
      <c r="ZX276" s="6"/>
      <c r="ZY276" s="6"/>
      <c r="ZZ276" s="6"/>
      <c r="AAA276" s="6"/>
      <c r="AAB276" s="6"/>
      <c r="AAC276" s="6"/>
      <c r="AAD276" s="6"/>
      <c r="AAE276" s="6"/>
      <c r="AAF276" s="6"/>
      <c r="AAG276" s="6"/>
      <c r="AAH276" s="6"/>
      <c r="AAI276" s="6"/>
      <c r="AAJ276" s="6"/>
      <c r="AAK276" s="6"/>
      <c r="AAL276" s="6"/>
      <c r="AAM276" s="6"/>
      <c r="AAN276" s="6"/>
      <c r="AAO276" s="6"/>
      <c r="AAP276" s="6"/>
      <c r="AAQ276" s="6"/>
      <c r="AAR276" s="6"/>
      <c r="AAS276" s="6"/>
      <c r="AAT276" s="6"/>
      <c r="AAU276" s="6"/>
      <c r="AAV276" s="6"/>
      <c r="AAW276" s="6"/>
      <c r="AAX276" s="6"/>
      <c r="AAY276" s="6"/>
      <c r="AAZ276" s="6"/>
      <c r="ABA276" s="6"/>
      <c r="ABB276" s="6"/>
      <c r="ABC276" s="6"/>
      <c r="ABD276" s="6"/>
      <c r="ABE276" s="6"/>
      <c r="ABF276" s="6"/>
      <c r="ABG276" s="6"/>
      <c r="ABH276" s="6"/>
      <c r="ABI276" s="6"/>
      <c r="ABJ276" s="6"/>
      <c r="ABK276" s="6"/>
      <c r="ABL276" s="6"/>
      <c r="ABM276" s="6"/>
      <c r="ABN276" s="6"/>
      <c r="ABO276" s="6"/>
      <c r="ABP276" s="6"/>
      <c r="ABQ276" s="6"/>
      <c r="ABR276" s="6"/>
      <c r="ABS276" s="6"/>
      <c r="ABT276" s="6"/>
      <c r="ABU276" s="6"/>
      <c r="ABV276" s="6"/>
      <c r="ABW276" s="6"/>
      <c r="ABX276" s="6"/>
      <c r="ABY276" s="6"/>
      <c r="ABZ276" s="6"/>
      <c r="ACA276" s="6"/>
      <c r="ACB276" s="6"/>
      <c r="ACC276" s="6"/>
      <c r="ACD276" s="6"/>
      <c r="ACE276" s="6"/>
      <c r="ACF276" s="6"/>
      <c r="ACG276" s="6"/>
      <c r="ACH276" s="6"/>
      <c r="ACI276" s="6"/>
      <c r="ACJ276" s="6"/>
      <c r="ACK276" s="6"/>
      <c r="ACL276" s="6"/>
      <c r="ACM276" s="6"/>
      <c r="ACN276" s="6"/>
      <c r="ACO276" s="6"/>
      <c r="ACP276" s="6"/>
      <c r="ACQ276" s="6"/>
      <c r="ACR276" s="6"/>
      <c r="ACS276" s="6"/>
      <c r="ACT276" s="6"/>
      <c r="ACU276" s="6"/>
      <c r="ACV276" s="6"/>
      <c r="ACW276" s="6"/>
      <c r="ACX276" s="6"/>
      <c r="ACY276" s="6"/>
      <c r="ACZ276" s="6"/>
      <c r="ADA276" s="6"/>
      <c r="ADB276" s="6"/>
      <c r="ADC276" s="6"/>
      <c r="ADD276" s="6"/>
      <c r="ADE276" s="6"/>
      <c r="ADF276" s="6"/>
      <c r="ADG276" s="6"/>
      <c r="ADH276" s="6"/>
      <c r="ADI276" s="6"/>
      <c r="ADJ276" s="6"/>
      <c r="ADK276" s="6"/>
      <c r="ADL276" s="6"/>
      <c r="ADM276" s="6"/>
      <c r="ADN276" s="6"/>
      <c r="ADO276" s="6"/>
      <c r="ADP276" s="6"/>
      <c r="ADQ276" s="6"/>
      <c r="ADR276" s="6"/>
      <c r="ADS276" s="6"/>
      <c r="ADT276" s="6"/>
      <c r="ADU276" s="6"/>
      <c r="ADV276" s="6"/>
      <c r="ADW276" s="6"/>
      <c r="ADX276" s="6"/>
      <c r="ADY276" s="6"/>
      <c r="ADZ276" s="6"/>
      <c r="AEA276" s="6"/>
      <c r="AEB276" s="6"/>
      <c r="AEC276" s="6"/>
      <c r="AED276" s="6"/>
      <c r="AEE276" s="6"/>
      <c r="AEF276" s="6"/>
      <c r="AEG276" s="6"/>
      <c r="AEH276" s="6"/>
      <c r="AEI276" s="6"/>
      <c r="AEJ276" s="6"/>
      <c r="AEK276" s="6"/>
      <c r="AEL276" s="6"/>
      <c r="AEM276" s="6"/>
      <c r="AEN276" s="6"/>
      <c r="AEO276" s="6"/>
      <c r="AEP276" s="6"/>
      <c r="AEQ276" s="6"/>
      <c r="AER276" s="6"/>
      <c r="AES276" s="6"/>
      <c r="AET276" s="6"/>
      <c r="AEU276" s="6"/>
      <c r="AEV276" s="6"/>
      <c r="AEW276" s="6"/>
      <c r="AEX276" s="6"/>
      <c r="AEY276" s="6"/>
      <c r="AEZ276" s="6"/>
      <c r="AFA276" s="6"/>
      <c r="AFB276" s="6"/>
      <c r="AFC276" s="6"/>
      <c r="AFD276" s="6"/>
      <c r="AFE276" s="6"/>
      <c r="AFF276" s="6"/>
      <c r="AFG276" s="6"/>
      <c r="AFH276" s="6"/>
      <c r="AFI276" s="6"/>
      <c r="AFJ276" s="6"/>
      <c r="AFK276" s="6"/>
      <c r="AFL276" s="6"/>
      <c r="AFM276" s="6"/>
      <c r="AFN276" s="6"/>
      <c r="AFO276" s="6"/>
      <c r="AFP276" s="6"/>
      <c r="AFQ276" s="6"/>
      <c r="AFR276" s="6"/>
      <c r="AFS276" s="6"/>
      <c r="AFT276" s="6"/>
      <c r="AFU276" s="6"/>
      <c r="AFV276" s="6"/>
      <c r="AFW276" s="6"/>
      <c r="AFX276" s="6"/>
      <c r="AFY276" s="6"/>
      <c r="AFZ276" s="6"/>
      <c r="AGA276" s="6"/>
      <c r="AGB276" s="6"/>
      <c r="AGC276" s="6"/>
      <c r="AGD276" s="6"/>
      <c r="AGE276" s="6"/>
      <c r="AGF276" s="6"/>
      <c r="AGG276" s="6"/>
      <c r="AGH276" s="6"/>
      <c r="AGI276" s="6"/>
      <c r="AGJ276" s="6"/>
      <c r="AGK276" s="6"/>
      <c r="AGL276" s="6"/>
      <c r="AGM276" s="6"/>
      <c r="AGN276" s="6"/>
      <c r="AGO276" s="6"/>
      <c r="AGP276" s="6"/>
      <c r="AGQ276" s="6"/>
      <c r="AGR276" s="6"/>
      <c r="AGS276" s="6"/>
      <c r="AGT276" s="6"/>
      <c r="AGU276" s="6"/>
      <c r="AGV276" s="6"/>
      <c r="AGW276" s="6"/>
      <c r="AGX276" s="6"/>
      <c r="AGY276" s="6"/>
      <c r="AGZ276" s="6"/>
      <c r="AHA276" s="6"/>
      <c r="AHB276" s="6"/>
      <c r="AHC276" s="6"/>
      <c r="AHD276" s="6"/>
      <c r="AHE276" s="6"/>
      <c r="AHF276" s="6"/>
      <c r="AHG276" s="6"/>
      <c r="AHH276" s="6"/>
      <c r="AHI276" s="6"/>
      <c r="AHJ276" s="6"/>
      <c r="AHK276" s="6"/>
      <c r="AHL276" s="6"/>
      <c r="AHM276" s="6"/>
      <c r="AHN276" s="6"/>
      <c r="AHO276" s="6"/>
      <c r="AHP276" s="6"/>
      <c r="AHQ276" s="6"/>
      <c r="AHR276" s="6"/>
      <c r="AHS276" s="6"/>
      <c r="AHT276" s="6"/>
      <c r="AHU276" s="6"/>
      <c r="AHV276" s="6"/>
      <c r="AHW276" s="6"/>
      <c r="AHX276" s="6"/>
      <c r="AHY276" s="6"/>
      <c r="AHZ276" s="6"/>
      <c r="AIA276" s="6"/>
      <c r="AIB276" s="6"/>
      <c r="AIC276" s="6"/>
      <c r="AID276" s="6"/>
      <c r="AIE276" s="6"/>
      <c r="AIF276" s="6"/>
      <c r="AIG276" s="6"/>
      <c r="AIH276" s="6"/>
      <c r="AII276" s="6"/>
      <c r="AIJ276" s="6"/>
      <c r="AIK276" s="6"/>
      <c r="AIL276" s="6"/>
      <c r="AIM276" s="6"/>
      <c r="AIN276" s="6"/>
      <c r="AIO276" s="6"/>
      <c r="AIP276" s="6"/>
      <c r="AIQ276" s="6"/>
      <c r="AIR276" s="6"/>
      <c r="AIS276" s="6"/>
      <c r="AIT276" s="6"/>
      <c r="AIU276" s="6"/>
      <c r="AIV276" s="6"/>
      <c r="AIW276" s="6"/>
      <c r="AIX276" s="6"/>
      <c r="AIY276" s="6"/>
      <c r="AIZ276" s="6"/>
      <c r="AJA276" s="6"/>
      <c r="AJB276" s="6"/>
      <c r="AJC276" s="6"/>
      <c r="AJD276" s="6"/>
      <c r="AJE276" s="6"/>
      <c r="AJF276" s="6"/>
      <c r="AJG276" s="6"/>
      <c r="AJH276" s="6"/>
      <c r="AJI276" s="6"/>
      <c r="AJJ276" s="6"/>
      <c r="AJK276" s="6"/>
      <c r="AJL276" s="6"/>
      <c r="AJM276" s="6"/>
      <c r="AJN276" s="6"/>
      <c r="AJO276" s="6"/>
      <c r="AJP276" s="6"/>
      <c r="AJQ276" s="6"/>
      <c r="AJR276" s="6"/>
      <c r="AJS276" s="6"/>
      <c r="AJT276" s="6"/>
      <c r="AJU276" s="6"/>
      <c r="AJV276" s="6"/>
      <c r="AJW276" s="6"/>
      <c r="AJX276" s="6"/>
      <c r="AJY276" s="6"/>
      <c r="AJZ276" s="6"/>
      <c r="AKA276" s="6"/>
      <c r="AKB276" s="6"/>
      <c r="AKC276" s="6"/>
      <c r="AKD276" s="6"/>
      <c r="AKE276" s="6"/>
      <c r="AKF276" s="6"/>
      <c r="AKG276" s="6"/>
      <c r="AKH276" s="6"/>
      <c r="AKI276" s="6"/>
      <c r="AKJ276" s="6"/>
      <c r="AKK276" s="6"/>
      <c r="AKL276" s="6"/>
      <c r="AKM276" s="6"/>
      <c r="AKN276" s="6"/>
      <c r="AKO276" s="6"/>
      <c r="AKP276" s="6"/>
      <c r="AKQ276" s="6"/>
      <c r="AKR276" s="6"/>
      <c r="AKS276" s="6"/>
      <c r="AKT276" s="6"/>
      <c r="AKU276" s="6"/>
      <c r="AKV276" s="6"/>
      <c r="AKW276" s="6"/>
      <c r="AKX276" s="6"/>
      <c r="AKY276" s="6"/>
      <c r="AKZ276" s="6"/>
      <c r="ALA276" s="6"/>
      <c r="ALB276" s="6"/>
      <c r="ALC276" s="6"/>
      <c r="ALD276" s="6"/>
      <c r="ALE276" s="6"/>
      <c r="ALF276" s="6"/>
      <c r="ALG276" s="6"/>
      <c r="ALH276" s="6"/>
      <c r="ALI276" s="6"/>
      <c r="ALJ276" s="6"/>
      <c r="ALK276" s="6"/>
      <c r="ALL276" s="6"/>
      <c r="ALM276" s="6"/>
      <c r="ALN276" s="6"/>
      <c r="ALO276" s="6"/>
      <c r="ALP276" s="6"/>
      <c r="ALQ276" s="6"/>
      <c r="ALR276" s="6"/>
      <c r="ALS276" s="6"/>
      <c r="ALT276" s="6"/>
      <c r="ALU276" s="6"/>
      <c r="ALV276" s="6"/>
      <c r="ALW276" s="6"/>
      <c r="ALX276" s="6"/>
      <c r="ALY276" s="6"/>
      <c r="ALZ276" s="6"/>
      <c r="AMA276" s="6"/>
      <c r="AMB276" s="6"/>
      <c r="AMC276" s="6"/>
      <c r="AMD276" s="6"/>
      <c r="AME276" s="6"/>
      <c r="AMF276" s="6"/>
      <c r="AMG276" s="6"/>
      <c r="AMH276" s="6"/>
      <c r="AMI276" s="6"/>
      <c r="AMJ276" s="6"/>
      <c r="AMK276" s="6"/>
      <c r="AML276" s="6"/>
      <c r="AMM276" s="6"/>
      <c r="AMN276" s="6"/>
      <c r="AMO276" s="6"/>
      <c r="AMP276" s="6"/>
    </row>
    <row r="277" spans="1:1030" x14ac:dyDescent="0.2">
      <c r="A277" s="9" t="str">
        <f t="shared" ref="A277:A283" si="1034">CONCATENATE(B277,"_",C277)</f>
        <v>q80km9_hcmv__wt</v>
      </c>
      <c r="B277" s="40" t="s">
        <v>1524</v>
      </c>
      <c r="C277" s="9" t="s">
        <v>100</v>
      </c>
      <c r="D277" s="9" t="str">
        <f>IFERROR(MID(VLOOKUP($B277,Seqs!$A:$B,2,0),E277,1),"")</f>
        <v>F</v>
      </c>
      <c r="E277" s="9">
        <v>25</v>
      </c>
      <c r="F277" s="9" t="str">
        <f>IFERROR(MID(VLOOKUP($B277,Seqs!$A:$B,2,0),G277,1),"")</f>
        <v>R</v>
      </c>
      <c r="G277" s="9">
        <v>61</v>
      </c>
      <c r="H277" s="9" t="str">
        <f>IFERROR(MID(VLOOKUP($B277,Seqs!$A:$B,2,0),I277,1),"")</f>
        <v>R</v>
      </c>
      <c r="I277" s="109">
        <v>62</v>
      </c>
      <c r="J277" s="9" t="str">
        <f>IFERROR(MID(VLOOKUP($B277,Seqs!$A:$B,2,0),K277,1),"")</f>
        <v>Q</v>
      </c>
      <c r="K277" s="109">
        <v>65</v>
      </c>
      <c r="L277" s="9" t="str">
        <f>IFERROR(MID(VLOOKUP($B277,Seqs!$A:$B,2,0),M277,1),"")</f>
        <v>C</v>
      </c>
      <c r="M277" s="9">
        <v>66</v>
      </c>
      <c r="N277" s="9" t="str">
        <f>IFERROR(MID(VLOOKUP($B277,Seqs!$A:$B,2,0),O277,1),"")</f>
        <v>D</v>
      </c>
      <c r="O277" s="9">
        <v>95</v>
      </c>
      <c r="P277" s="9" t="str">
        <f>IFERROR(MID(VLOOKUP($B277,Seqs!$A:$B,2,0),Q277,1),"")</f>
        <v/>
      </c>
      <c r="Q277" s="9" t="s">
        <v>23</v>
      </c>
      <c r="R277" s="9" t="str">
        <f>IFERROR(MID(VLOOKUP($B277,Seqs!$A:$B,2,0),S277,1),"")</f>
        <v/>
      </c>
      <c r="S277" s="9" t="s">
        <v>23</v>
      </c>
      <c r="T277" s="9" t="str">
        <f>IFERROR(MID(VLOOKUP($B277,Seqs!$A:$B,2,0),U277,1),"")</f>
        <v>A</v>
      </c>
      <c r="U277" s="9">
        <v>100</v>
      </c>
      <c r="V277" s="9" t="str">
        <f>IFERROR(MID(VLOOKUP($B277,Seqs!$A:$B,2,0),W277,1),"")</f>
        <v>V</v>
      </c>
      <c r="W277" s="9">
        <v>134</v>
      </c>
      <c r="X277" s="9" t="str">
        <f>IFERROR(MID(VLOOKUP($B277,Seqs!$A:$B,2,0),Y277,1),"")</f>
        <v/>
      </c>
      <c r="Y277" s="9" t="s">
        <v>23</v>
      </c>
      <c r="Z277" s="9" t="str">
        <f>IFERROR(MID(VLOOKUP($B277,Seqs!$A:$B,2,0),AA277,1),"")</f>
        <v/>
      </c>
      <c r="AA277" s="9" t="s">
        <v>23</v>
      </c>
      <c r="AB277" s="9" t="str">
        <f>IFERROR(MID(VLOOKUP($B277,Seqs!$A:$B,2,0),AC277,1),"")</f>
        <v>P</v>
      </c>
      <c r="AC277" s="9">
        <v>140</v>
      </c>
      <c r="AD277" s="9" t="str">
        <f>IFERROR(MID(VLOOKUP($B277,Seqs!$A:$B,2,0),AE277,1),"")</f>
        <v>M</v>
      </c>
      <c r="AE277" s="9">
        <v>164</v>
      </c>
      <c r="AF277" s="9" t="str">
        <f>IFERROR(MID(VLOOKUP($B277,Seqs!$A:$B,2,0),AG277,1),"")</f>
        <v>C</v>
      </c>
      <c r="AG277" s="9">
        <v>173</v>
      </c>
      <c r="AH277" s="9" t="str">
        <f>IFERROR(MID(VLOOKUP($B277,Seqs!$A:$B,2,0),AI277,1),"")</f>
        <v>T</v>
      </c>
      <c r="AI277" s="9">
        <v>175</v>
      </c>
      <c r="AJ277" s="9" t="str">
        <f>IFERROR(MID(VLOOKUP($B277,Seqs!$A:$B,2,0),AK277,1),"")</f>
        <v>S</v>
      </c>
      <c r="AK277" s="9">
        <v>183</v>
      </c>
      <c r="AL277" s="9" t="str">
        <f>IFERROR(MID(VLOOKUP($B277,Seqs!$A:$B,2,0),AM277,1),"")</f>
        <v>S</v>
      </c>
      <c r="AM277" s="9">
        <v>218</v>
      </c>
      <c r="AN277" s="9" t="str">
        <f>IFERROR(MID(VLOOKUP($B277,Seqs!$A:$B,2,0),AO277,1),"")</f>
        <v>H</v>
      </c>
      <c r="AO277" s="9">
        <v>222</v>
      </c>
      <c r="AP277" s="9" t="str">
        <f>IFERROR(MID(VLOOKUP($B277,Seqs!$A:$B,2,0),AQ277,1),"")</f>
        <v>K</v>
      </c>
      <c r="AQ277" s="9">
        <v>257</v>
      </c>
      <c r="AR277" s="9" t="str">
        <f>IFERROR(MID(VLOOKUP($B277,Seqs!$A:$B,2,0),AS277,1),"")</f>
        <v>S</v>
      </c>
      <c r="AS277" s="9">
        <v>262</v>
      </c>
      <c r="AT277" s="9" t="str">
        <f>IFERROR(MID(VLOOKUP($B277,Seqs!$A:$B,2,0),AU277,1),"")</f>
        <v>V</v>
      </c>
      <c r="AU277" s="9">
        <v>294</v>
      </c>
      <c r="AV277" s="9" t="str">
        <f>IFERROR(MID(VLOOKUP($B277,Seqs!$A:$B,2,0),AW277,1),"")</f>
        <v>G</v>
      </c>
      <c r="AW277" s="9">
        <v>295</v>
      </c>
      <c r="AX277" s="9" t="str">
        <f>IFERROR(MID(VLOOKUP($B277,Seqs!$A:$B,2,0),AY277,1),"")</f>
        <v>R</v>
      </c>
      <c r="AY277" s="9">
        <v>310</v>
      </c>
      <c r="AZ277" s="110" t="str">
        <f>VLOOKUP(B277,Classification!A:D,2,0)</f>
        <v>A</v>
      </c>
      <c r="BA277" s="98" t="str">
        <f>VLOOKUP(B277,Classification!A:D,4,0)</f>
        <v>Chemokine</v>
      </c>
      <c r="BB277" s="36" t="b">
        <f t="shared" si="1007"/>
        <v>1</v>
      </c>
      <c r="BC277" s="109">
        <f t="shared" si="1008"/>
        <v>257</v>
      </c>
      <c r="BD277" s="11" t="s">
        <v>23</v>
      </c>
      <c r="BE277" s="9" t="s">
        <v>23</v>
      </c>
      <c r="BF277" s="120" t="s">
        <v>23</v>
      </c>
      <c r="BG277" s="51" t="s">
        <v>1384</v>
      </c>
      <c r="BH277" s="51" t="s">
        <v>1384</v>
      </c>
      <c r="BI277" s="12"/>
      <c r="BJ277" s="111" t="s">
        <v>1293</v>
      </c>
      <c r="BK277" s="112" t="s">
        <v>1293</v>
      </c>
      <c r="BL277" s="112" t="s">
        <v>1293</v>
      </c>
      <c r="BM277" s="112" t="s">
        <v>1293</v>
      </c>
      <c r="BN277" s="112" t="s">
        <v>1293</v>
      </c>
      <c r="BO277" s="112" t="s">
        <v>1293</v>
      </c>
      <c r="BP277" s="112" t="s">
        <v>1293</v>
      </c>
      <c r="BQ277" s="112" t="s">
        <v>1293</v>
      </c>
      <c r="BR277" s="112" t="s">
        <v>1293</v>
      </c>
      <c r="BS277" s="112" t="s">
        <v>1293</v>
      </c>
      <c r="BT277" s="112" t="s">
        <v>1293</v>
      </c>
      <c r="BU277" s="112" t="s">
        <v>1293</v>
      </c>
      <c r="BV277" s="111">
        <f t="shared" si="1009"/>
        <v>25</v>
      </c>
      <c r="BW277" s="113">
        <f t="shared" si="1010"/>
        <v>62</v>
      </c>
      <c r="BX277" s="114">
        <f t="shared" si="1011"/>
        <v>66</v>
      </c>
      <c r="BY277" s="113" t="str">
        <f t="shared" si="1012"/>
        <v>-</v>
      </c>
      <c r="BZ277" s="114">
        <f t="shared" si="1013"/>
        <v>100</v>
      </c>
      <c r="CA277" s="113" t="str">
        <f t="shared" si="1014"/>
        <v>-</v>
      </c>
      <c r="CB277" s="114">
        <f t="shared" si="1015"/>
        <v>140</v>
      </c>
      <c r="CC277" s="113">
        <f t="shared" si="1016"/>
        <v>173</v>
      </c>
      <c r="CD277" s="114">
        <f t="shared" si="1017"/>
        <v>183</v>
      </c>
      <c r="CE277" s="113">
        <f t="shared" si="1018"/>
        <v>222</v>
      </c>
      <c r="CF277" s="114">
        <f t="shared" si="1019"/>
        <v>262</v>
      </c>
      <c r="CG277" s="113">
        <f t="shared" si="1020"/>
        <v>295</v>
      </c>
      <c r="CH277" s="111">
        <f t="shared" si="1021"/>
        <v>61</v>
      </c>
      <c r="CI277" s="113">
        <f t="shared" si="1022"/>
        <v>65</v>
      </c>
      <c r="CJ277" s="114">
        <f t="shared" si="1023"/>
        <v>95</v>
      </c>
      <c r="CK277" s="114" t="str">
        <f t="shared" si="1024"/>
        <v>-</v>
      </c>
      <c r="CL277" s="114">
        <f t="shared" si="1025"/>
        <v>134</v>
      </c>
      <c r="CM277" s="114" t="str">
        <f t="shared" si="1026"/>
        <v>-</v>
      </c>
      <c r="CN277" s="114">
        <f t="shared" si="1027"/>
        <v>164</v>
      </c>
      <c r="CO277" s="114">
        <f t="shared" si="1028"/>
        <v>175</v>
      </c>
      <c r="CP277" s="114">
        <f t="shared" si="1029"/>
        <v>218</v>
      </c>
      <c r="CQ277" s="114">
        <f t="shared" si="1030"/>
        <v>257</v>
      </c>
      <c r="CR277" s="114">
        <f t="shared" si="1031"/>
        <v>294</v>
      </c>
      <c r="CS277" s="114">
        <f t="shared" si="1032"/>
        <v>310</v>
      </c>
      <c r="CT277" s="109">
        <f t="shared" si="1033"/>
        <v>1</v>
      </c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"/>
      <c r="PA277" s="6"/>
      <c r="PB277" s="6"/>
      <c r="PC277" s="6"/>
      <c r="PD277" s="6"/>
      <c r="PE277" s="6"/>
      <c r="PF277" s="6"/>
      <c r="PG277" s="6"/>
      <c r="PH277" s="6"/>
      <c r="PI277" s="6"/>
      <c r="PJ277" s="6"/>
      <c r="PK277" s="6"/>
      <c r="PL277" s="6"/>
      <c r="PM277" s="6"/>
      <c r="PN277" s="6"/>
      <c r="PO277" s="6"/>
      <c r="PP277" s="6"/>
      <c r="PQ277" s="6"/>
      <c r="PR277" s="6"/>
      <c r="PS277" s="6"/>
      <c r="PT277" s="6"/>
      <c r="PU277" s="6"/>
      <c r="PV277" s="6"/>
      <c r="PW277" s="6"/>
      <c r="PX277" s="6"/>
      <c r="PY277" s="6"/>
      <c r="PZ277" s="6"/>
      <c r="QA277" s="6"/>
      <c r="QB277" s="6"/>
      <c r="QC277" s="6"/>
      <c r="QD277" s="6"/>
      <c r="QE277" s="6"/>
      <c r="QF277" s="6"/>
      <c r="QG277" s="6"/>
      <c r="QH277" s="6"/>
      <c r="QI277" s="6"/>
      <c r="QJ277" s="6"/>
      <c r="QK277" s="6"/>
      <c r="QL277" s="6"/>
      <c r="QM277" s="6"/>
      <c r="QN277" s="6"/>
      <c r="QO277" s="6"/>
      <c r="QP277" s="6"/>
      <c r="QQ277" s="6"/>
      <c r="QR277" s="6"/>
      <c r="QS277" s="6"/>
      <c r="QT277" s="6"/>
      <c r="QU277" s="6"/>
      <c r="QV277" s="6"/>
      <c r="QW277" s="6"/>
      <c r="QX277" s="6"/>
      <c r="QY277" s="6"/>
      <c r="QZ277" s="6"/>
      <c r="RA277" s="6"/>
      <c r="RB277" s="6"/>
      <c r="RC277" s="6"/>
      <c r="RD277" s="6"/>
      <c r="RE277" s="6"/>
      <c r="RF277" s="6"/>
      <c r="RG277" s="6"/>
      <c r="RH277" s="6"/>
      <c r="RI277" s="6"/>
      <c r="RJ277" s="6"/>
      <c r="RK277" s="6"/>
      <c r="RL277" s="6"/>
      <c r="RM277" s="6"/>
      <c r="RN277" s="6"/>
      <c r="RO277" s="6"/>
      <c r="RP277" s="6"/>
      <c r="RQ277" s="6"/>
      <c r="RR277" s="6"/>
      <c r="RS277" s="6"/>
      <c r="RT277" s="6"/>
      <c r="RU277" s="6"/>
      <c r="RV277" s="6"/>
      <c r="RW277" s="6"/>
      <c r="RX277" s="6"/>
      <c r="RY277" s="6"/>
      <c r="RZ277" s="6"/>
      <c r="SA277" s="6"/>
      <c r="SB277" s="6"/>
      <c r="SC277" s="6"/>
      <c r="SD277" s="6"/>
      <c r="SE277" s="6"/>
      <c r="SF277" s="6"/>
      <c r="SG277" s="6"/>
      <c r="SH277" s="6"/>
      <c r="SI277" s="6"/>
      <c r="SJ277" s="6"/>
      <c r="SK277" s="6"/>
      <c r="SL277" s="6"/>
      <c r="SM277" s="6"/>
      <c r="SN277" s="6"/>
      <c r="SO277" s="6"/>
      <c r="SP277" s="6"/>
      <c r="SQ277" s="6"/>
      <c r="SR277" s="6"/>
      <c r="SS277" s="6"/>
      <c r="ST277" s="6"/>
      <c r="SU277" s="6"/>
      <c r="SV277" s="6"/>
      <c r="SW277" s="6"/>
      <c r="SX277" s="6"/>
      <c r="SY277" s="6"/>
      <c r="SZ277" s="6"/>
      <c r="TA277" s="6"/>
      <c r="TB277" s="6"/>
      <c r="TC277" s="6"/>
      <c r="TD277" s="6"/>
      <c r="TE277" s="6"/>
      <c r="TF277" s="6"/>
      <c r="TG277" s="6"/>
      <c r="TH277" s="6"/>
      <c r="TI277" s="6"/>
      <c r="TJ277" s="6"/>
      <c r="TK277" s="6"/>
      <c r="TL277" s="6"/>
      <c r="TM277" s="6"/>
      <c r="TN277" s="6"/>
      <c r="TO277" s="6"/>
      <c r="TP277" s="6"/>
      <c r="TQ277" s="6"/>
      <c r="TR277" s="6"/>
      <c r="TS277" s="6"/>
      <c r="TT277" s="6"/>
      <c r="TU277" s="6"/>
      <c r="TV277" s="6"/>
      <c r="TW277" s="6"/>
      <c r="TX277" s="6"/>
      <c r="TY277" s="6"/>
      <c r="TZ277" s="6"/>
      <c r="UA277" s="6"/>
      <c r="UB277" s="6"/>
      <c r="UC277" s="6"/>
      <c r="UD277" s="6"/>
      <c r="UE277" s="6"/>
      <c r="UF277" s="6"/>
      <c r="UG277" s="6"/>
      <c r="UH277" s="6"/>
      <c r="UI277" s="6"/>
      <c r="UJ277" s="6"/>
      <c r="UK277" s="6"/>
      <c r="UL277" s="6"/>
      <c r="UM277" s="6"/>
      <c r="UN277" s="6"/>
      <c r="UO277" s="6"/>
      <c r="UP277" s="6"/>
      <c r="UQ277" s="6"/>
      <c r="UR277" s="6"/>
      <c r="US277" s="6"/>
      <c r="UT277" s="6"/>
      <c r="UU277" s="6"/>
      <c r="UV277" s="6"/>
      <c r="UW277" s="6"/>
      <c r="UX277" s="6"/>
      <c r="UY277" s="6"/>
      <c r="UZ277" s="6"/>
      <c r="VA277" s="6"/>
      <c r="VB277" s="6"/>
      <c r="VC277" s="6"/>
      <c r="VD277" s="6"/>
      <c r="VE277" s="6"/>
      <c r="VF277" s="6"/>
      <c r="VG277" s="6"/>
      <c r="VH277" s="6"/>
      <c r="VI277" s="6"/>
      <c r="VJ277" s="6"/>
      <c r="VK277" s="6"/>
      <c r="VL277" s="6"/>
      <c r="VM277" s="6"/>
      <c r="VN277" s="6"/>
      <c r="VO277" s="6"/>
      <c r="VP277" s="6"/>
      <c r="VQ277" s="6"/>
      <c r="VR277" s="6"/>
      <c r="VS277" s="6"/>
      <c r="VT277" s="6"/>
      <c r="VU277" s="6"/>
      <c r="VV277" s="6"/>
      <c r="VW277" s="6"/>
      <c r="VX277" s="6"/>
      <c r="VY277" s="6"/>
      <c r="VZ277" s="6"/>
      <c r="WA277" s="6"/>
      <c r="WB277" s="6"/>
      <c r="WC277" s="6"/>
      <c r="WD277" s="6"/>
      <c r="WE277" s="6"/>
      <c r="WF277" s="6"/>
      <c r="WG277" s="6"/>
      <c r="WH277" s="6"/>
      <c r="WI277" s="6"/>
      <c r="WJ277" s="6"/>
      <c r="WK277" s="6"/>
      <c r="WL277" s="6"/>
      <c r="WM277" s="6"/>
      <c r="WN277" s="6"/>
      <c r="WO277" s="6"/>
      <c r="WP277" s="6"/>
      <c r="WQ277" s="6"/>
      <c r="WR277" s="6"/>
      <c r="WS277" s="6"/>
      <c r="WT277" s="6"/>
      <c r="WU277" s="6"/>
      <c r="WV277" s="6"/>
      <c r="WW277" s="6"/>
      <c r="WX277" s="6"/>
      <c r="WY277" s="6"/>
      <c r="WZ277" s="6"/>
      <c r="XA277" s="6"/>
      <c r="XB277" s="6"/>
      <c r="XC277" s="6"/>
      <c r="XD277" s="6"/>
      <c r="XE277" s="6"/>
      <c r="XF277" s="6"/>
      <c r="XG277" s="6"/>
      <c r="XH277" s="6"/>
      <c r="XI277" s="6"/>
      <c r="XJ277" s="6"/>
      <c r="XK277" s="6"/>
      <c r="XL277" s="6"/>
      <c r="XM277" s="6"/>
      <c r="XN277" s="6"/>
      <c r="XO277" s="6"/>
      <c r="XP277" s="6"/>
      <c r="XQ277" s="6"/>
      <c r="XR277" s="6"/>
      <c r="XS277" s="6"/>
      <c r="XT277" s="6"/>
      <c r="XU277" s="6"/>
      <c r="XV277" s="6"/>
      <c r="XW277" s="6"/>
      <c r="XX277" s="6"/>
      <c r="XY277" s="6"/>
      <c r="XZ277" s="6"/>
      <c r="YA277" s="6"/>
      <c r="YB277" s="6"/>
      <c r="YC277" s="6"/>
      <c r="YD277" s="6"/>
      <c r="YE277" s="6"/>
      <c r="YF277" s="6"/>
      <c r="YG277" s="6"/>
      <c r="YH277" s="6"/>
      <c r="YI277" s="6"/>
      <c r="YJ277" s="6"/>
      <c r="YK277" s="6"/>
      <c r="YL277" s="6"/>
      <c r="YM277" s="6"/>
      <c r="YN277" s="6"/>
      <c r="YO277" s="6"/>
      <c r="YP277" s="6"/>
      <c r="YQ277" s="6"/>
      <c r="YR277" s="6"/>
      <c r="YS277" s="6"/>
      <c r="YT277" s="6"/>
      <c r="YU277" s="6"/>
      <c r="YV277" s="6"/>
      <c r="YW277" s="6"/>
      <c r="YX277" s="6"/>
      <c r="YY277" s="6"/>
      <c r="YZ277" s="6"/>
      <c r="ZA277" s="6"/>
      <c r="ZB277" s="6"/>
      <c r="ZC277" s="6"/>
      <c r="ZD277" s="6"/>
      <c r="ZE277" s="6"/>
      <c r="ZF277" s="6"/>
      <c r="ZG277" s="6"/>
      <c r="ZH277" s="6"/>
      <c r="ZI277" s="6"/>
      <c r="ZJ277" s="6"/>
      <c r="ZK277" s="6"/>
      <c r="ZL277" s="6"/>
      <c r="ZM277" s="6"/>
      <c r="ZN277" s="6"/>
      <c r="ZO277" s="6"/>
      <c r="ZP277" s="6"/>
      <c r="ZQ277" s="6"/>
      <c r="ZR277" s="6"/>
      <c r="ZS277" s="6"/>
      <c r="ZT277" s="6"/>
      <c r="ZU277" s="6"/>
      <c r="ZV277" s="6"/>
      <c r="ZW277" s="6"/>
      <c r="ZX277" s="6"/>
      <c r="ZY277" s="6"/>
      <c r="ZZ277" s="6"/>
      <c r="AAA277" s="6"/>
      <c r="AAB277" s="6"/>
      <c r="AAC277" s="6"/>
      <c r="AAD277" s="6"/>
      <c r="AAE277" s="6"/>
      <c r="AAF277" s="6"/>
      <c r="AAG277" s="6"/>
      <c r="AAH277" s="6"/>
      <c r="AAI277" s="6"/>
      <c r="AAJ277" s="6"/>
      <c r="AAK277" s="6"/>
      <c r="AAL277" s="6"/>
      <c r="AAM277" s="6"/>
      <c r="AAN277" s="6"/>
      <c r="AAO277" s="6"/>
      <c r="AAP277" s="6"/>
      <c r="AAQ277" s="6"/>
      <c r="AAR277" s="6"/>
      <c r="AAS277" s="6"/>
      <c r="AAT277" s="6"/>
      <c r="AAU277" s="6"/>
      <c r="AAV277" s="6"/>
      <c r="AAW277" s="6"/>
      <c r="AAX277" s="6"/>
      <c r="AAY277" s="6"/>
      <c r="AAZ277" s="6"/>
      <c r="ABA277" s="6"/>
      <c r="ABB277" s="6"/>
      <c r="ABC277" s="6"/>
      <c r="ABD277" s="6"/>
      <c r="ABE277" s="6"/>
      <c r="ABF277" s="6"/>
      <c r="ABG277" s="6"/>
      <c r="ABH277" s="6"/>
      <c r="ABI277" s="6"/>
      <c r="ABJ277" s="6"/>
      <c r="ABK277" s="6"/>
      <c r="ABL277" s="6"/>
      <c r="ABM277" s="6"/>
      <c r="ABN277" s="6"/>
      <c r="ABO277" s="6"/>
      <c r="ABP277" s="6"/>
      <c r="ABQ277" s="6"/>
      <c r="ABR277" s="6"/>
      <c r="ABS277" s="6"/>
      <c r="ABT277" s="6"/>
      <c r="ABU277" s="6"/>
      <c r="ABV277" s="6"/>
      <c r="ABW277" s="6"/>
      <c r="ABX277" s="6"/>
      <c r="ABY277" s="6"/>
      <c r="ABZ277" s="6"/>
      <c r="ACA277" s="6"/>
      <c r="ACB277" s="6"/>
      <c r="ACC277" s="6"/>
      <c r="ACD277" s="6"/>
      <c r="ACE277" s="6"/>
      <c r="ACF277" s="6"/>
      <c r="ACG277" s="6"/>
      <c r="ACH277" s="6"/>
      <c r="ACI277" s="6"/>
      <c r="ACJ277" s="6"/>
      <c r="ACK277" s="6"/>
      <c r="ACL277" s="6"/>
      <c r="ACM277" s="6"/>
      <c r="ACN277" s="6"/>
      <c r="ACO277" s="6"/>
      <c r="ACP277" s="6"/>
      <c r="ACQ277" s="6"/>
      <c r="ACR277" s="6"/>
      <c r="ACS277" s="6"/>
      <c r="ACT277" s="6"/>
      <c r="ACU277" s="6"/>
      <c r="ACV277" s="6"/>
      <c r="ACW277" s="6"/>
      <c r="ACX277" s="6"/>
      <c r="ACY277" s="6"/>
      <c r="ACZ277" s="6"/>
      <c r="ADA277" s="6"/>
      <c r="ADB277" s="6"/>
      <c r="ADC277" s="6"/>
      <c r="ADD277" s="6"/>
      <c r="ADE277" s="6"/>
      <c r="ADF277" s="6"/>
      <c r="ADG277" s="6"/>
      <c r="ADH277" s="6"/>
      <c r="ADI277" s="6"/>
      <c r="ADJ277" s="6"/>
      <c r="ADK277" s="6"/>
      <c r="ADL277" s="6"/>
      <c r="ADM277" s="6"/>
      <c r="ADN277" s="6"/>
      <c r="ADO277" s="6"/>
      <c r="ADP277" s="6"/>
      <c r="ADQ277" s="6"/>
      <c r="ADR277" s="6"/>
      <c r="ADS277" s="6"/>
      <c r="ADT277" s="6"/>
      <c r="ADU277" s="6"/>
      <c r="ADV277" s="6"/>
      <c r="ADW277" s="6"/>
      <c r="ADX277" s="6"/>
      <c r="ADY277" s="6"/>
      <c r="ADZ277" s="6"/>
      <c r="AEA277" s="6"/>
      <c r="AEB277" s="6"/>
      <c r="AEC277" s="6"/>
      <c r="AED277" s="6"/>
      <c r="AEE277" s="6"/>
      <c r="AEF277" s="6"/>
      <c r="AEG277" s="6"/>
      <c r="AEH277" s="6"/>
      <c r="AEI277" s="6"/>
      <c r="AEJ277" s="6"/>
      <c r="AEK277" s="6"/>
      <c r="AEL277" s="6"/>
      <c r="AEM277" s="6"/>
      <c r="AEN277" s="6"/>
      <c r="AEO277" s="6"/>
      <c r="AEP277" s="6"/>
      <c r="AEQ277" s="6"/>
      <c r="AER277" s="6"/>
      <c r="AES277" s="6"/>
      <c r="AET277" s="6"/>
      <c r="AEU277" s="6"/>
      <c r="AEV277" s="6"/>
      <c r="AEW277" s="6"/>
      <c r="AEX277" s="6"/>
      <c r="AEY277" s="6"/>
      <c r="AEZ277" s="6"/>
      <c r="AFA277" s="6"/>
      <c r="AFB277" s="6"/>
      <c r="AFC277" s="6"/>
      <c r="AFD277" s="6"/>
      <c r="AFE277" s="6"/>
      <c r="AFF277" s="6"/>
      <c r="AFG277" s="6"/>
      <c r="AFH277" s="6"/>
      <c r="AFI277" s="6"/>
      <c r="AFJ277" s="6"/>
      <c r="AFK277" s="6"/>
      <c r="AFL277" s="6"/>
      <c r="AFM277" s="6"/>
      <c r="AFN277" s="6"/>
      <c r="AFO277" s="6"/>
      <c r="AFP277" s="6"/>
      <c r="AFQ277" s="6"/>
      <c r="AFR277" s="6"/>
      <c r="AFS277" s="6"/>
      <c r="AFT277" s="6"/>
      <c r="AFU277" s="6"/>
      <c r="AFV277" s="6"/>
      <c r="AFW277" s="6"/>
      <c r="AFX277" s="6"/>
      <c r="AFY277" s="6"/>
      <c r="AFZ277" s="6"/>
      <c r="AGA277" s="6"/>
      <c r="AGB277" s="6"/>
      <c r="AGC277" s="6"/>
      <c r="AGD277" s="6"/>
      <c r="AGE277" s="6"/>
      <c r="AGF277" s="6"/>
      <c r="AGG277" s="6"/>
      <c r="AGH277" s="6"/>
      <c r="AGI277" s="6"/>
      <c r="AGJ277" s="6"/>
      <c r="AGK277" s="6"/>
      <c r="AGL277" s="6"/>
      <c r="AGM277" s="6"/>
      <c r="AGN277" s="6"/>
      <c r="AGO277" s="6"/>
      <c r="AGP277" s="6"/>
      <c r="AGQ277" s="6"/>
      <c r="AGR277" s="6"/>
      <c r="AGS277" s="6"/>
      <c r="AGT277" s="6"/>
      <c r="AGU277" s="6"/>
      <c r="AGV277" s="6"/>
      <c r="AGW277" s="6"/>
      <c r="AGX277" s="6"/>
      <c r="AGY277" s="6"/>
      <c r="AGZ277" s="6"/>
      <c r="AHA277" s="6"/>
      <c r="AHB277" s="6"/>
      <c r="AHC277" s="6"/>
      <c r="AHD277" s="6"/>
      <c r="AHE277" s="6"/>
      <c r="AHF277" s="6"/>
      <c r="AHG277" s="6"/>
      <c r="AHH277" s="6"/>
      <c r="AHI277" s="6"/>
      <c r="AHJ277" s="6"/>
      <c r="AHK277" s="6"/>
      <c r="AHL277" s="6"/>
      <c r="AHM277" s="6"/>
      <c r="AHN277" s="6"/>
      <c r="AHO277" s="6"/>
      <c r="AHP277" s="6"/>
      <c r="AHQ277" s="6"/>
      <c r="AHR277" s="6"/>
      <c r="AHS277" s="6"/>
      <c r="AHT277" s="6"/>
      <c r="AHU277" s="6"/>
      <c r="AHV277" s="6"/>
      <c r="AHW277" s="6"/>
      <c r="AHX277" s="6"/>
      <c r="AHY277" s="6"/>
      <c r="AHZ277" s="6"/>
      <c r="AIA277" s="6"/>
      <c r="AIB277" s="6"/>
      <c r="AIC277" s="6"/>
      <c r="AID277" s="6"/>
      <c r="AIE277" s="6"/>
      <c r="AIF277" s="6"/>
      <c r="AIG277" s="6"/>
      <c r="AIH277" s="6"/>
      <c r="AII277" s="6"/>
      <c r="AIJ277" s="6"/>
      <c r="AIK277" s="6"/>
      <c r="AIL277" s="6"/>
      <c r="AIM277" s="6"/>
      <c r="AIN277" s="6"/>
      <c r="AIO277" s="6"/>
      <c r="AIP277" s="6"/>
      <c r="AIQ277" s="6"/>
      <c r="AIR277" s="6"/>
      <c r="AIS277" s="6"/>
      <c r="AIT277" s="6"/>
      <c r="AIU277" s="6"/>
      <c r="AIV277" s="6"/>
      <c r="AIW277" s="6"/>
      <c r="AIX277" s="6"/>
      <c r="AIY277" s="6"/>
      <c r="AIZ277" s="6"/>
      <c r="AJA277" s="6"/>
      <c r="AJB277" s="6"/>
      <c r="AJC277" s="6"/>
      <c r="AJD277" s="6"/>
      <c r="AJE277" s="6"/>
      <c r="AJF277" s="6"/>
      <c r="AJG277" s="6"/>
      <c r="AJH277" s="6"/>
      <c r="AJI277" s="6"/>
      <c r="AJJ277" s="6"/>
      <c r="AJK277" s="6"/>
      <c r="AJL277" s="6"/>
      <c r="AJM277" s="6"/>
      <c r="AJN277" s="6"/>
      <c r="AJO277" s="6"/>
      <c r="AJP277" s="6"/>
      <c r="AJQ277" s="6"/>
      <c r="AJR277" s="6"/>
      <c r="AJS277" s="6"/>
      <c r="AJT277" s="6"/>
      <c r="AJU277" s="6"/>
      <c r="AJV277" s="6"/>
      <c r="AJW277" s="6"/>
      <c r="AJX277" s="6"/>
      <c r="AJY277" s="6"/>
      <c r="AJZ277" s="6"/>
      <c r="AKA277" s="6"/>
      <c r="AKB277" s="6"/>
      <c r="AKC277" s="6"/>
      <c r="AKD277" s="6"/>
      <c r="AKE277" s="6"/>
      <c r="AKF277" s="6"/>
      <c r="AKG277" s="6"/>
      <c r="AKH277" s="6"/>
      <c r="AKI277" s="6"/>
      <c r="AKJ277" s="6"/>
      <c r="AKK277" s="6"/>
      <c r="AKL277" s="6"/>
      <c r="AKM277" s="6"/>
      <c r="AKN277" s="6"/>
      <c r="AKO277" s="6"/>
      <c r="AKP277" s="6"/>
      <c r="AKQ277" s="6"/>
      <c r="AKR277" s="6"/>
      <c r="AKS277" s="6"/>
      <c r="AKT277" s="6"/>
      <c r="AKU277" s="6"/>
      <c r="AKV277" s="6"/>
      <c r="AKW277" s="6"/>
      <c r="AKX277" s="6"/>
      <c r="AKY277" s="6"/>
      <c r="AKZ277" s="6"/>
      <c r="ALA277" s="6"/>
      <c r="ALB277" s="6"/>
      <c r="ALC277" s="6"/>
      <c r="ALD277" s="6"/>
      <c r="ALE277" s="6"/>
      <c r="ALF277" s="6"/>
      <c r="ALG277" s="6"/>
      <c r="ALH277" s="6"/>
      <c r="ALI277" s="6"/>
      <c r="ALJ277" s="6"/>
      <c r="ALK277" s="6"/>
      <c r="ALL277" s="6"/>
      <c r="ALM277" s="6"/>
      <c r="ALN277" s="6"/>
      <c r="ALO277" s="6"/>
      <c r="ALP277" s="6"/>
      <c r="ALQ277" s="6"/>
      <c r="ALR277" s="6"/>
      <c r="ALS277" s="6"/>
      <c r="ALT277" s="6"/>
      <c r="ALU277" s="6"/>
      <c r="ALV277" s="6"/>
      <c r="ALW277" s="6"/>
      <c r="ALX277" s="6"/>
      <c r="ALY277" s="6"/>
      <c r="ALZ277" s="6"/>
      <c r="AMA277" s="6"/>
      <c r="AMB277" s="6"/>
      <c r="AMC277" s="6"/>
      <c r="AMD277" s="6"/>
      <c r="AME277" s="6"/>
      <c r="AMF277" s="6"/>
      <c r="AMG277" s="6"/>
      <c r="AMH277" s="6"/>
      <c r="AMI277" s="6"/>
      <c r="AMJ277" s="6"/>
      <c r="AMK277" s="6"/>
      <c r="AML277" s="6"/>
      <c r="AMM277" s="6"/>
      <c r="AMN277" s="6"/>
      <c r="AMO277" s="6"/>
      <c r="AMP277" s="6"/>
    </row>
    <row r="278" spans="1:1030" x14ac:dyDescent="0.2">
      <c r="A278" s="9" t="str">
        <f t="shared" si="1034"/>
        <v>q80km9_hcmv_5WB1</v>
      </c>
      <c r="B278" s="40" t="s">
        <v>1524</v>
      </c>
      <c r="C278" s="9" t="s">
        <v>1526</v>
      </c>
      <c r="D278" s="9" t="str">
        <f>IFERROR(MID(VLOOKUP($B278,Seqs!$A:$B,2,0),E278,1),"")</f>
        <v>F</v>
      </c>
      <c r="E278" s="9">
        <v>25</v>
      </c>
      <c r="F278" s="9" t="str">
        <f>IFERROR(MID(VLOOKUP($B278,Seqs!$A:$B,2,0),G278,1),"")</f>
        <v>W</v>
      </c>
      <c r="G278" s="9">
        <v>60</v>
      </c>
      <c r="H278" s="9" t="str">
        <f>IFERROR(MID(VLOOKUP($B278,Seqs!$A:$B,2,0),I278,1),"")</f>
        <v/>
      </c>
      <c r="I278" s="109" t="s">
        <v>23</v>
      </c>
      <c r="J278" s="9" t="str">
        <f>IFERROR(MID(VLOOKUP($B278,Seqs!$A:$B,2,0),K278,1),"")</f>
        <v/>
      </c>
      <c r="K278" s="109" t="s">
        <v>23</v>
      </c>
      <c r="L278" s="9" t="str">
        <f>IFERROR(MID(VLOOKUP($B278,Seqs!$A:$B,2,0),M278,1),"")</f>
        <v>C</v>
      </c>
      <c r="M278" s="9">
        <v>66</v>
      </c>
      <c r="N278" s="9" t="str">
        <f>IFERROR(MID(VLOOKUP($B278,Seqs!$A:$B,2,0),O278,1),"")</f>
        <v>D</v>
      </c>
      <c r="O278" s="9">
        <v>95</v>
      </c>
      <c r="P278" s="9" t="str">
        <f>IFERROR(MID(VLOOKUP($B278,Seqs!$A:$B,2,0),Q278,1),"")</f>
        <v/>
      </c>
      <c r="Q278" s="9" t="s">
        <v>23</v>
      </c>
      <c r="R278" s="9" t="str">
        <f>IFERROR(MID(VLOOKUP($B278,Seqs!$A:$B,2,0),S278,1),"")</f>
        <v/>
      </c>
      <c r="S278" s="9" t="s">
        <v>23</v>
      </c>
      <c r="T278" s="9" t="str">
        <f>IFERROR(MID(VLOOKUP($B278,Seqs!$A:$B,2,0),U278,1),"")</f>
        <v>A</v>
      </c>
      <c r="U278" s="9">
        <v>100</v>
      </c>
      <c r="V278" s="9" t="str">
        <f>IFERROR(MID(VLOOKUP($B278,Seqs!$A:$B,2,0),W278,1),"")</f>
        <v>V</v>
      </c>
      <c r="W278" s="9">
        <v>134</v>
      </c>
      <c r="X278" s="9" t="str">
        <f>IFERROR(MID(VLOOKUP($B278,Seqs!$A:$B,2,0),Y278,1),"")</f>
        <v/>
      </c>
      <c r="Y278" s="9" t="s">
        <v>23</v>
      </c>
      <c r="Z278" s="9" t="str">
        <f>IFERROR(MID(VLOOKUP($B278,Seqs!$A:$B,2,0),AA278,1),"")</f>
        <v/>
      </c>
      <c r="AA278" s="9" t="s">
        <v>23</v>
      </c>
      <c r="AB278" s="9" t="str">
        <f>IFERROR(MID(VLOOKUP($B278,Seqs!$A:$B,2,0),AC278,1),"")</f>
        <v>P</v>
      </c>
      <c r="AC278" s="9">
        <v>140</v>
      </c>
      <c r="AD278" s="9" t="str">
        <f>IFERROR(MID(VLOOKUP($B278,Seqs!$A:$B,2,0),AE278,1),"")</f>
        <v>M</v>
      </c>
      <c r="AE278" s="9">
        <v>164</v>
      </c>
      <c r="AF278" s="9" t="str">
        <f>IFERROR(MID(VLOOKUP($B278,Seqs!$A:$B,2,0),AG278,1),"")</f>
        <v>C</v>
      </c>
      <c r="AG278" s="9">
        <v>173</v>
      </c>
      <c r="AH278" s="9" t="str">
        <f>IFERROR(MID(VLOOKUP($B278,Seqs!$A:$B,2,0),AI278,1),"")</f>
        <v>T</v>
      </c>
      <c r="AI278" s="9">
        <v>175</v>
      </c>
      <c r="AJ278" s="9" t="str">
        <f>IFERROR(MID(VLOOKUP($B278,Seqs!$A:$B,2,0),AK278,1),"")</f>
        <v>S</v>
      </c>
      <c r="AK278" s="9">
        <v>183</v>
      </c>
      <c r="AL278" s="9" t="str">
        <f>IFERROR(MID(VLOOKUP($B278,Seqs!$A:$B,2,0),AM278,1),"")</f>
        <v>S</v>
      </c>
      <c r="AM278" s="9">
        <v>218</v>
      </c>
      <c r="AN278" s="9" t="str">
        <f>IFERROR(MID(VLOOKUP($B278,Seqs!$A:$B,2,0),AO278,1),"")</f>
        <v>H</v>
      </c>
      <c r="AO278" s="9">
        <v>222</v>
      </c>
      <c r="AP278" s="9" t="str">
        <f>IFERROR(MID(VLOOKUP($B278,Seqs!$A:$B,2,0),AQ278,1),"")</f>
        <v>K</v>
      </c>
      <c r="AQ278" s="9">
        <v>257</v>
      </c>
      <c r="AR278" s="9" t="str">
        <f>IFERROR(MID(VLOOKUP($B278,Seqs!$A:$B,2,0),AS278,1),"")</f>
        <v>S</v>
      </c>
      <c r="AS278" s="9">
        <v>262</v>
      </c>
      <c r="AT278" s="9" t="str">
        <f>IFERROR(MID(VLOOKUP($B278,Seqs!$A:$B,2,0),AU278,1),"")</f>
        <v>V</v>
      </c>
      <c r="AU278" s="9">
        <v>294</v>
      </c>
      <c r="AV278" s="9" t="str">
        <f>IFERROR(MID(VLOOKUP($B278,Seqs!$A:$B,2,0),AW278,1),"")</f>
        <v>G</v>
      </c>
      <c r="AW278" s="9">
        <v>295</v>
      </c>
      <c r="AX278" s="9" t="str">
        <f>IFERROR(MID(VLOOKUP($B278,Seqs!$A:$B,2,0),AY278,1),"")</f>
        <v>R</v>
      </c>
      <c r="AY278" s="9">
        <v>310</v>
      </c>
      <c r="AZ278" s="110" t="str">
        <f>VLOOKUP(B278,Classification!A:D,2,0)</f>
        <v>A</v>
      </c>
      <c r="BA278" s="98" t="str">
        <f>VLOOKUP(B278,Classification!A:D,4,0)</f>
        <v>Chemokine</v>
      </c>
      <c r="BB278" s="36" t="b">
        <f t="shared" si="1007"/>
        <v>1</v>
      </c>
      <c r="BC278" s="109">
        <f t="shared" si="1008"/>
        <v>253</v>
      </c>
      <c r="BD278" s="11" t="s">
        <v>1382</v>
      </c>
      <c r="BE278" s="9" t="s">
        <v>1297</v>
      </c>
      <c r="BF278" s="120">
        <v>3.51</v>
      </c>
      <c r="BG278" s="51" t="s">
        <v>1</v>
      </c>
      <c r="BH278" s="51" t="s">
        <v>1</v>
      </c>
      <c r="BI278" s="12"/>
      <c r="BJ278" s="111" t="s">
        <v>1293</v>
      </c>
      <c r="BK278" s="112" t="s">
        <v>1293</v>
      </c>
      <c r="BL278" s="112" t="s">
        <v>1293</v>
      </c>
      <c r="BM278" s="112" t="s">
        <v>1293</v>
      </c>
      <c r="BN278" s="112" t="s">
        <v>1293</v>
      </c>
      <c r="BO278" s="112" t="s">
        <v>1293</v>
      </c>
      <c r="BP278" s="112" t="s">
        <v>1293</v>
      </c>
      <c r="BQ278" s="112" t="s">
        <v>1293</v>
      </c>
      <c r="BR278" s="112" t="s">
        <v>1293</v>
      </c>
      <c r="BS278" s="112" t="s">
        <v>1293</v>
      </c>
      <c r="BT278" s="112" t="s">
        <v>1293</v>
      </c>
      <c r="BU278" s="112" t="s">
        <v>1293</v>
      </c>
      <c r="BV278" s="111">
        <f t="shared" si="1009"/>
        <v>25</v>
      </c>
      <c r="BW278" s="113" t="str">
        <f t="shared" si="1010"/>
        <v>-</v>
      </c>
      <c r="BX278" s="114">
        <f t="shared" si="1011"/>
        <v>66</v>
      </c>
      <c r="BY278" s="113" t="str">
        <f t="shared" si="1012"/>
        <v>-</v>
      </c>
      <c r="BZ278" s="114">
        <f t="shared" si="1013"/>
        <v>100</v>
      </c>
      <c r="CA278" s="113" t="str">
        <f t="shared" si="1014"/>
        <v>-</v>
      </c>
      <c r="CB278" s="114">
        <f t="shared" si="1015"/>
        <v>140</v>
      </c>
      <c r="CC278" s="113">
        <f t="shared" si="1016"/>
        <v>173</v>
      </c>
      <c r="CD278" s="114">
        <f t="shared" si="1017"/>
        <v>183</v>
      </c>
      <c r="CE278" s="113">
        <f t="shared" si="1018"/>
        <v>222</v>
      </c>
      <c r="CF278" s="114">
        <f t="shared" si="1019"/>
        <v>262</v>
      </c>
      <c r="CG278" s="113">
        <f t="shared" si="1020"/>
        <v>295</v>
      </c>
      <c r="CH278" s="111">
        <f t="shared" si="1021"/>
        <v>60</v>
      </c>
      <c r="CI278" s="113" t="str">
        <f t="shared" si="1022"/>
        <v>-</v>
      </c>
      <c r="CJ278" s="114">
        <f t="shared" si="1023"/>
        <v>95</v>
      </c>
      <c r="CK278" s="114" t="str">
        <f t="shared" si="1024"/>
        <v>-</v>
      </c>
      <c r="CL278" s="114">
        <f t="shared" si="1025"/>
        <v>134</v>
      </c>
      <c r="CM278" s="114" t="str">
        <f t="shared" si="1026"/>
        <v>-</v>
      </c>
      <c r="CN278" s="114">
        <f t="shared" si="1027"/>
        <v>164</v>
      </c>
      <c r="CO278" s="114">
        <f t="shared" si="1028"/>
        <v>175</v>
      </c>
      <c r="CP278" s="114">
        <f t="shared" si="1029"/>
        <v>218</v>
      </c>
      <c r="CQ278" s="114">
        <f t="shared" si="1030"/>
        <v>257</v>
      </c>
      <c r="CR278" s="114">
        <f t="shared" si="1031"/>
        <v>294</v>
      </c>
      <c r="CS278" s="114">
        <f t="shared" si="1032"/>
        <v>310</v>
      </c>
      <c r="CT278" s="109" t="e">
        <f t="shared" si="1033"/>
        <v>#VALUE!</v>
      </c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6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  <c r="ND278" s="6"/>
      <c r="NE278" s="6"/>
      <c r="NF278" s="6"/>
      <c r="NG278" s="6"/>
      <c r="NH278" s="6"/>
      <c r="NI278" s="6"/>
      <c r="NJ278" s="6"/>
      <c r="NK278" s="6"/>
      <c r="NL278" s="6"/>
      <c r="NM278" s="6"/>
      <c r="NN278" s="6"/>
      <c r="NO278" s="6"/>
      <c r="NP278" s="6"/>
      <c r="NQ278" s="6"/>
      <c r="NR278" s="6"/>
      <c r="NS278" s="6"/>
      <c r="NT278" s="6"/>
      <c r="NU278" s="6"/>
      <c r="NV278" s="6"/>
      <c r="NW278" s="6"/>
      <c r="NX278" s="6"/>
      <c r="NY278" s="6"/>
      <c r="NZ278" s="6"/>
      <c r="OA278" s="6"/>
      <c r="OB278" s="6"/>
      <c r="OC278" s="6"/>
      <c r="OD278" s="6"/>
      <c r="OE278" s="6"/>
      <c r="OF278" s="6"/>
      <c r="OG278" s="6"/>
      <c r="OH278" s="6"/>
      <c r="OI278" s="6"/>
      <c r="OJ278" s="6"/>
      <c r="OK278" s="6"/>
      <c r="OL278" s="6"/>
      <c r="OM278" s="6"/>
      <c r="ON278" s="6"/>
      <c r="OO278" s="6"/>
      <c r="OP278" s="6"/>
      <c r="OQ278" s="6"/>
      <c r="OR278" s="6"/>
      <c r="OS278" s="6"/>
      <c r="OT278" s="6"/>
      <c r="OU278" s="6"/>
      <c r="OV278" s="6"/>
      <c r="OW278" s="6"/>
      <c r="OX278" s="6"/>
      <c r="OY278" s="6"/>
      <c r="OZ278" s="6"/>
      <c r="PA278" s="6"/>
      <c r="PB278" s="6"/>
      <c r="PC278" s="6"/>
      <c r="PD278" s="6"/>
      <c r="PE278" s="6"/>
      <c r="PF278" s="6"/>
      <c r="PG278" s="6"/>
      <c r="PH278" s="6"/>
      <c r="PI278" s="6"/>
      <c r="PJ278" s="6"/>
      <c r="PK278" s="6"/>
      <c r="PL278" s="6"/>
      <c r="PM278" s="6"/>
      <c r="PN278" s="6"/>
      <c r="PO278" s="6"/>
      <c r="PP278" s="6"/>
      <c r="PQ278" s="6"/>
      <c r="PR278" s="6"/>
      <c r="PS278" s="6"/>
      <c r="PT278" s="6"/>
      <c r="PU278" s="6"/>
      <c r="PV278" s="6"/>
      <c r="PW278" s="6"/>
      <c r="PX278" s="6"/>
      <c r="PY278" s="6"/>
      <c r="PZ278" s="6"/>
      <c r="QA278" s="6"/>
      <c r="QB278" s="6"/>
      <c r="QC278" s="6"/>
      <c r="QD278" s="6"/>
      <c r="QE278" s="6"/>
      <c r="QF278" s="6"/>
      <c r="QG278" s="6"/>
      <c r="QH278" s="6"/>
      <c r="QI278" s="6"/>
      <c r="QJ278" s="6"/>
      <c r="QK278" s="6"/>
      <c r="QL278" s="6"/>
      <c r="QM278" s="6"/>
      <c r="QN278" s="6"/>
      <c r="QO278" s="6"/>
      <c r="QP278" s="6"/>
      <c r="QQ278" s="6"/>
      <c r="QR278" s="6"/>
      <c r="QS278" s="6"/>
      <c r="QT278" s="6"/>
      <c r="QU278" s="6"/>
      <c r="QV278" s="6"/>
      <c r="QW278" s="6"/>
      <c r="QX278" s="6"/>
      <c r="QY278" s="6"/>
      <c r="QZ278" s="6"/>
      <c r="RA278" s="6"/>
      <c r="RB278" s="6"/>
      <c r="RC278" s="6"/>
      <c r="RD278" s="6"/>
      <c r="RE278" s="6"/>
      <c r="RF278" s="6"/>
      <c r="RG278" s="6"/>
      <c r="RH278" s="6"/>
      <c r="RI278" s="6"/>
      <c r="RJ278" s="6"/>
      <c r="RK278" s="6"/>
      <c r="RL278" s="6"/>
      <c r="RM278" s="6"/>
      <c r="RN278" s="6"/>
      <c r="RO278" s="6"/>
      <c r="RP278" s="6"/>
      <c r="RQ278" s="6"/>
      <c r="RR278" s="6"/>
      <c r="RS278" s="6"/>
      <c r="RT278" s="6"/>
      <c r="RU278" s="6"/>
      <c r="RV278" s="6"/>
      <c r="RW278" s="6"/>
      <c r="RX278" s="6"/>
      <c r="RY278" s="6"/>
      <c r="RZ278" s="6"/>
      <c r="SA278" s="6"/>
      <c r="SB278" s="6"/>
      <c r="SC278" s="6"/>
      <c r="SD278" s="6"/>
      <c r="SE278" s="6"/>
      <c r="SF278" s="6"/>
      <c r="SG278" s="6"/>
      <c r="SH278" s="6"/>
      <c r="SI278" s="6"/>
      <c r="SJ278" s="6"/>
      <c r="SK278" s="6"/>
      <c r="SL278" s="6"/>
      <c r="SM278" s="6"/>
      <c r="SN278" s="6"/>
      <c r="SO278" s="6"/>
      <c r="SP278" s="6"/>
      <c r="SQ278" s="6"/>
      <c r="SR278" s="6"/>
      <c r="SS278" s="6"/>
      <c r="ST278" s="6"/>
      <c r="SU278" s="6"/>
      <c r="SV278" s="6"/>
      <c r="SW278" s="6"/>
      <c r="SX278" s="6"/>
      <c r="SY278" s="6"/>
      <c r="SZ278" s="6"/>
      <c r="TA278" s="6"/>
      <c r="TB278" s="6"/>
      <c r="TC278" s="6"/>
      <c r="TD278" s="6"/>
      <c r="TE278" s="6"/>
      <c r="TF278" s="6"/>
      <c r="TG278" s="6"/>
      <c r="TH278" s="6"/>
      <c r="TI278" s="6"/>
      <c r="TJ278" s="6"/>
      <c r="TK278" s="6"/>
      <c r="TL278" s="6"/>
      <c r="TM278" s="6"/>
      <c r="TN278" s="6"/>
      <c r="TO278" s="6"/>
      <c r="TP278" s="6"/>
      <c r="TQ278" s="6"/>
      <c r="TR278" s="6"/>
      <c r="TS278" s="6"/>
      <c r="TT278" s="6"/>
      <c r="TU278" s="6"/>
      <c r="TV278" s="6"/>
      <c r="TW278" s="6"/>
      <c r="TX278" s="6"/>
      <c r="TY278" s="6"/>
      <c r="TZ278" s="6"/>
      <c r="UA278" s="6"/>
      <c r="UB278" s="6"/>
      <c r="UC278" s="6"/>
      <c r="UD278" s="6"/>
      <c r="UE278" s="6"/>
      <c r="UF278" s="6"/>
      <c r="UG278" s="6"/>
      <c r="UH278" s="6"/>
      <c r="UI278" s="6"/>
      <c r="UJ278" s="6"/>
      <c r="UK278" s="6"/>
      <c r="UL278" s="6"/>
      <c r="UM278" s="6"/>
      <c r="UN278" s="6"/>
      <c r="UO278" s="6"/>
      <c r="UP278" s="6"/>
      <c r="UQ278" s="6"/>
      <c r="UR278" s="6"/>
      <c r="US278" s="6"/>
      <c r="UT278" s="6"/>
      <c r="UU278" s="6"/>
      <c r="UV278" s="6"/>
      <c r="UW278" s="6"/>
      <c r="UX278" s="6"/>
      <c r="UY278" s="6"/>
      <c r="UZ278" s="6"/>
      <c r="VA278" s="6"/>
      <c r="VB278" s="6"/>
      <c r="VC278" s="6"/>
      <c r="VD278" s="6"/>
      <c r="VE278" s="6"/>
      <c r="VF278" s="6"/>
      <c r="VG278" s="6"/>
      <c r="VH278" s="6"/>
      <c r="VI278" s="6"/>
      <c r="VJ278" s="6"/>
      <c r="VK278" s="6"/>
      <c r="VL278" s="6"/>
      <c r="VM278" s="6"/>
      <c r="VN278" s="6"/>
      <c r="VO278" s="6"/>
      <c r="VP278" s="6"/>
      <c r="VQ278" s="6"/>
      <c r="VR278" s="6"/>
      <c r="VS278" s="6"/>
      <c r="VT278" s="6"/>
      <c r="VU278" s="6"/>
      <c r="VV278" s="6"/>
      <c r="VW278" s="6"/>
      <c r="VX278" s="6"/>
      <c r="VY278" s="6"/>
      <c r="VZ278" s="6"/>
      <c r="WA278" s="6"/>
      <c r="WB278" s="6"/>
      <c r="WC278" s="6"/>
      <c r="WD278" s="6"/>
      <c r="WE278" s="6"/>
      <c r="WF278" s="6"/>
      <c r="WG278" s="6"/>
      <c r="WH278" s="6"/>
      <c r="WI278" s="6"/>
      <c r="WJ278" s="6"/>
      <c r="WK278" s="6"/>
      <c r="WL278" s="6"/>
      <c r="WM278" s="6"/>
      <c r="WN278" s="6"/>
      <c r="WO278" s="6"/>
      <c r="WP278" s="6"/>
      <c r="WQ278" s="6"/>
      <c r="WR278" s="6"/>
      <c r="WS278" s="6"/>
      <c r="WT278" s="6"/>
      <c r="WU278" s="6"/>
      <c r="WV278" s="6"/>
      <c r="WW278" s="6"/>
      <c r="WX278" s="6"/>
      <c r="WY278" s="6"/>
      <c r="WZ278" s="6"/>
      <c r="XA278" s="6"/>
      <c r="XB278" s="6"/>
      <c r="XC278" s="6"/>
      <c r="XD278" s="6"/>
      <c r="XE278" s="6"/>
      <c r="XF278" s="6"/>
      <c r="XG278" s="6"/>
      <c r="XH278" s="6"/>
      <c r="XI278" s="6"/>
      <c r="XJ278" s="6"/>
      <c r="XK278" s="6"/>
      <c r="XL278" s="6"/>
      <c r="XM278" s="6"/>
      <c r="XN278" s="6"/>
      <c r="XO278" s="6"/>
      <c r="XP278" s="6"/>
      <c r="XQ278" s="6"/>
      <c r="XR278" s="6"/>
      <c r="XS278" s="6"/>
      <c r="XT278" s="6"/>
      <c r="XU278" s="6"/>
      <c r="XV278" s="6"/>
      <c r="XW278" s="6"/>
      <c r="XX278" s="6"/>
      <c r="XY278" s="6"/>
      <c r="XZ278" s="6"/>
      <c r="YA278" s="6"/>
      <c r="YB278" s="6"/>
      <c r="YC278" s="6"/>
      <c r="YD278" s="6"/>
      <c r="YE278" s="6"/>
      <c r="YF278" s="6"/>
      <c r="YG278" s="6"/>
      <c r="YH278" s="6"/>
      <c r="YI278" s="6"/>
      <c r="YJ278" s="6"/>
      <c r="YK278" s="6"/>
      <c r="YL278" s="6"/>
      <c r="YM278" s="6"/>
      <c r="YN278" s="6"/>
      <c r="YO278" s="6"/>
      <c r="YP278" s="6"/>
      <c r="YQ278" s="6"/>
      <c r="YR278" s="6"/>
      <c r="YS278" s="6"/>
      <c r="YT278" s="6"/>
      <c r="YU278" s="6"/>
      <c r="YV278" s="6"/>
      <c r="YW278" s="6"/>
      <c r="YX278" s="6"/>
      <c r="YY278" s="6"/>
      <c r="YZ278" s="6"/>
      <c r="ZA278" s="6"/>
      <c r="ZB278" s="6"/>
      <c r="ZC278" s="6"/>
      <c r="ZD278" s="6"/>
      <c r="ZE278" s="6"/>
      <c r="ZF278" s="6"/>
      <c r="ZG278" s="6"/>
      <c r="ZH278" s="6"/>
      <c r="ZI278" s="6"/>
      <c r="ZJ278" s="6"/>
      <c r="ZK278" s="6"/>
      <c r="ZL278" s="6"/>
      <c r="ZM278" s="6"/>
      <c r="ZN278" s="6"/>
      <c r="ZO278" s="6"/>
      <c r="ZP278" s="6"/>
      <c r="ZQ278" s="6"/>
      <c r="ZR278" s="6"/>
      <c r="ZS278" s="6"/>
      <c r="ZT278" s="6"/>
      <c r="ZU278" s="6"/>
      <c r="ZV278" s="6"/>
      <c r="ZW278" s="6"/>
      <c r="ZX278" s="6"/>
      <c r="ZY278" s="6"/>
      <c r="ZZ278" s="6"/>
      <c r="AAA278" s="6"/>
      <c r="AAB278" s="6"/>
      <c r="AAC278" s="6"/>
      <c r="AAD278" s="6"/>
      <c r="AAE278" s="6"/>
      <c r="AAF278" s="6"/>
      <c r="AAG278" s="6"/>
      <c r="AAH278" s="6"/>
      <c r="AAI278" s="6"/>
      <c r="AAJ278" s="6"/>
      <c r="AAK278" s="6"/>
      <c r="AAL278" s="6"/>
      <c r="AAM278" s="6"/>
      <c r="AAN278" s="6"/>
      <c r="AAO278" s="6"/>
      <c r="AAP278" s="6"/>
      <c r="AAQ278" s="6"/>
      <c r="AAR278" s="6"/>
      <c r="AAS278" s="6"/>
      <c r="AAT278" s="6"/>
      <c r="AAU278" s="6"/>
      <c r="AAV278" s="6"/>
      <c r="AAW278" s="6"/>
      <c r="AAX278" s="6"/>
      <c r="AAY278" s="6"/>
      <c r="AAZ278" s="6"/>
      <c r="ABA278" s="6"/>
      <c r="ABB278" s="6"/>
      <c r="ABC278" s="6"/>
      <c r="ABD278" s="6"/>
      <c r="ABE278" s="6"/>
      <c r="ABF278" s="6"/>
      <c r="ABG278" s="6"/>
      <c r="ABH278" s="6"/>
      <c r="ABI278" s="6"/>
      <c r="ABJ278" s="6"/>
      <c r="ABK278" s="6"/>
      <c r="ABL278" s="6"/>
      <c r="ABM278" s="6"/>
      <c r="ABN278" s="6"/>
      <c r="ABO278" s="6"/>
      <c r="ABP278" s="6"/>
      <c r="ABQ278" s="6"/>
      <c r="ABR278" s="6"/>
      <c r="ABS278" s="6"/>
      <c r="ABT278" s="6"/>
      <c r="ABU278" s="6"/>
      <c r="ABV278" s="6"/>
      <c r="ABW278" s="6"/>
      <c r="ABX278" s="6"/>
      <c r="ABY278" s="6"/>
      <c r="ABZ278" s="6"/>
      <c r="ACA278" s="6"/>
      <c r="ACB278" s="6"/>
      <c r="ACC278" s="6"/>
      <c r="ACD278" s="6"/>
      <c r="ACE278" s="6"/>
      <c r="ACF278" s="6"/>
      <c r="ACG278" s="6"/>
      <c r="ACH278" s="6"/>
      <c r="ACI278" s="6"/>
      <c r="ACJ278" s="6"/>
      <c r="ACK278" s="6"/>
      <c r="ACL278" s="6"/>
      <c r="ACM278" s="6"/>
      <c r="ACN278" s="6"/>
      <c r="ACO278" s="6"/>
      <c r="ACP278" s="6"/>
      <c r="ACQ278" s="6"/>
      <c r="ACR278" s="6"/>
      <c r="ACS278" s="6"/>
      <c r="ACT278" s="6"/>
      <c r="ACU278" s="6"/>
      <c r="ACV278" s="6"/>
      <c r="ACW278" s="6"/>
      <c r="ACX278" s="6"/>
      <c r="ACY278" s="6"/>
      <c r="ACZ278" s="6"/>
      <c r="ADA278" s="6"/>
      <c r="ADB278" s="6"/>
      <c r="ADC278" s="6"/>
      <c r="ADD278" s="6"/>
      <c r="ADE278" s="6"/>
      <c r="ADF278" s="6"/>
      <c r="ADG278" s="6"/>
      <c r="ADH278" s="6"/>
      <c r="ADI278" s="6"/>
      <c r="ADJ278" s="6"/>
      <c r="ADK278" s="6"/>
      <c r="ADL278" s="6"/>
      <c r="ADM278" s="6"/>
      <c r="ADN278" s="6"/>
      <c r="ADO278" s="6"/>
      <c r="ADP278" s="6"/>
      <c r="ADQ278" s="6"/>
      <c r="ADR278" s="6"/>
      <c r="ADS278" s="6"/>
      <c r="ADT278" s="6"/>
      <c r="ADU278" s="6"/>
      <c r="ADV278" s="6"/>
      <c r="ADW278" s="6"/>
      <c r="ADX278" s="6"/>
      <c r="ADY278" s="6"/>
      <c r="ADZ278" s="6"/>
      <c r="AEA278" s="6"/>
      <c r="AEB278" s="6"/>
      <c r="AEC278" s="6"/>
      <c r="AED278" s="6"/>
      <c r="AEE278" s="6"/>
      <c r="AEF278" s="6"/>
      <c r="AEG278" s="6"/>
      <c r="AEH278" s="6"/>
      <c r="AEI278" s="6"/>
      <c r="AEJ278" s="6"/>
      <c r="AEK278" s="6"/>
      <c r="AEL278" s="6"/>
      <c r="AEM278" s="6"/>
      <c r="AEN278" s="6"/>
      <c r="AEO278" s="6"/>
      <c r="AEP278" s="6"/>
      <c r="AEQ278" s="6"/>
      <c r="AER278" s="6"/>
      <c r="AES278" s="6"/>
      <c r="AET278" s="6"/>
      <c r="AEU278" s="6"/>
      <c r="AEV278" s="6"/>
      <c r="AEW278" s="6"/>
      <c r="AEX278" s="6"/>
      <c r="AEY278" s="6"/>
      <c r="AEZ278" s="6"/>
      <c r="AFA278" s="6"/>
      <c r="AFB278" s="6"/>
      <c r="AFC278" s="6"/>
      <c r="AFD278" s="6"/>
      <c r="AFE278" s="6"/>
      <c r="AFF278" s="6"/>
      <c r="AFG278" s="6"/>
      <c r="AFH278" s="6"/>
      <c r="AFI278" s="6"/>
      <c r="AFJ278" s="6"/>
      <c r="AFK278" s="6"/>
      <c r="AFL278" s="6"/>
      <c r="AFM278" s="6"/>
      <c r="AFN278" s="6"/>
      <c r="AFO278" s="6"/>
      <c r="AFP278" s="6"/>
      <c r="AFQ278" s="6"/>
      <c r="AFR278" s="6"/>
      <c r="AFS278" s="6"/>
      <c r="AFT278" s="6"/>
      <c r="AFU278" s="6"/>
      <c r="AFV278" s="6"/>
      <c r="AFW278" s="6"/>
      <c r="AFX278" s="6"/>
      <c r="AFY278" s="6"/>
      <c r="AFZ278" s="6"/>
      <c r="AGA278" s="6"/>
      <c r="AGB278" s="6"/>
      <c r="AGC278" s="6"/>
      <c r="AGD278" s="6"/>
      <c r="AGE278" s="6"/>
      <c r="AGF278" s="6"/>
      <c r="AGG278" s="6"/>
      <c r="AGH278" s="6"/>
      <c r="AGI278" s="6"/>
      <c r="AGJ278" s="6"/>
      <c r="AGK278" s="6"/>
      <c r="AGL278" s="6"/>
      <c r="AGM278" s="6"/>
      <c r="AGN278" s="6"/>
      <c r="AGO278" s="6"/>
      <c r="AGP278" s="6"/>
      <c r="AGQ278" s="6"/>
      <c r="AGR278" s="6"/>
      <c r="AGS278" s="6"/>
      <c r="AGT278" s="6"/>
      <c r="AGU278" s="6"/>
      <c r="AGV278" s="6"/>
      <c r="AGW278" s="6"/>
      <c r="AGX278" s="6"/>
      <c r="AGY278" s="6"/>
      <c r="AGZ278" s="6"/>
      <c r="AHA278" s="6"/>
      <c r="AHB278" s="6"/>
      <c r="AHC278" s="6"/>
      <c r="AHD278" s="6"/>
      <c r="AHE278" s="6"/>
      <c r="AHF278" s="6"/>
      <c r="AHG278" s="6"/>
      <c r="AHH278" s="6"/>
      <c r="AHI278" s="6"/>
      <c r="AHJ278" s="6"/>
      <c r="AHK278" s="6"/>
      <c r="AHL278" s="6"/>
      <c r="AHM278" s="6"/>
      <c r="AHN278" s="6"/>
      <c r="AHO278" s="6"/>
      <c r="AHP278" s="6"/>
      <c r="AHQ278" s="6"/>
      <c r="AHR278" s="6"/>
      <c r="AHS278" s="6"/>
      <c r="AHT278" s="6"/>
      <c r="AHU278" s="6"/>
      <c r="AHV278" s="6"/>
      <c r="AHW278" s="6"/>
      <c r="AHX278" s="6"/>
      <c r="AHY278" s="6"/>
      <c r="AHZ278" s="6"/>
      <c r="AIA278" s="6"/>
      <c r="AIB278" s="6"/>
      <c r="AIC278" s="6"/>
      <c r="AID278" s="6"/>
      <c r="AIE278" s="6"/>
      <c r="AIF278" s="6"/>
      <c r="AIG278" s="6"/>
      <c r="AIH278" s="6"/>
      <c r="AII278" s="6"/>
      <c r="AIJ278" s="6"/>
      <c r="AIK278" s="6"/>
      <c r="AIL278" s="6"/>
      <c r="AIM278" s="6"/>
      <c r="AIN278" s="6"/>
      <c r="AIO278" s="6"/>
      <c r="AIP278" s="6"/>
      <c r="AIQ278" s="6"/>
      <c r="AIR278" s="6"/>
      <c r="AIS278" s="6"/>
      <c r="AIT278" s="6"/>
      <c r="AIU278" s="6"/>
      <c r="AIV278" s="6"/>
      <c r="AIW278" s="6"/>
      <c r="AIX278" s="6"/>
      <c r="AIY278" s="6"/>
      <c r="AIZ278" s="6"/>
      <c r="AJA278" s="6"/>
      <c r="AJB278" s="6"/>
      <c r="AJC278" s="6"/>
      <c r="AJD278" s="6"/>
      <c r="AJE278" s="6"/>
      <c r="AJF278" s="6"/>
      <c r="AJG278" s="6"/>
      <c r="AJH278" s="6"/>
      <c r="AJI278" s="6"/>
      <c r="AJJ278" s="6"/>
      <c r="AJK278" s="6"/>
      <c r="AJL278" s="6"/>
      <c r="AJM278" s="6"/>
      <c r="AJN278" s="6"/>
      <c r="AJO278" s="6"/>
      <c r="AJP278" s="6"/>
      <c r="AJQ278" s="6"/>
      <c r="AJR278" s="6"/>
      <c r="AJS278" s="6"/>
      <c r="AJT278" s="6"/>
      <c r="AJU278" s="6"/>
      <c r="AJV278" s="6"/>
      <c r="AJW278" s="6"/>
      <c r="AJX278" s="6"/>
      <c r="AJY278" s="6"/>
      <c r="AJZ278" s="6"/>
      <c r="AKA278" s="6"/>
      <c r="AKB278" s="6"/>
      <c r="AKC278" s="6"/>
      <c r="AKD278" s="6"/>
      <c r="AKE278" s="6"/>
      <c r="AKF278" s="6"/>
      <c r="AKG278" s="6"/>
      <c r="AKH278" s="6"/>
      <c r="AKI278" s="6"/>
      <c r="AKJ278" s="6"/>
      <c r="AKK278" s="6"/>
      <c r="AKL278" s="6"/>
      <c r="AKM278" s="6"/>
      <c r="AKN278" s="6"/>
      <c r="AKO278" s="6"/>
      <c r="AKP278" s="6"/>
      <c r="AKQ278" s="6"/>
      <c r="AKR278" s="6"/>
      <c r="AKS278" s="6"/>
      <c r="AKT278" s="6"/>
      <c r="AKU278" s="6"/>
      <c r="AKV278" s="6"/>
      <c r="AKW278" s="6"/>
      <c r="AKX278" s="6"/>
      <c r="AKY278" s="6"/>
      <c r="AKZ278" s="6"/>
      <c r="ALA278" s="6"/>
      <c r="ALB278" s="6"/>
      <c r="ALC278" s="6"/>
      <c r="ALD278" s="6"/>
      <c r="ALE278" s="6"/>
      <c r="ALF278" s="6"/>
      <c r="ALG278" s="6"/>
      <c r="ALH278" s="6"/>
      <c r="ALI278" s="6"/>
      <c r="ALJ278" s="6"/>
      <c r="ALK278" s="6"/>
      <c r="ALL278" s="6"/>
      <c r="ALM278" s="6"/>
      <c r="ALN278" s="6"/>
      <c r="ALO278" s="6"/>
      <c r="ALP278" s="6"/>
      <c r="ALQ278" s="6"/>
      <c r="ALR278" s="6"/>
      <c r="ALS278" s="6"/>
      <c r="ALT278" s="6"/>
      <c r="ALU278" s="6"/>
      <c r="ALV278" s="6"/>
      <c r="ALW278" s="6"/>
      <c r="ALX278" s="6"/>
      <c r="ALY278" s="6"/>
      <c r="ALZ278" s="6"/>
      <c r="AMA278" s="6"/>
      <c r="AMB278" s="6"/>
      <c r="AMC278" s="6"/>
      <c r="AMD278" s="6"/>
      <c r="AME278" s="6"/>
      <c r="AMF278" s="6"/>
      <c r="AMG278" s="6"/>
      <c r="AMH278" s="6"/>
      <c r="AMI278" s="6"/>
      <c r="AMJ278" s="6"/>
      <c r="AMK278" s="6"/>
      <c r="AML278" s="6"/>
      <c r="AMM278" s="6"/>
      <c r="AMN278" s="6"/>
      <c r="AMO278" s="6"/>
      <c r="AMP278" s="6"/>
    </row>
    <row r="279" spans="1:1030" x14ac:dyDescent="0.2">
      <c r="A279" s="9" t="str">
        <f t="shared" si="1034"/>
        <v>q80km9_hcmv_5WB2</v>
      </c>
      <c r="B279" s="40" t="s">
        <v>1524</v>
      </c>
      <c r="C279" s="9" t="s">
        <v>1527</v>
      </c>
      <c r="D279" s="9" t="str">
        <f>IFERROR(MID(VLOOKUP($B279,Seqs!$A:$B,2,0),E279,1),"")</f>
        <v>F</v>
      </c>
      <c r="E279" s="9">
        <v>25</v>
      </c>
      <c r="F279" s="9" t="str">
        <f>IFERROR(MID(VLOOKUP($B279,Seqs!$A:$B,2,0),G279,1),"")</f>
        <v>W</v>
      </c>
      <c r="G279" s="9">
        <v>60</v>
      </c>
      <c r="H279" s="9" t="str">
        <f>IFERROR(MID(VLOOKUP($B279,Seqs!$A:$B,2,0),I279,1),"")</f>
        <v/>
      </c>
      <c r="I279" s="109" t="s">
        <v>23</v>
      </c>
      <c r="J279" s="9" t="str">
        <f>IFERROR(MID(VLOOKUP($B279,Seqs!$A:$B,2,0),K279,1),"")</f>
        <v/>
      </c>
      <c r="K279" s="109" t="s">
        <v>23</v>
      </c>
      <c r="L279" s="9" t="str">
        <f>IFERROR(MID(VLOOKUP($B279,Seqs!$A:$B,2,0),M279,1),"")</f>
        <v>C</v>
      </c>
      <c r="M279" s="9">
        <v>66</v>
      </c>
      <c r="N279" s="9" t="str">
        <f>IFERROR(MID(VLOOKUP($B279,Seqs!$A:$B,2,0),O279,1),"")</f>
        <v>D</v>
      </c>
      <c r="O279" s="9">
        <v>95</v>
      </c>
      <c r="P279" s="9" t="str">
        <f>IFERROR(MID(VLOOKUP($B279,Seqs!$A:$B,2,0),Q279,1),"")</f>
        <v/>
      </c>
      <c r="Q279" s="9" t="s">
        <v>23</v>
      </c>
      <c r="R279" s="9" t="str">
        <f>IFERROR(MID(VLOOKUP($B279,Seqs!$A:$B,2,0),S279,1),"")</f>
        <v/>
      </c>
      <c r="S279" s="9" t="s">
        <v>23</v>
      </c>
      <c r="T279" s="9" t="str">
        <f>IFERROR(MID(VLOOKUP($B279,Seqs!$A:$B,2,0),U279,1),"")</f>
        <v>A</v>
      </c>
      <c r="U279" s="9">
        <v>100</v>
      </c>
      <c r="V279" s="9" t="str">
        <f>IFERROR(MID(VLOOKUP($B279,Seqs!$A:$B,2,0),W279,1),"")</f>
        <v>V</v>
      </c>
      <c r="W279" s="9">
        <v>134</v>
      </c>
      <c r="X279" s="9" t="str">
        <f>IFERROR(MID(VLOOKUP($B279,Seqs!$A:$B,2,0),Y279,1),"")</f>
        <v/>
      </c>
      <c r="Y279" s="9" t="s">
        <v>23</v>
      </c>
      <c r="Z279" s="9" t="str">
        <f>IFERROR(MID(VLOOKUP($B279,Seqs!$A:$B,2,0),AA279,1),"")</f>
        <v/>
      </c>
      <c r="AA279" s="9" t="s">
        <v>23</v>
      </c>
      <c r="AB279" s="9" t="str">
        <f>IFERROR(MID(VLOOKUP($B279,Seqs!$A:$B,2,0),AC279,1),"")</f>
        <v>P</v>
      </c>
      <c r="AC279" s="9">
        <v>140</v>
      </c>
      <c r="AD279" s="9" t="str">
        <f>IFERROR(MID(VLOOKUP($B279,Seqs!$A:$B,2,0),AE279,1),"")</f>
        <v>M</v>
      </c>
      <c r="AE279" s="9">
        <v>164</v>
      </c>
      <c r="AF279" s="9" t="str">
        <f>IFERROR(MID(VLOOKUP($B279,Seqs!$A:$B,2,0),AG279,1),"")</f>
        <v>C</v>
      </c>
      <c r="AG279" s="9">
        <v>173</v>
      </c>
      <c r="AH279" s="9" t="str">
        <f>IFERROR(MID(VLOOKUP($B279,Seqs!$A:$B,2,0),AI279,1),"")</f>
        <v>T</v>
      </c>
      <c r="AI279" s="9">
        <v>175</v>
      </c>
      <c r="AJ279" s="9" t="str">
        <f>IFERROR(MID(VLOOKUP($B279,Seqs!$A:$B,2,0),AK279,1),"")</f>
        <v>S</v>
      </c>
      <c r="AK279" s="9">
        <v>183</v>
      </c>
      <c r="AL279" s="9" t="str">
        <f>IFERROR(MID(VLOOKUP($B279,Seqs!$A:$B,2,0),AM279,1),"")</f>
        <v>S</v>
      </c>
      <c r="AM279" s="9">
        <v>218</v>
      </c>
      <c r="AN279" s="9" t="str">
        <f>IFERROR(MID(VLOOKUP($B279,Seqs!$A:$B,2,0),AO279,1),"")</f>
        <v>H</v>
      </c>
      <c r="AO279" s="9">
        <v>222</v>
      </c>
      <c r="AP279" s="9" t="str">
        <f>IFERROR(MID(VLOOKUP($B279,Seqs!$A:$B,2,0),AQ279,1),"")</f>
        <v>K</v>
      </c>
      <c r="AQ279" s="9">
        <v>257</v>
      </c>
      <c r="AR279" s="9" t="str">
        <f>IFERROR(MID(VLOOKUP($B279,Seqs!$A:$B,2,0),AS279,1),"")</f>
        <v>S</v>
      </c>
      <c r="AS279" s="9">
        <v>262</v>
      </c>
      <c r="AT279" s="9" t="str">
        <f>IFERROR(MID(VLOOKUP($B279,Seqs!$A:$B,2,0),AU279,1),"")</f>
        <v>V</v>
      </c>
      <c r="AU279" s="9">
        <v>294</v>
      </c>
      <c r="AV279" s="9" t="str">
        <f>IFERROR(MID(VLOOKUP($B279,Seqs!$A:$B,2,0),AW279,1),"")</f>
        <v>G</v>
      </c>
      <c r="AW279" s="9">
        <v>295</v>
      </c>
      <c r="AX279" s="9" t="str">
        <f>IFERROR(MID(VLOOKUP($B279,Seqs!$A:$B,2,0),AY279,1),"")</f>
        <v>A</v>
      </c>
      <c r="AY279" s="9">
        <v>307</v>
      </c>
      <c r="AZ279" s="110" t="str">
        <f>VLOOKUP(B279,Classification!A:D,2,0)</f>
        <v>A</v>
      </c>
      <c r="BA279" s="98" t="str">
        <f>VLOOKUP(B279,Classification!A:D,4,0)</f>
        <v>Chemokine</v>
      </c>
      <c r="BB279" s="36" t="b">
        <f t="shared" si="1007"/>
        <v>1</v>
      </c>
      <c r="BC279" s="109">
        <f t="shared" si="1008"/>
        <v>250</v>
      </c>
      <c r="BD279" s="11" t="s">
        <v>23</v>
      </c>
      <c r="BE279" s="9" t="s">
        <v>1297</v>
      </c>
      <c r="BF279" s="120">
        <v>3.5</v>
      </c>
      <c r="BG279" s="51" t="s">
        <v>1</v>
      </c>
      <c r="BH279" s="51" t="s">
        <v>1</v>
      </c>
      <c r="BI279" s="12"/>
      <c r="BJ279" s="111" t="s">
        <v>1293</v>
      </c>
      <c r="BK279" s="112" t="s">
        <v>1293</v>
      </c>
      <c r="BL279" s="112" t="s">
        <v>1293</v>
      </c>
      <c r="BM279" s="112" t="s">
        <v>1293</v>
      </c>
      <c r="BN279" s="112" t="s">
        <v>1293</v>
      </c>
      <c r="BO279" s="112" t="s">
        <v>1293</v>
      </c>
      <c r="BP279" s="112" t="s">
        <v>1293</v>
      </c>
      <c r="BQ279" s="112" t="s">
        <v>1293</v>
      </c>
      <c r="BR279" s="112" t="s">
        <v>1293</v>
      </c>
      <c r="BS279" s="112" t="s">
        <v>1293</v>
      </c>
      <c r="BT279" s="112" t="s">
        <v>1293</v>
      </c>
      <c r="BU279" s="112" t="s">
        <v>1293</v>
      </c>
      <c r="BV279" s="111">
        <f t="shared" si="1009"/>
        <v>25</v>
      </c>
      <c r="BW279" s="113" t="str">
        <f t="shared" si="1010"/>
        <v>-</v>
      </c>
      <c r="BX279" s="114">
        <f t="shared" si="1011"/>
        <v>66</v>
      </c>
      <c r="BY279" s="113" t="str">
        <f t="shared" si="1012"/>
        <v>-</v>
      </c>
      <c r="BZ279" s="114">
        <f t="shared" si="1013"/>
        <v>100</v>
      </c>
      <c r="CA279" s="113" t="str">
        <f t="shared" si="1014"/>
        <v>-</v>
      </c>
      <c r="CB279" s="114">
        <f t="shared" si="1015"/>
        <v>140</v>
      </c>
      <c r="CC279" s="113">
        <f t="shared" si="1016"/>
        <v>173</v>
      </c>
      <c r="CD279" s="114">
        <f t="shared" si="1017"/>
        <v>183</v>
      </c>
      <c r="CE279" s="113">
        <f t="shared" si="1018"/>
        <v>222</v>
      </c>
      <c r="CF279" s="114">
        <f t="shared" si="1019"/>
        <v>262</v>
      </c>
      <c r="CG279" s="113">
        <f t="shared" si="1020"/>
        <v>295</v>
      </c>
      <c r="CH279" s="111">
        <f t="shared" si="1021"/>
        <v>60</v>
      </c>
      <c r="CI279" s="113" t="str">
        <f t="shared" si="1022"/>
        <v>-</v>
      </c>
      <c r="CJ279" s="114">
        <f t="shared" si="1023"/>
        <v>95</v>
      </c>
      <c r="CK279" s="114" t="str">
        <f t="shared" si="1024"/>
        <v>-</v>
      </c>
      <c r="CL279" s="114">
        <f t="shared" si="1025"/>
        <v>134</v>
      </c>
      <c r="CM279" s="114" t="str">
        <f t="shared" si="1026"/>
        <v>-</v>
      </c>
      <c r="CN279" s="114">
        <f t="shared" si="1027"/>
        <v>164</v>
      </c>
      <c r="CO279" s="114">
        <f t="shared" si="1028"/>
        <v>175</v>
      </c>
      <c r="CP279" s="114">
        <f t="shared" si="1029"/>
        <v>218</v>
      </c>
      <c r="CQ279" s="114">
        <f t="shared" si="1030"/>
        <v>257</v>
      </c>
      <c r="CR279" s="114">
        <f t="shared" si="1031"/>
        <v>294</v>
      </c>
      <c r="CS279" s="114">
        <f t="shared" si="1032"/>
        <v>307</v>
      </c>
      <c r="CT279" s="109" t="e">
        <f t="shared" si="1033"/>
        <v>#VALUE!</v>
      </c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6"/>
      <c r="QG279" s="6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r="RC279" s="6"/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6"/>
      <c r="RU279" s="6"/>
      <c r="RV279" s="6"/>
      <c r="RW279" s="6"/>
      <c r="RX279" s="6"/>
      <c r="RY279" s="6"/>
      <c r="RZ279" s="6"/>
      <c r="SA279" s="6"/>
      <c r="SB279" s="6"/>
      <c r="SC279" s="6"/>
      <c r="SD279" s="6"/>
      <c r="SE279" s="6"/>
      <c r="SF279" s="6"/>
      <c r="SG279" s="6"/>
      <c r="SH279" s="6"/>
      <c r="SI279" s="6"/>
      <c r="SJ279" s="6"/>
      <c r="SK279" s="6"/>
      <c r="SL279" s="6"/>
      <c r="SM279" s="6"/>
      <c r="SN279" s="6"/>
      <c r="SO279" s="6"/>
      <c r="SP279" s="6"/>
      <c r="SQ279" s="6"/>
      <c r="SR279" s="6"/>
      <c r="SS279" s="6"/>
      <c r="ST279" s="6"/>
      <c r="SU279" s="6"/>
      <c r="SV279" s="6"/>
      <c r="SW279" s="6"/>
      <c r="SX279" s="6"/>
      <c r="SY279" s="6"/>
      <c r="SZ279" s="6"/>
      <c r="TA279" s="6"/>
      <c r="TB279" s="6"/>
      <c r="TC279" s="6"/>
      <c r="TD279" s="6"/>
      <c r="TE279" s="6"/>
      <c r="TF279" s="6"/>
      <c r="TG279" s="6"/>
      <c r="TH279" s="6"/>
      <c r="TI279" s="6"/>
      <c r="TJ279" s="6"/>
      <c r="TK279" s="6"/>
      <c r="TL279" s="6"/>
      <c r="TM279" s="6"/>
      <c r="TN279" s="6"/>
      <c r="TO279" s="6"/>
      <c r="TP279" s="6"/>
      <c r="TQ279" s="6"/>
      <c r="TR279" s="6"/>
      <c r="TS279" s="6"/>
      <c r="TT279" s="6"/>
      <c r="TU279" s="6"/>
      <c r="TV279" s="6"/>
      <c r="TW279" s="6"/>
      <c r="TX279" s="6"/>
      <c r="TY279" s="6"/>
      <c r="TZ279" s="6"/>
      <c r="UA279" s="6"/>
      <c r="UB279" s="6"/>
      <c r="UC279" s="6"/>
      <c r="UD279" s="6"/>
      <c r="UE279" s="6"/>
      <c r="UF279" s="6"/>
      <c r="UG279" s="6"/>
      <c r="UH279" s="6"/>
      <c r="UI279" s="6"/>
      <c r="UJ279" s="6"/>
      <c r="UK279" s="6"/>
      <c r="UL279" s="6"/>
      <c r="UM279" s="6"/>
      <c r="UN279" s="6"/>
      <c r="UO279" s="6"/>
      <c r="UP279" s="6"/>
      <c r="UQ279" s="6"/>
      <c r="UR279" s="6"/>
      <c r="US279" s="6"/>
      <c r="UT279" s="6"/>
      <c r="UU279" s="6"/>
      <c r="UV279" s="6"/>
      <c r="UW279" s="6"/>
      <c r="UX279" s="6"/>
      <c r="UY279" s="6"/>
      <c r="UZ279" s="6"/>
      <c r="VA279" s="6"/>
      <c r="VB279" s="6"/>
      <c r="VC279" s="6"/>
      <c r="VD279" s="6"/>
      <c r="VE279" s="6"/>
      <c r="VF279" s="6"/>
      <c r="VG279" s="6"/>
      <c r="VH279" s="6"/>
      <c r="VI279" s="6"/>
      <c r="VJ279" s="6"/>
      <c r="VK279" s="6"/>
      <c r="VL279" s="6"/>
      <c r="VM279" s="6"/>
      <c r="VN279" s="6"/>
      <c r="VO279" s="6"/>
      <c r="VP279" s="6"/>
      <c r="VQ279" s="6"/>
      <c r="VR279" s="6"/>
      <c r="VS279" s="6"/>
      <c r="VT279" s="6"/>
      <c r="VU279" s="6"/>
      <c r="VV279" s="6"/>
      <c r="VW279" s="6"/>
      <c r="VX279" s="6"/>
      <c r="VY279" s="6"/>
      <c r="VZ279" s="6"/>
      <c r="WA279" s="6"/>
      <c r="WB279" s="6"/>
      <c r="WC279" s="6"/>
      <c r="WD279" s="6"/>
      <c r="WE279" s="6"/>
      <c r="WF279" s="6"/>
      <c r="WG279" s="6"/>
      <c r="WH279" s="6"/>
      <c r="WI279" s="6"/>
      <c r="WJ279" s="6"/>
      <c r="WK279" s="6"/>
      <c r="WL279" s="6"/>
      <c r="WM279" s="6"/>
      <c r="WN279" s="6"/>
      <c r="WO279" s="6"/>
      <c r="WP279" s="6"/>
      <c r="WQ279" s="6"/>
      <c r="WR279" s="6"/>
      <c r="WS279" s="6"/>
      <c r="WT279" s="6"/>
      <c r="WU279" s="6"/>
      <c r="WV279" s="6"/>
      <c r="WW279" s="6"/>
      <c r="WX279" s="6"/>
      <c r="WY279" s="6"/>
      <c r="WZ279" s="6"/>
      <c r="XA279" s="6"/>
      <c r="XB279" s="6"/>
      <c r="XC279" s="6"/>
      <c r="XD279" s="6"/>
      <c r="XE279" s="6"/>
      <c r="XF279" s="6"/>
      <c r="XG279" s="6"/>
      <c r="XH279" s="6"/>
      <c r="XI279" s="6"/>
      <c r="XJ279" s="6"/>
      <c r="XK279" s="6"/>
      <c r="XL279" s="6"/>
      <c r="XM279" s="6"/>
      <c r="XN279" s="6"/>
      <c r="XO279" s="6"/>
      <c r="XP279" s="6"/>
      <c r="XQ279" s="6"/>
      <c r="XR279" s="6"/>
      <c r="XS279" s="6"/>
      <c r="XT279" s="6"/>
      <c r="XU279" s="6"/>
      <c r="XV279" s="6"/>
      <c r="XW279" s="6"/>
      <c r="XX279" s="6"/>
      <c r="XY279" s="6"/>
      <c r="XZ279" s="6"/>
      <c r="YA279" s="6"/>
      <c r="YB279" s="6"/>
      <c r="YC279" s="6"/>
      <c r="YD279" s="6"/>
      <c r="YE279" s="6"/>
      <c r="YF279" s="6"/>
      <c r="YG279" s="6"/>
      <c r="YH279" s="6"/>
      <c r="YI279" s="6"/>
      <c r="YJ279" s="6"/>
      <c r="YK279" s="6"/>
      <c r="YL279" s="6"/>
      <c r="YM279" s="6"/>
      <c r="YN279" s="6"/>
      <c r="YO279" s="6"/>
      <c r="YP279" s="6"/>
      <c r="YQ279" s="6"/>
      <c r="YR279" s="6"/>
      <c r="YS279" s="6"/>
      <c r="YT279" s="6"/>
      <c r="YU279" s="6"/>
      <c r="YV279" s="6"/>
      <c r="YW279" s="6"/>
      <c r="YX279" s="6"/>
      <c r="YY279" s="6"/>
      <c r="YZ279" s="6"/>
      <c r="ZA279" s="6"/>
      <c r="ZB279" s="6"/>
      <c r="ZC279" s="6"/>
      <c r="ZD279" s="6"/>
      <c r="ZE279" s="6"/>
      <c r="ZF279" s="6"/>
      <c r="ZG279" s="6"/>
      <c r="ZH279" s="6"/>
      <c r="ZI279" s="6"/>
      <c r="ZJ279" s="6"/>
      <c r="ZK279" s="6"/>
      <c r="ZL279" s="6"/>
      <c r="ZM279" s="6"/>
      <c r="ZN279" s="6"/>
      <c r="ZO279" s="6"/>
      <c r="ZP279" s="6"/>
      <c r="ZQ279" s="6"/>
      <c r="ZR279" s="6"/>
      <c r="ZS279" s="6"/>
      <c r="ZT279" s="6"/>
      <c r="ZU279" s="6"/>
      <c r="ZV279" s="6"/>
      <c r="ZW279" s="6"/>
      <c r="ZX279" s="6"/>
      <c r="ZY279" s="6"/>
      <c r="ZZ279" s="6"/>
      <c r="AAA279" s="6"/>
      <c r="AAB279" s="6"/>
      <c r="AAC279" s="6"/>
      <c r="AAD279" s="6"/>
      <c r="AAE279" s="6"/>
      <c r="AAF279" s="6"/>
      <c r="AAG279" s="6"/>
      <c r="AAH279" s="6"/>
      <c r="AAI279" s="6"/>
      <c r="AAJ279" s="6"/>
      <c r="AAK279" s="6"/>
      <c r="AAL279" s="6"/>
      <c r="AAM279" s="6"/>
      <c r="AAN279" s="6"/>
      <c r="AAO279" s="6"/>
      <c r="AAP279" s="6"/>
      <c r="AAQ279" s="6"/>
      <c r="AAR279" s="6"/>
      <c r="AAS279" s="6"/>
      <c r="AAT279" s="6"/>
      <c r="AAU279" s="6"/>
      <c r="AAV279" s="6"/>
      <c r="AAW279" s="6"/>
      <c r="AAX279" s="6"/>
      <c r="AAY279" s="6"/>
      <c r="AAZ279" s="6"/>
      <c r="ABA279" s="6"/>
      <c r="ABB279" s="6"/>
      <c r="ABC279" s="6"/>
      <c r="ABD279" s="6"/>
      <c r="ABE279" s="6"/>
      <c r="ABF279" s="6"/>
      <c r="ABG279" s="6"/>
      <c r="ABH279" s="6"/>
      <c r="ABI279" s="6"/>
      <c r="ABJ279" s="6"/>
      <c r="ABK279" s="6"/>
      <c r="ABL279" s="6"/>
      <c r="ABM279" s="6"/>
      <c r="ABN279" s="6"/>
      <c r="ABO279" s="6"/>
      <c r="ABP279" s="6"/>
      <c r="ABQ279" s="6"/>
      <c r="ABR279" s="6"/>
      <c r="ABS279" s="6"/>
      <c r="ABT279" s="6"/>
      <c r="ABU279" s="6"/>
      <c r="ABV279" s="6"/>
      <c r="ABW279" s="6"/>
      <c r="ABX279" s="6"/>
      <c r="ABY279" s="6"/>
      <c r="ABZ279" s="6"/>
      <c r="ACA279" s="6"/>
      <c r="ACB279" s="6"/>
      <c r="ACC279" s="6"/>
      <c r="ACD279" s="6"/>
      <c r="ACE279" s="6"/>
      <c r="ACF279" s="6"/>
      <c r="ACG279" s="6"/>
      <c r="ACH279" s="6"/>
      <c r="ACI279" s="6"/>
      <c r="ACJ279" s="6"/>
      <c r="ACK279" s="6"/>
      <c r="ACL279" s="6"/>
      <c r="ACM279" s="6"/>
      <c r="ACN279" s="6"/>
      <c r="ACO279" s="6"/>
      <c r="ACP279" s="6"/>
      <c r="ACQ279" s="6"/>
      <c r="ACR279" s="6"/>
      <c r="ACS279" s="6"/>
      <c r="ACT279" s="6"/>
      <c r="ACU279" s="6"/>
      <c r="ACV279" s="6"/>
      <c r="ACW279" s="6"/>
      <c r="ACX279" s="6"/>
      <c r="ACY279" s="6"/>
      <c r="ACZ279" s="6"/>
      <c r="ADA279" s="6"/>
      <c r="ADB279" s="6"/>
      <c r="ADC279" s="6"/>
      <c r="ADD279" s="6"/>
      <c r="ADE279" s="6"/>
      <c r="ADF279" s="6"/>
      <c r="ADG279" s="6"/>
      <c r="ADH279" s="6"/>
      <c r="ADI279" s="6"/>
      <c r="ADJ279" s="6"/>
      <c r="ADK279" s="6"/>
      <c r="ADL279" s="6"/>
      <c r="ADM279" s="6"/>
      <c r="ADN279" s="6"/>
      <c r="ADO279" s="6"/>
      <c r="ADP279" s="6"/>
      <c r="ADQ279" s="6"/>
      <c r="ADR279" s="6"/>
      <c r="ADS279" s="6"/>
      <c r="ADT279" s="6"/>
      <c r="ADU279" s="6"/>
      <c r="ADV279" s="6"/>
      <c r="ADW279" s="6"/>
      <c r="ADX279" s="6"/>
      <c r="ADY279" s="6"/>
      <c r="ADZ279" s="6"/>
      <c r="AEA279" s="6"/>
      <c r="AEB279" s="6"/>
      <c r="AEC279" s="6"/>
      <c r="AED279" s="6"/>
      <c r="AEE279" s="6"/>
      <c r="AEF279" s="6"/>
      <c r="AEG279" s="6"/>
      <c r="AEH279" s="6"/>
      <c r="AEI279" s="6"/>
      <c r="AEJ279" s="6"/>
      <c r="AEK279" s="6"/>
      <c r="AEL279" s="6"/>
      <c r="AEM279" s="6"/>
      <c r="AEN279" s="6"/>
      <c r="AEO279" s="6"/>
      <c r="AEP279" s="6"/>
      <c r="AEQ279" s="6"/>
      <c r="AER279" s="6"/>
      <c r="AES279" s="6"/>
      <c r="AET279" s="6"/>
      <c r="AEU279" s="6"/>
      <c r="AEV279" s="6"/>
      <c r="AEW279" s="6"/>
      <c r="AEX279" s="6"/>
      <c r="AEY279" s="6"/>
      <c r="AEZ279" s="6"/>
      <c r="AFA279" s="6"/>
      <c r="AFB279" s="6"/>
      <c r="AFC279" s="6"/>
      <c r="AFD279" s="6"/>
      <c r="AFE279" s="6"/>
      <c r="AFF279" s="6"/>
      <c r="AFG279" s="6"/>
      <c r="AFH279" s="6"/>
      <c r="AFI279" s="6"/>
      <c r="AFJ279" s="6"/>
      <c r="AFK279" s="6"/>
      <c r="AFL279" s="6"/>
      <c r="AFM279" s="6"/>
      <c r="AFN279" s="6"/>
      <c r="AFO279" s="6"/>
      <c r="AFP279" s="6"/>
      <c r="AFQ279" s="6"/>
      <c r="AFR279" s="6"/>
      <c r="AFS279" s="6"/>
      <c r="AFT279" s="6"/>
      <c r="AFU279" s="6"/>
      <c r="AFV279" s="6"/>
      <c r="AFW279" s="6"/>
      <c r="AFX279" s="6"/>
      <c r="AFY279" s="6"/>
      <c r="AFZ279" s="6"/>
      <c r="AGA279" s="6"/>
      <c r="AGB279" s="6"/>
      <c r="AGC279" s="6"/>
      <c r="AGD279" s="6"/>
      <c r="AGE279" s="6"/>
      <c r="AGF279" s="6"/>
      <c r="AGG279" s="6"/>
      <c r="AGH279" s="6"/>
      <c r="AGI279" s="6"/>
      <c r="AGJ279" s="6"/>
      <c r="AGK279" s="6"/>
      <c r="AGL279" s="6"/>
      <c r="AGM279" s="6"/>
      <c r="AGN279" s="6"/>
      <c r="AGO279" s="6"/>
      <c r="AGP279" s="6"/>
      <c r="AGQ279" s="6"/>
      <c r="AGR279" s="6"/>
      <c r="AGS279" s="6"/>
      <c r="AGT279" s="6"/>
      <c r="AGU279" s="6"/>
      <c r="AGV279" s="6"/>
      <c r="AGW279" s="6"/>
      <c r="AGX279" s="6"/>
      <c r="AGY279" s="6"/>
      <c r="AGZ279" s="6"/>
      <c r="AHA279" s="6"/>
      <c r="AHB279" s="6"/>
      <c r="AHC279" s="6"/>
      <c r="AHD279" s="6"/>
      <c r="AHE279" s="6"/>
      <c r="AHF279" s="6"/>
      <c r="AHG279" s="6"/>
      <c r="AHH279" s="6"/>
      <c r="AHI279" s="6"/>
      <c r="AHJ279" s="6"/>
      <c r="AHK279" s="6"/>
      <c r="AHL279" s="6"/>
      <c r="AHM279" s="6"/>
      <c r="AHN279" s="6"/>
      <c r="AHO279" s="6"/>
      <c r="AHP279" s="6"/>
      <c r="AHQ279" s="6"/>
      <c r="AHR279" s="6"/>
      <c r="AHS279" s="6"/>
      <c r="AHT279" s="6"/>
      <c r="AHU279" s="6"/>
      <c r="AHV279" s="6"/>
      <c r="AHW279" s="6"/>
      <c r="AHX279" s="6"/>
      <c r="AHY279" s="6"/>
      <c r="AHZ279" s="6"/>
      <c r="AIA279" s="6"/>
      <c r="AIB279" s="6"/>
      <c r="AIC279" s="6"/>
      <c r="AID279" s="6"/>
      <c r="AIE279" s="6"/>
      <c r="AIF279" s="6"/>
      <c r="AIG279" s="6"/>
      <c r="AIH279" s="6"/>
      <c r="AII279" s="6"/>
      <c r="AIJ279" s="6"/>
      <c r="AIK279" s="6"/>
      <c r="AIL279" s="6"/>
      <c r="AIM279" s="6"/>
      <c r="AIN279" s="6"/>
      <c r="AIO279" s="6"/>
      <c r="AIP279" s="6"/>
      <c r="AIQ279" s="6"/>
      <c r="AIR279" s="6"/>
      <c r="AIS279" s="6"/>
      <c r="AIT279" s="6"/>
      <c r="AIU279" s="6"/>
      <c r="AIV279" s="6"/>
      <c r="AIW279" s="6"/>
      <c r="AIX279" s="6"/>
      <c r="AIY279" s="6"/>
      <c r="AIZ279" s="6"/>
      <c r="AJA279" s="6"/>
      <c r="AJB279" s="6"/>
      <c r="AJC279" s="6"/>
      <c r="AJD279" s="6"/>
      <c r="AJE279" s="6"/>
      <c r="AJF279" s="6"/>
      <c r="AJG279" s="6"/>
      <c r="AJH279" s="6"/>
      <c r="AJI279" s="6"/>
      <c r="AJJ279" s="6"/>
      <c r="AJK279" s="6"/>
      <c r="AJL279" s="6"/>
      <c r="AJM279" s="6"/>
      <c r="AJN279" s="6"/>
      <c r="AJO279" s="6"/>
      <c r="AJP279" s="6"/>
      <c r="AJQ279" s="6"/>
      <c r="AJR279" s="6"/>
      <c r="AJS279" s="6"/>
      <c r="AJT279" s="6"/>
      <c r="AJU279" s="6"/>
      <c r="AJV279" s="6"/>
      <c r="AJW279" s="6"/>
      <c r="AJX279" s="6"/>
      <c r="AJY279" s="6"/>
      <c r="AJZ279" s="6"/>
      <c r="AKA279" s="6"/>
      <c r="AKB279" s="6"/>
      <c r="AKC279" s="6"/>
      <c r="AKD279" s="6"/>
      <c r="AKE279" s="6"/>
      <c r="AKF279" s="6"/>
      <c r="AKG279" s="6"/>
      <c r="AKH279" s="6"/>
      <c r="AKI279" s="6"/>
      <c r="AKJ279" s="6"/>
      <c r="AKK279" s="6"/>
      <c r="AKL279" s="6"/>
      <c r="AKM279" s="6"/>
      <c r="AKN279" s="6"/>
      <c r="AKO279" s="6"/>
      <c r="AKP279" s="6"/>
      <c r="AKQ279" s="6"/>
      <c r="AKR279" s="6"/>
      <c r="AKS279" s="6"/>
      <c r="AKT279" s="6"/>
      <c r="AKU279" s="6"/>
      <c r="AKV279" s="6"/>
      <c r="AKW279" s="6"/>
      <c r="AKX279" s="6"/>
      <c r="AKY279" s="6"/>
      <c r="AKZ279" s="6"/>
      <c r="ALA279" s="6"/>
      <c r="ALB279" s="6"/>
      <c r="ALC279" s="6"/>
      <c r="ALD279" s="6"/>
      <c r="ALE279" s="6"/>
      <c r="ALF279" s="6"/>
      <c r="ALG279" s="6"/>
      <c r="ALH279" s="6"/>
      <c r="ALI279" s="6"/>
      <c r="ALJ279" s="6"/>
      <c r="ALK279" s="6"/>
      <c r="ALL279" s="6"/>
      <c r="ALM279" s="6"/>
      <c r="ALN279" s="6"/>
      <c r="ALO279" s="6"/>
      <c r="ALP279" s="6"/>
      <c r="ALQ279" s="6"/>
      <c r="ALR279" s="6"/>
      <c r="ALS279" s="6"/>
      <c r="ALT279" s="6"/>
      <c r="ALU279" s="6"/>
      <c r="ALV279" s="6"/>
      <c r="ALW279" s="6"/>
      <c r="ALX279" s="6"/>
      <c r="ALY279" s="6"/>
      <c r="ALZ279" s="6"/>
      <c r="AMA279" s="6"/>
      <c r="AMB279" s="6"/>
      <c r="AMC279" s="6"/>
      <c r="AMD279" s="6"/>
      <c r="AME279" s="6"/>
      <c r="AMF279" s="6"/>
      <c r="AMG279" s="6"/>
      <c r="AMH279" s="6"/>
      <c r="AMI279" s="6"/>
      <c r="AMJ279" s="6"/>
      <c r="AMK279" s="6"/>
      <c r="AML279" s="6"/>
      <c r="AMM279" s="6"/>
      <c r="AMN279" s="6"/>
      <c r="AMO279" s="6"/>
      <c r="AMP279" s="6"/>
    </row>
    <row r="280" spans="1:1030" x14ac:dyDescent="0.2">
      <c r="A280" s="3" t="str">
        <f t="shared" si="1034"/>
        <v>calcr_human__wt</v>
      </c>
      <c r="B280" s="2" t="s">
        <v>401</v>
      </c>
      <c r="C280" s="3" t="s">
        <v>100</v>
      </c>
      <c r="D280" s="3" t="str">
        <f>IFERROR(MID(VLOOKUP($B280,Seqs!$A:$B,2,0),E280,1),"")</f>
        <v>T</v>
      </c>
      <c r="E280" s="3">
        <v>132</v>
      </c>
      <c r="F280" s="3" t="str">
        <f>IFERROR(MID(VLOOKUP($B280,Seqs!$A:$B,2,0),G280,1),"")</f>
        <v>F</v>
      </c>
      <c r="G280" s="3">
        <v>173</v>
      </c>
      <c r="H280" s="3" t="str">
        <f>IFERROR(MID(VLOOKUP($B280,Seqs!$A:$B,2,0),I280,1),"")</f>
        <v>R</v>
      </c>
      <c r="I280" s="23">
        <v>174</v>
      </c>
      <c r="J280" s="3" t="str">
        <f>IFERROR(MID(VLOOKUP($B280,Seqs!$A:$B,2,0),K280,1),"")</f>
        <v>G</v>
      </c>
      <c r="K280" s="23">
        <v>177</v>
      </c>
      <c r="L280" s="3" t="str">
        <f>IFERROR(MID(VLOOKUP($B280,Seqs!$A:$B,2,0),M280,1),"")</f>
        <v>C</v>
      </c>
      <c r="M280" s="3">
        <v>178</v>
      </c>
      <c r="N280" s="3" t="str">
        <f>IFERROR(MID(VLOOKUP($B280,Seqs!$A:$B,2,0),O280,1),"")</f>
        <v>V</v>
      </c>
      <c r="O280" s="3">
        <v>205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V</v>
      </c>
      <c r="U280" s="105">
        <v>217</v>
      </c>
      <c r="V280" s="3" t="str">
        <f>IFERROR(MID(VLOOKUP($B280,Seqs!$A:$B,2,0),W280,1),"")</f>
        <v>V</v>
      </c>
      <c r="W280" s="3">
        <v>250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R</v>
      </c>
      <c r="AC280" s="3">
        <v>258</v>
      </c>
      <c r="AD280" s="3" t="str">
        <f>IFERROR(MID(VLOOKUP($B280,Seqs!$A:$B,2,0),AE280,1),"")</f>
        <v>F</v>
      </c>
      <c r="AE280" s="3">
        <v>285</v>
      </c>
      <c r="AF280" s="3" t="str">
        <f>IFERROR(MID(VLOOKUP($B280,Seqs!$A:$B,2,0),AG280,1),"")</f>
        <v>C</v>
      </c>
      <c r="AG280" s="3">
        <v>289</v>
      </c>
      <c r="AH280" s="3" t="str">
        <f>IFERROR(MID(VLOOKUP($B280,Seqs!$A:$B,2,0),AI280,1),"")</f>
        <v>L</v>
      </c>
      <c r="AI280" s="3">
        <v>291</v>
      </c>
      <c r="AJ280" s="3" t="str">
        <f>IFERROR(MID(VLOOKUP($B280,Seqs!$A:$B,2,0),AK280,1),"")</f>
        <v>L</v>
      </c>
      <c r="AK280" s="3">
        <v>298</v>
      </c>
      <c r="AL280" s="3" t="str">
        <f>IFERROR(MID(VLOOKUP($B280,Seqs!$A:$B,2,0),AM280,1),"")</f>
        <v>R</v>
      </c>
      <c r="AM280" s="3">
        <v>328</v>
      </c>
      <c r="AN280" s="3" t="str">
        <f>IFERROR(MID(VLOOKUP($B280,Seqs!$A:$B,2,0),AO280,1),"")</f>
        <v>Y</v>
      </c>
      <c r="AO280" s="3">
        <v>338</v>
      </c>
      <c r="AP280" s="3" t="str">
        <f>IFERROR(MID(VLOOKUP($B280,Seqs!$A:$B,2,0),AQ280,1),"")</f>
        <v>W</v>
      </c>
      <c r="AQ280" s="3">
        <v>361</v>
      </c>
      <c r="AR280" s="3" t="str">
        <f>IFERROR(MID(VLOOKUP($B280,Seqs!$A:$B,2,0),AS280,1),"")</f>
        <v>K</v>
      </c>
      <c r="AS280" s="3">
        <v>366</v>
      </c>
      <c r="AT280" s="3" t="str">
        <f>IFERROR(MID(VLOOKUP($B280,Seqs!$A:$B,2,0),AU280,1),"")</f>
        <v>C</v>
      </c>
      <c r="AU280" s="3">
        <v>394</v>
      </c>
      <c r="AV280" s="3" t="str">
        <f>IFERROR(MID(VLOOKUP($B280,Seqs!$A:$B,2,0),AW280,1),"")</f>
        <v>N</v>
      </c>
      <c r="AW280" s="3">
        <v>395</v>
      </c>
      <c r="AX280" s="3" t="str">
        <f>IFERROR(MID(VLOOKUP($B280,Seqs!$A:$B,2,0),AY280,1),"")</f>
        <v>R</v>
      </c>
      <c r="AY280" s="3">
        <v>420</v>
      </c>
      <c r="AZ280" s="77" t="str">
        <f>VLOOKUP(B280,Classification!A:D,2,0)</f>
        <v>B1</v>
      </c>
      <c r="BA280" s="94" t="str">
        <f>VLOOKUP(B280,Classification!A:D,4,0)</f>
        <v>Calcitonin</v>
      </c>
      <c r="BB280" s="27" t="b">
        <f t="shared" si="1007"/>
        <v>1</v>
      </c>
      <c r="BC280" s="23">
        <f t="shared" si="1008"/>
        <v>251</v>
      </c>
      <c r="BD280" s="4" t="s">
        <v>23</v>
      </c>
      <c r="BE280" s="3" t="s">
        <v>23</v>
      </c>
      <c r="BF280" s="119" t="s">
        <v>23</v>
      </c>
      <c r="BG280" s="49" t="s">
        <v>1384</v>
      </c>
      <c r="BH280" s="49" t="s">
        <v>1384</v>
      </c>
      <c r="BI280" s="1"/>
      <c r="BJ280" s="70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0">
        <f t="shared" si="1009"/>
        <v>132</v>
      </c>
      <c r="BW280" s="71">
        <f t="shared" si="1010"/>
        <v>174</v>
      </c>
      <c r="BX280" s="72">
        <f t="shared" si="1011"/>
        <v>178</v>
      </c>
      <c r="BY280" s="71" t="str">
        <f t="shared" si="1012"/>
        <v>-</v>
      </c>
      <c r="BZ280" s="72">
        <f t="shared" si="1013"/>
        <v>217</v>
      </c>
      <c r="CA280" s="71" t="str">
        <f t="shared" si="1014"/>
        <v>-</v>
      </c>
      <c r="CB280" s="72">
        <f t="shared" si="1015"/>
        <v>258</v>
      </c>
      <c r="CC280" s="71">
        <f t="shared" si="1016"/>
        <v>289</v>
      </c>
      <c r="CD280" s="72">
        <f t="shared" si="1017"/>
        <v>298</v>
      </c>
      <c r="CE280" s="71">
        <f t="shared" si="1018"/>
        <v>338</v>
      </c>
      <c r="CF280" s="72">
        <f t="shared" si="1019"/>
        <v>366</v>
      </c>
      <c r="CG280" s="71">
        <f t="shared" si="1020"/>
        <v>395</v>
      </c>
      <c r="CH280" s="70">
        <f t="shared" si="1021"/>
        <v>173</v>
      </c>
      <c r="CI280" s="71">
        <f t="shared" si="1022"/>
        <v>177</v>
      </c>
      <c r="CJ280" s="72">
        <f t="shared" si="1023"/>
        <v>205</v>
      </c>
      <c r="CK280" s="72" t="str">
        <f t="shared" si="1024"/>
        <v>-</v>
      </c>
      <c r="CL280" s="72">
        <f t="shared" si="1025"/>
        <v>250</v>
      </c>
      <c r="CM280" s="72" t="str">
        <f t="shared" si="1026"/>
        <v>-</v>
      </c>
      <c r="CN280" s="72">
        <f t="shared" si="1027"/>
        <v>285</v>
      </c>
      <c r="CO280" s="72">
        <f t="shared" si="1028"/>
        <v>291</v>
      </c>
      <c r="CP280" s="72">
        <f t="shared" si="1029"/>
        <v>328</v>
      </c>
      <c r="CQ280" s="72">
        <f t="shared" si="1030"/>
        <v>361</v>
      </c>
      <c r="CR280" s="72">
        <f t="shared" si="1031"/>
        <v>394</v>
      </c>
      <c r="CS280" s="72">
        <f t="shared" si="1032"/>
        <v>420</v>
      </c>
      <c r="CT280" s="23">
        <f t="shared" si="1033"/>
        <v>1</v>
      </c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  <c r="SC280" s="6"/>
      <c r="SD280" s="6"/>
      <c r="SE280" s="6"/>
      <c r="SF280" s="6"/>
      <c r="SG280" s="6"/>
      <c r="SH280" s="6"/>
      <c r="SI280" s="6"/>
      <c r="SJ280" s="6"/>
      <c r="SK280" s="6"/>
      <c r="SL280" s="6"/>
      <c r="SM280" s="6"/>
      <c r="SN280" s="6"/>
      <c r="SO280" s="6"/>
      <c r="SP280" s="6"/>
      <c r="SQ280" s="6"/>
      <c r="SR280" s="6"/>
      <c r="SS280" s="6"/>
      <c r="ST280" s="6"/>
      <c r="SU280" s="6"/>
      <c r="SV280" s="6"/>
      <c r="SW280" s="6"/>
      <c r="SX280" s="6"/>
      <c r="SY280" s="6"/>
      <c r="SZ280" s="6"/>
      <c r="TA280" s="6"/>
      <c r="TB280" s="6"/>
      <c r="TC280" s="6"/>
      <c r="TD280" s="6"/>
      <c r="TE280" s="6"/>
      <c r="TF280" s="6"/>
      <c r="TG280" s="6"/>
      <c r="TH280" s="6"/>
      <c r="TI280" s="6"/>
      <c r="TJ280" s="6"/>
      <c r="TK280" s="6"/>
      <c r="TL280" s="6"/>
      <c r="TM280" s="6"/>
      <c r="TN280" s="6"/>
      <c r="TO280" s="6"/>
      <c r="TP280" s="6"/>
      <c r="TQ280" s="6"/>
      <c r="TR280" s="6"/>
      <c r="TS280" s="6"/>
      <c r="TT280" s="6"/>
      <c r="TU280" s="6"/>
      <c r="TV280" s="6"/>
      <c r="TW280" s="6"/>
      <c r="TX280" s="6"/>
      <c r="TY280" s="6"/>
      <c r="TZ280" s="6"/>
      <c r="UA280" s="6"/>
      <c r="UB280" s="6"/>
      <c r="UC280" s="6"/>
      <c r="UD280" s="6"/>
      <c r="UE280" s="6"/>
      <c r="UF280" s="6"/>
      <c r="UG280" s="6"/>
      <c r="UH280" s="6"/>
      <c r="UI280" s="6"/>
      <c r="UJ280" s="6"/>
      <c r="UK280" s="6"/>
      <c r="UL280" s="6"/>
      <c r="UM280" s="6"/>
      <c r="UN280" s="6"/>
      <c r="UO280" s="6"/>
      <c r="UP280" s="6"/>
      <c r="UQ280" s="6"/>
      <c r="UR280" s="6"/>
      <c r="US280" s="6"/>
      <c r="UT280" s="6"/>
      <c r="UU280" s="6"/>
      <c r="UV280" s="6"/>
      <c r="UW280" s="6"/>
      <c r="UX280" s="6"/>
      <c r="UY280" s="6"/>
      <c r="UZ280" s="6"/>
      <c r="VA280" s="6"/>
      <c r="VB280" s="6"/>
      <c r="VC280" s="6"/>
      <c r="VD280" s="6"/>
      <c r="VE280" s="6"/>
      <c r="VF280" s="6"/>
      <c r="VG280" s="6"/>
      <c r="VH280" s="6"/>
      <c r="VI280" s="6"/>
      <c r="VJ280" s="6"/>
      <c r="VK280" s="6"/>
      <c r="VL280" s="6"/>
      <c r="VM280" s="6"/>
      <c r="VN280" s="6"/>
      <c r="VO280" s="6"/>
      <c r="VP280" s="6"/>
      <c r="VQ280" s="6"/>
      <c r="VR280" s="6"/>
      <c r="VS280" s="6"/>
      <c r="VT280" s="6"/>
      <c r="VU280" s="6"/>
      <c r="VV280" s="6"/>
      <c r="VW280" s="6"/>
      <c r="VX280" s="6"/>
      <c r="VY280" s="6"/>
      <c r="VZ280" s="6"/>
      <c r="WA280" s="6"/>
      <c r="WB280" s="6"/>
      <c r="WC280" s="6"/>
      <c r="WD280" s="6"/>
      <c r="WE280" s="6"/>
      <c r="WF280" s="6"/>
      <c r="WG280" s="6"/>
      <c r="WH280" s="6"/>
      <c r="WI280" s="6"/>
      <c r="WJ280" s="6"/>
      <c r="WK280" s="6"/>
      <c r="WL280" s="6"/>
      <c r="WM280" s="6"/>
      <c r="WN280" s="6"/>
      <c r="WO280" s="6"/>
      <c r="WP280" s="6"/>
      <c r="WQ280" s="6"/>
      <c r="WR280" s="6"/>
      <c r="WS280" s="6"/>
      <c r="WT280" s="6"/>
      <c r="WU280" s="6"/>
      <c r="WV280" s="6"/>
      <c r="WW280" s="6"/>
      <c r="WX280" s="6"/>
      <c r="WY280" s="6"/>
      <c r="WZ280" s="6"/>
      <c r="XA280" s="6"/>
      <c r="XB280" s="6"/>
      <c r="XC280" s="6"/>
      <c r="XD280" s="6"/>
      <c r="XE280" s="6"/>
      <c r="XF280" s="6"/>
      <c r="XG280" s="6"/>
      <c r="XH280" s="6"/>
      <c r="XI280" s="6"/>
      <c r="XJ280" s="6"/>
      <c r="XK280" s="6"/>
      <c r="XL280" s="6"/>
      <c r="XM280" s="6"/>
      <c r="XN280" s="6"/>
      <c r="XO280" s="6"/>
      <c r="XP280" s="6"/>
      <c r="XQ280" s="6"/>
      <c r="XR280" s="6"/>
      <c r="XS280" s="6"/>
      <c r="XT280" s="6"/>
      <c r="XU280" s="6"/>
      <c r="XV280" s="6"/>
      <c r="XW280" s="6"/>
      <c r="XX280" s="6"/>
      <c r="XY280" s="6"/>
      <c r="XZ280" s="6"/>
      <c r="YA280" s="6"/>
      <c r="YB280" s="6"/>
      <c r="YC280" s="6"/>
      <c r="YD280" s="6"/>
      <c r="YE280" s="6"/>
      <c r="YF280" s="6"/>
      <c r="YG280" s="6"/>
      <c r="YH280" s="6"/>
      <c r="YI280" s="6"/>
      <c r="YJ280" s="6"/>
      <c r="YK280" s="6"/>
      <c r="YL280" s="6"/>
      <c r="YM280" s="6"/>
      <c r="YN280" s="6"/>
      <c r="YO280" s="6"/>
      <c r="YP280" s="6"/>
      <c r="YQ280" s="6"/>
      <c r="YR280" s="6"/>
      <c r="YS280" s="6"/>
      <c r="YT280" s="6"/>
      <c r="YU280" s="6"/>
      <c r="YV280" s="6"/>
      <c r="YW280" s="6"/>
      <c r="YX280" s="6"/>
      <c r="YY280" s="6"/>
      <c r="YZ280" s="6"/>
      <c r="ZA280" s="6"/>
      <c r="ZB280" s="6"/>
      <c r="ZC280" s="6"/>
      <c r="ZD280" s="6"/>
      <c r="ZE280" s="6"/>
      <c r="ZF280" s="6"/>
      <c r="ZG280" s="6"/>
      <c r="ZH280" s="6"/>
      <c r="ZI280" s="6"/>
      <c r="ZJ280" s="6"/>
      <c r="ZK280" s="6"/>
      <c r="ZL280" s="6"/>
      <c r="ZM280" s="6"/>
      <c r="ZN280" s="6"/>
      <c r="ZO280" s="6"/>
      <c r="ZP280" s="6"/>
      <c r="ZQ280" s="6"/>
      <c r="ZR280" s="6"/>
      <c r="ZS280" s="6"/>
      <c r="ZT280" s="6"/>
      <c r="ZU280" s="6"/>
      <c r="ZV280" s="6"/>
      <c r="ZW280" s="6"/>
      <c r="ZX280" s="6"/>
      <c r="ZY280" s="6"/>
      <c r="ZZ280" s="6"/>
      <c r="AAA280" s="6"/>
      <c r="AAB280" s="6"/>
      <c r="AAC280" s="6"/>
      <c r="AAD280" s="6"/>
      <c r="AAE280" s="6"/>
      <c r="AAF280" s="6"/>
      <c r="AAG280" s="6"/>
      <c r="AAH280" s="6"/>
      <c r="AAI280" s="6"/>
      <c r="AAJ280" s="6"/>
      <c r="AAK280" s="6"/>
      <c r="AAL280" s="6"/>
      <c r="AAM280" s="6"/>
      <c r="AAN280" s="6"/>
      <c r="AAO280" s="6"/>
      <c r="AAP280" s="6"/>
      <c r="AAQ280" s="6"/>
      <c r="AAR280" s="6"/>
      <c r="AAS280" s="6"/>
      <c r="AAT280" s="6"/>
      <c r="AAU280" s="6"/>
      <c r="AAV280" s="6"/>
      <c r="AAW280" s="6"/>
      <c r="AAX280" s="6"/>
      <c r="AAY280" s="6"/>
      <c r="AAZ280" s="6"/>
      <c r="ABA280" s="6"/>
      <c r="ABB280" s="6"/>
      <c r="ABC280" s="6"/>
      <c r="ABD280" s="6"/>
      <c r="ABE280" s="6"/>
      <c r="ABF280" s="6"/>
      <c r="ABG280" s="6"/>
      <c r="ABH280" s="6"/>
      <c r="ABI280" s="6"/>
      <c r="ABJ280" s="6"/>
      <c r="ABK280" s="6"/>
      <c r="ABL280" s="6"/>
      <c r="ABM280" s="6"/>
      <c r="ABN280" s="6"/>
      <c r="ABO280" s="6"/>
      <c r="ABP280" s="6"/>
      <c r="ABQ280" s="6"/>
      <c r="ABR280" s="6"/>
      <c r="ABS280" s="6"/>
      <c r="ABT280" s="6"/>
      <c r="ABU280" s="6"/>
      <c r="ABV280" s="6"/>
      <c r="ABW280" s="6"/>
      <c r="ABX280" s="6"/>
      <c r="ABY280" s="6"/>
      <c r="ABZ280" s="6"/>
      <c r="ACA280" s="6"/>
      <c r="ACB280" s="6"/>
      <c r="ACC280" s="6"/>
      <c r="ACD280" s="6"/>
      <c r="ACE280" s="6"/>
      <c r="ACF280" s="6"/>
      <c r="ACG280" s="6"/>
      <c r="ACH280" s="6"/>
      <c r="ACI280" s="6"/>
      <c r="ACJ280" s="6"/>
      <c r="ACK280" s="6"/>
      <c r="ACL280" s="6"/>
      <c r="ACM280" s="6"/>
      <c r="ACN280" s="6"/>
      <c r="ACO280" s="6"/>
      <c r="ACP280" s="6"/>
      <c r="ACQ280" s="6"/>
      <c r="ACR280" s="6"/>
      <c r="ACS280" s="6"/>
      <c r="ACT280" s="6"/>
      <c r="ACU280" s="6"/>
      <c r="ACV280" s="6"/>
      <c r="ACW280" s="6"/>
      <c r="ACX280" s="6"/>
      <c r="ACY280" s="6"/>
      <c r="ACZ280" s="6"/>
      <c r="ADA280" s="6"/>
      <c r="ADB280" s="6"/>
      <c r="ADC280" s="6"/>
      <c r="ADD280" s="6"/>
      <c r="ADE280" s="6"/>
      <c r="ADF280" s="6"/>
      <c r="ADG280" s="6"/>
      <c r="ADH280" s="6"/>
      <c r="ADI280" s="6"/>
      <c r="ADJ280" s="6"/>
      <c r="ADK280" s="6"/>
      <c r="ADL280" s="6"/>
      <c r="ADM280" s="6"/>
      <c r="ADN280" s="6"/>
      <c r="ADO280" s="6"/>
      <c r="ADP280" s="6"/>
      <c r="ADQ280" s="6"/>
      <c r="ADR280" s="6"/>
      <c r="ADS280" s="6"/>
      <c r="ADT280" s="6"/>
      <c r="ADU280" s="6"/>
      <c r="ADV280" s="6"/>
      <c r="ADW280" s="6"/>
      <c r="ADX280" s="6"/>
      <c r="ADY280" s="6"/>
      <c r="ADZ280" s="6"/>
      <c r="AEA280" s="6"/>
      <c r="AEB280" s="6"/>
      <c r="AEC280" s="6"/>
      <c r="AED280" s="6"/>
      <c r="AEE280" s="6"/>
      <c r="AEF280" s="6"/>
      <c r="AEG280" s="6"/>
      <c r="AEH280" s="6"/>
      <c r="AEI280" s="6"/>
      <c r="AEJ280" s="6"/>
      <c r="AEK280" s="6"/>
      <c r="AEL280" s="6"/>
      <c r="AEM280" s="6"/>
      <c r="AEN280" s="6"/>
      <c r="AEO280" s="6"/>
      <c r="AEP280" s="6"/>
      <c r="AEQ280" s="6"/>
      <c r="AER280" s="6"/>
      <c r="AES280" s="6"/>
      <c r="AET280" s="6"/>
      <c r="AEU280" s="6"/>
      <c r="AEV280" s="6"/>
      <c r="AEW280" s="6"/>
      <c r="AEX280" s="6"/>
      <c r="AEY280" s="6"/>
      <c r="AEZ280" s="6"/>
      <c r="AFA280" s="6"/>
      <c r="AFB280" s="6"/>
      <c r="AFC280" s="6"/>
      <c r="AFD280" s="6"/>
      <c r="AFE280" s="6"/>
      <c r="AFF280" s="6"/>
      <c r="AFG280" s="6"/>
      <c r="AFH280" s="6"/>
      <c r="AFI280" s="6"/>
      <c r="AFJ280" s="6"/>
      <c r="AFK280" s="6"/>
      <c r="AFL280" s="6"/>
      <c r="AFM280" s="6"/>
      <c r="AFN280" s="6"/>
      <c r="AFO280" s="6"/>
      <c r="AFP280" s="6"/>
      <c r="AFQ280" s="6"/>
      <c r="AFR280" s="6"/>
      <c r="AFS280" s="6"/>
      <c r="AFT280" s="6"/>
      <c r="AFU280" s="6"/>
      <c r="AFV280" s="6"/>
      <c r="AFW280" s="6"/>
      <c r="AFX280" s="6"/>
      <c r="AFY280" s="6"/>
      <c r="AFZ280" s="6"/>
      <c r="AGA280" s="6"/>
      <c r="AGB280" s="6"/>
      <c r="AGC280" s="6"/>
      <c r="AGD280" s="6"/>
      <c r="AGE280" s="6"/>
      <c r="AGF280" s="6"/>
      <c r="AGG280" s="6"/>
      <c r="AGH280" s="6"/>
      <c r="AGI280" s="6"/>
      <c r="AGJ280" s="6"/>
      <c r="AGK280" s="6"/>
      <c r="AGL280" s="6"/>
      <c r="AGM280" s="6"/>
      <c r="AGN280" s="6"/>
      <c r="AGO280" s="6"/>
      <c r="AGP280" s="6"/>
      <c r="AGQ280" s="6"/>
      <c r="AGR280" s="6"/>
      <c r="AGS280" s="6"/>
      <c r="AGT280" s="6"/>
      <c r="AGU280" s="6"/>
      <c r="AGV280" s="6"/>
      <c r="AGW280" s="6"/>
      <c r="AGX280" s="6"/>
      <c r="AGY280" s="6"/>
      <c r="AGZ280" s="6"/>
      <c r="AHA280" s="6"/>
      <c r="AHB280" s="6"/>
      <c r="AHC280" s="6"/>
      <c r="AHD280" s="6"/>
      <c r="AHE280" s="6"/>
      <c r="AHF280" s="6"/>
      <c r="AHG280" s="6"/>
      <c r="AHH280" s="6"/>
      <c r="AHI280" s="6"/>
      <c r="AHJ280" s="6"/>
      <c r="AHK280" s="6"/>
      <c r="AHL280" s="6"/>
      <c r="AHM280" s="6"/>
      <c r="AHN280" s="6"/>
      <c r="AHO280" s="6"/>
      <c r="AHP280" s="6"/>
      <c r="AHQ280" s="6"/>
      <c r="AHR280" s="6"/>
      <c r="AHS280" s="6"/>
      <c r="AHT280" s="6"/>
      <c r="AHU280" s="6"/>
      <c r="AHV280" s="6"/>
      <c r="AHW280" s="6"/>
      <c r="AHX280" s="6"/>
      <c r="AHY280" s="6"/>
      <c r="AHZ280" s="6"/>
      <c r="AIA280" s="6"/>
      <c r="AIB280" s="6"/>
      <c r="AIC280" s="6"/>
      <c r="AID280" s="6"/>
      <c r="AIE280" s="6"/>
      <c r="AIF280" s="6"/>
      <c r="AIG280" s="6"/>
      <c r="AIH280" s="6"/>
      <c r="AII280" s="6"/>
      <c r="AIJ280" s="6"/>
      <c r="AIK280" s="6"/>
      <c r="AIL280" s="6"/>
      <c r="AIM280" s="6"/>
      <c r="AIN280" s="6"/>
      <c r="AIO280" s="6"/>
      <c r="AIP280" s="6"/>
      <c r="AIQ280" s="6"/>
      <c r="AIR280" s="6"/>
      <c r="AIS280" s="6"/>
      <c r="AIT280" s="6"/>
      <c r="AIU280" s="6"/>
      <c r="AIV280" s="6"/>
      <c r="AIW280" s="6"/>
      <c r="AIX280" s="6"/>
      <c r="AIY280" s="6"/>
      <c r="AIZ280" s="6"/>
      <c r="AJA280" s="6"/>
      <c r="AJB280" s="6"/>
      <c r="AJC280" s="6"/>
      <c r="AJD280" s="6"/>
      <c r="AJE280" s="6"/>
      <c r="AJF280" s="6"/>
      <c r="AJG280" s="6"/>
      <c r="AJH280" s="6"/>
      <c r="AJI280" s="6"/>
      <c r="AJJ280" s="6"/>
      <c r="AJK280" s="6"/>
      <c r="AJL280" s="6"/>
      <c r="AJM280" s="6"/>
      <c r="AJN280" s="6"/>
      <c r="AJO280" s="6"/>
      <c r="AJP280" s="6"/>
      <c r="AJQ280" s="6"/>
      <c r="AJR280" s="6"/>
      <c r="AJS280" s="6"/>
      <c r="AJT280" s="6"/>
      <c r="AJU280" s="6"/>
      <c r="AJV280" s="6"/>
      <c r="AJW280" s="6"/>
      <c r="AJX280" s="6"/>
      <c r="AJY280" s="6"/>
      <c r="AJZ280" s="6"/>
      <c r="AKA280" s="6"/>
      <c r="AKB280" s="6"/>
      <c r="AKC280" s="6"/>
      <c r="AKD280" s="6"/>
      <c r="AKE280" s="6"/>
      <c r="AKF280" s="6"/>
      <c r="AKG280" s="6"/>
      <c r="AKH280" s="6"/>
      <c r="AKI280" s="6"/>
      <c r="AKJ280" s="6"/>
      <c r="AKK280" s="6"/>
      <c r="AKL280" s="6"/>
      <c r="AKM280" s="6"/>
      <c r="AKN280" s="6"/>
      <c r="AKO280" s="6"/>
      <c r="AKP280" s="6"/>
      <c r="AKQ280" s="6"/>
      <c r="AKR280" s="6"/>
      <c r="AKS280" s="6"/>
      <c r="AKT280" s="6"/>
      <c r="AKU280" s="6"/>
      <c r="AKV280" s="6"/>
      <c r="AKW280" s="6"/>
      <c r="AKX280" s="6"/>
      <c r="AKY280" s="6"/>
      <c r="AKZ280" s="6"/>
      <c r="ALA280" s="6"/>
      <c r="ALB280" s="6"/>
      <c r="ALC280" s="6"/>
      <c r="ALD280" s="6"/>
      <c r="ALE280" s="6"/>
      <c r="ALF280" s="6"/>
      <c r="ALG280" s="6"/>
      <c r="ALH280" s="6"/>
      <c r="ALI280" s="6"/>
      <c r="ALJ280" s="6"/>
      <c r="ALK280" s="6"/>
      <c r="ALL280" s="6"/>
      <c r="ALM280" s="6"/>
      <c r="ALN280" s="6"/>
      <c r="ALO280" s="6"/>
      <c r="ALP280" s="6"/>
      <c r="ALQ280" s="6"/>
      <c r="ALR280" s="6"/>
      <c r="ALS280" s="6"/>
      <c r="ALT280" s="6"/>
      <c r="ALU280" s="6"/>
      <c r="ALV280" s="6"/>
      <c r="ALW280" s="6"/>
      <c r="ALX280" s="6"/>
      <c r="ALY280" s="6"/>
      <c r="ALZ280" s="6"/>
      <c r="AMA280" s="6"/>
      <c r="AMB280" s="6"/>
      <c r="AMC280" s="6"/>
      <c r="AMD280" s="6"/>
      <c r="AME280" s="6"/>
      <c r="AMF280" s="6"/>
      <c r="AMG280" s="6"/>
      <c r="AMH280" s="6"/>
      <c r="AMI280" s="6"/>
      <c r="AMJ280" s="6"/>
      <c r="AMK280" s="6"/>
      <c r="AML280" s="6"/>
      <c r="AMM280" s="6"/>
      <c r="AMN280" s="6"/>
      <c r="AMO280" s="6"/>
      <c r="AMP280" s="6"/>
    </row>
    <row r="281" spans="1:1030" x14ac:dyDescent="0.2">
      <c r="A281" s="3" t="str">
        <f t="shared" si="1034"/>
        <v>calcr_human_5UZ7</v>
      </c>
      <c r="B281" s="2" t="s">
        <v>401</v>
      </c>
      <c r="C281" s="3" t="s">
        <v>1409</v>
      </c>
      <c r="D281" s="3" t="str">
        <f>IFERROR(MID(VLOOKUP($B281,Seqs!$A:$B,2,0),E281,1),"")</f>
        <v>A</v>
      </c>
      <c r="E281" s="3">
        <v>136</v>
      </c>
      <c r="F281" s="3" t="str">
        <f>IFERROR(MID(VLOOKUP($B281,Seqs!$A:$B,2,0),G281,1),"")</f>
        <v>F</v>
      </c>
      <c r="G281" s="3">
        <v>173</v>
      </c>
      <c r="H281" s="3" t="str">
        <f>IFERROR(MID(VLOOKUP($B281,Seqs!$A:$B,2,0),I281,1),"")</f>
        <v>R</v>
      </c>
      <c r="I281" s="23">
        <v>174</v>
      </c>
      <c r="J281" s="3" t="str">
        <f>IFERROR(MID(VLOOKUP($B281,Seqs!$A:$B,2,0),K281,1),"")</f>
        <v>G</v>
      </c>
      <c r="K281" s="23">
        <v>177</v>
      </c>
      <c r="L281" s="3" t="str">
        <f>IFERROR(MID(VLOOKUP($B281,Seqs!$A:$B,2,0),M281,1),"")</f>
        <v>C</v>
      </c>
      <c r="M281" s="3">
        <v>178</v>
      </c>
      <c r="N281" s="3" t="str">
        <f>IFERROR(MID(VLOOKUP($B281,Seqs!$A:$B,2,0),O281,1),"")</f>
        <v>V</v>
      </c>
      <c r="O281" s="3">
        <v>205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D</v>
      </c>
      <c r="U281" s="3">
        <v>215</v>
      </c>
      <c r="V281" s="3" t="str">
        <f>IFERROR(MID(VLOOKUP($B281,Seqs!$A:$B,2,0),W281,1),"")</f>
        <v>V</v>
      </c>
      <c r="W281" s="3">
        <v>250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R</v>
      </c>
      <c r="AC281" s="3">
        <v>258</v>
      </c>
      <c r="AD281" s="3" t="str">
        <f>IFERROR(MID(VLOOKUP($B281,Seqs!$A:$B,2,0),AE281,1),"")</f>
        <v>F</v>
      </c>
      <c r="AE281" s="3">
        <v>285</v>
      </c>
      <c r="AF281" s="3" t="str">
        <f>IFERROR(MID(VLOOKUP($B281,Seqs!$A:$B,2,0),AG281,1),"")</f>
        <v>C</v>
      </c>
      <c r="AG281" s="3">
        <v>289</v>
      </c>
      <c r="AH281" s="3" t="str">
        <f>IFERROR(MID(VLOOKUP($B281,Seqs!$A:$B,2,0),AI281,1),"")</f>
        <v>L</v>
      </c>
      <c r="AI281" s="3">
        <v>291</v>
      </c>
      <c r="AJ281" s="3" t="str">
        <f>IFERROR(MID(VLOOKUP($B281,Seqs!$A:$B,2,0),AK281,1),"")</f>
        <v>L</v>
      </c>
      <c r="AK281" s="3">
        <v>298</v>
      </c>
      <c r="AL281" s="3" t="str">
        <f>IFERROR(MID(VLOOKUP($B281,Seqs!$A:$B,2,0),AM281,1),"")</f>
        <v>R</v>
      </c>
      <c r="AM281" s="3">
        <v>328</v>
      </c>
      <c r="AN281" s="3" t="str">
        <f>IFERROR(MID(VLOOKUP($B281,Seqs!$A:$B,2,0),AO281,1),"")</f>
        <v>Y</v>
      </c>
      <c r="AO281" s="3">
        <v>338</v>
      </c>
      <c r="AP281" s="3" t="str">
        <f>IFERROR(MID(VLOOKUP($B281,Seqs!$A:$B,2,0),AQ281,1),"")</f>
        <v>P</v>
      </c>
      <c r="AQ281" s="3">
        <v>360</v>
      </c>
      <c r="AR281" s="3" t="str">
        <f>IFERROR(MID(VLOOKUP($B281,Seqs!$A:$B,2,0),AS281,1),"")</f>
        <v>K</v>
      </c>
      <c r="AS281" s="3">
        <v>366</v>
      </c>
      <c r="AT281" s="3" t="str">
        <f>IFERROR(MID(VLOOKUP($B281,Seqs!$A:$B,2,0),AU281,1),"")</f>
        <v>C</v>
      </c>
      <c r="AU281" s="3">
        <v>394</v>
      </c>
      <c r="AV281" s="3" t="str">
        <f>IFERROR(MID(VLOOKUP($B281,Seqs!$A:$B,2,0),AW281,1),"")</f>
        <v>N</v>
      </c>
      <c r="AW281" s="3">
        <v>395</v>
      </c>
      <c r="AX281" s="3" t="str">
        <f>IFERROR(MID(VLOOKUP($B281,Seqs!$A:$B,2,0),AY281,1),"")</f>
        <v>G</v>
      </c>
      <c r="AY281" s="3">
        <v>418</v>
      </c>
      <c r="AZ281" s="77" t="str">
        <f>VLOOKUP(B281,Classification!A:D,2,0)</f>
        <v>B1</v>
      </c>
      <c r="BA281" s="94" t="str">
        <f>VLOOKUP(B281,Classification!A:D,4,0)</f>
        <v>Calcitonin</v>
      </c>
      <c r="BB281" s="27" t="b">
        <f t="shared" si="1007"/>
        <v>1</v>
      </c>
      <c r="BC281" s="23">
        <f t="shared" si="1008"/>
        <v>246</v>
      </c>
      <c r="BD281" s="4" t="s">
        <v>1382</v>
      </c>
      <c r="BE281" s="3" t="s">
        <v>1297</v>
      </c>
      <c r="BF281" s="119">
        <v>4.0999999999999996</v>
      </c>
      <c r="BG281" s="49" t="s">
        <v>1384</v>
      </c>
      <c r="BH281" s="49" t="s">
        <v>1384</v>
      </c>
      <c r="BI281" s="1"/>
      <c r="BJ281" s="70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0">
        <f t="shared" si="1009"/>
        <v>136</v>
      </c>
      <c r="BW281" s="71">
        <f t="shared" si="1010"/>
        <v>174</v>
      </c>
      <c r="BX281" s="72">
        <f t="shared" si="1011"/>
        <v>178</v>
      </c>
      <c r="BY281" s="71" t="str">
        <f t="shared" si="1012"/>
        <v>-</v>
      </c>
      <c r="BZ281" s="72">
        <f t="shared" si="1013"/>
        <v>215</v>
      </c>
      <c r="CA281" s="71" t="str">
        <f t="shared" si="1014"/>
        <v>-</v>
      </c>
      <c r="CB281" s="72">
        <f t="shared" si="1015"/>
        <v>258</v>
      </c>
      <c r="CC281" s="71">
        <f t="shared" si="1016"/>
        <v>289</v>
      </c>
      <c r="CD281" s="72">
        <f t="shared" si="1017"/>
        <v>298</v>
      </c>
      <c r="CE281" s="71">
        <f t="shared" si="1018"/>
        <v>338</v>
      </c>
      <c r="CF281" s="72">
        <f t="shared" si="1019"/>
        <v>366</v>
      </c>
      <c r="CG281" s="71">
        <f t="shared" si="1020"/>
        <v>395</v>
      </c>
      <c r="CH281" s="70">
        <f t="shared" si="1021"/>
        <v>173</v>
      </c>
      <c r="CI281" s="71">
        <f t="shared" si="1022"/>
        <v>177</v>
      </c>
      <c r="CJ281" s="72">
        <f t="shared" si="1023"/>
        <v>205</v>
      </c>
      <c r="CK281" s="72" t="str">
        <f t="shared" si="1024"/>
        <v>-</v>
      </c>
      <c r="CL281" s="72">
        <f t="shared" si="1025"/>
        <v>250</v>
      </c>
      <c r="CM281" s="72" t="str">
        <f t="shared" si="1026"/>
        <v>-</v>
      </c>
      <c r="CN281" s="72">
        <f t="shared" si="1027"/>
        <v>285</v>
      </c>
      <c r="CO281" s="72">
        <f t="shared" si="1028"/>
        <v>291</v>
      </c>
      <c r="CP281" s="72">
        <f t="shared" si="1029"/>
        <v>328</v>
      </c>
      <c r="CQ281" s="72">
        <f t="shared" si="1030"/>
        <v>360</v>
      </c>
      <c r="CR281" s="72">
        <f t="shared" si="1031"/>
        <v>394</v>
      </c>
      <c r="CS281" s="72">
        <f t="shared" si="1032"/>
        <v>418</v>
      </c>
      <c r="CT281" s="23">
        <f t="shared" si="1033"/>
        <v>1</v>
      </c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"/>
      <c r="PA281" s="6"/>
      <c r="PB281" s="6"/>
      <c r="PC281" s="6"/>
      <c r="PD281" s="6"/>
      <c r="PE281" s="6"/>
      <c r="PF281" s="6"/>
      <c r="PG281" s="6"/>
      <c r="PH281" s="6"/>
      <c r="PI281" s="6"/>
      <c r="PJ281" s="6"/>
      <c r="PK281" s="6"/>
      <c r="PL281" s="6"/>
      <c r="PM281" s="6"/>
      <c r="PN281" s="6"/>
      <c r="PO281" s="6"/>
      <c r="PP281" s="6"/>
      <c r="PQ281" s="6"/>
      <c r="PR281" s="6"/>
      <c r="PS281" s="6"/>
      <c r="PT281" s="6"/>
      <c r="PU281" s="6"/>
      <c r="PV281" s="6"/>
      <c r="PW281" s="6"/>
      <c r="PX281" s="6"/>
      <c r="PY281" s="6"/>
      <c r="PZ281" s="6"/>
      <c r="QA281" s="6"/>
      <c r="QB281" s="6"/>
      <c r="QC281" s="6"/>
      <c r="QD281" s="6"/>
      <c r="QE281" s="6"/>
      <c r="QF281" s="6"/>
      <c r="QG281" s="6"/>
      <c r="QH281" s="6"/>
      <c r="QI281" s="6"/>
      <c r="QJ281" s="6"/>
      <c r="QK281" s="6"/>
      <c r="QL281" s="6"/>
      <c r="QM281" s="6"/>
      <c r="QN281" s="6"/>
      <c r="QO281" s="6"/>
      <c r="QP281" s="6"/>
      <c r="QQ281" s="6"/>
      <c r="QR281" s="6"/>
      <c r="QS281" s="6"/>
      <c r="QT281" s="6"/>
      <c r="QU281" s="6"/>
      <c r="QV281" s="6"/>
      <c r="QW281" s="6"/>
      <c r="QX281" s="6"/>
      <c r="QY281" s="6"/>
      <c r="QZ281" s="6"/>
      <c r="RA281" s="6"/>
      <c r="RB281" s="6"/>
      <c r="RC281" s="6"/>
      <c r="RD281" s="6"/>
      <c r="RE281" s="6"/>
      <c r="RF281" s="6"/>
      <c r="RG281" s="6"/>
      <c r="RH281" s="6"/>
      <c r="RI281" s="6"/>
      <c r="RJ281" s="6"/>
      <c r="RK281" s="6"/>
      <c r="RL281" s="6"/>
      <c r="RM281" s="6"/>
      <c r="RN281" s="6"/>
      <c r="RO281" s="6"/>
      <c r="RP281" s="6"/>
      <c r="RQ281" s="6"/>
      <c r="RR281" s="6"/>
      <c r="RS281" s="6"/>
      <c r="RT281" s="6"/>
      <c r="RU281" s="6"/>
      <c r="RV281" s="6"/>
      <c r="RW281" s="6"/>
      <c r="RX281" s="6"/>
      <c r="RY281" s="6"/>
      <c r="RZ281" s="6"/>
      <c r="SA281" s="6"/>
      <c r="SB281" s="6"/>
      <c r="SC281" s="6"/>
      <c r="SD281" s="6"/>
      <c r="SE281" s="6"/>
      <c r="SF281" s="6"/>
      <c r="SG281" s="6"/>
      <c r="SH281" s="6"/>
      <c r="SI281" s="6"/>
      <c r="SJ281" s="6"/>
      <c r="SK281" s="6"/>
      <c r="SL281" s="6"/>
      <c r="SM281" s="6"/>
      <c r="SN281" s="6"/>
      <c r="SO281" s="6"/>
      <c r="SP281" s="6"/>
      <c r="SQ281" s="6"/>
      <c r="SR281" s="6"/>
      <c r="SS281" s="6"/>
      <c r="ST281" s="6"/>
      <c r="SU281" s="6"/>
      <c r="SV281" s="6"/>
      <c r="SW281" s="6"/>
      <c r="SX281" s="6"/>
      <c r="SY281" s="6"/>
      <c r="SZ281" s="6"/>
      <c r="TA281" s="6"/>
      <c r="TB281" s="6"/>
      <c r="TC281" s="6"/>
      <c r="TD281" s="6"/>
      <c r="TE281" s="6"/>
      <c r="TF281" s="6"/>
      <c r="TG281" s="6"/>
      <c r="TH281" s="6"/>
      <c r="TI281" s="6"/>
      <c r="TJ281" s="6"/>
      <c r="TK281" s="6"/>
      <c r="TL281" s="6"/>
      <c r="TM281" s="6"/>
      <c r="TN281" s="6"/>
      <c r="TO281" s="6"/>
      <c r="TP281" s="6"/>
      <c r="TQ281" s="6"/>
      <c r="TR281" s="6"/>
      <c r="TS281" s="6"/>
      <c r="TT281" s="6"/>
      <c r="TU281" s="6"/>
      <c r="TV281" s="6"/>
      <c r="TW281" s="6"/>
      <c r="TX281" s="6"/>
      <c r="TY281" s="6"/>
      <c r="TZ281" s="6"/>
      <c r="UA281" s="6"/>
      <c r="UB281" s="6"/>
      <c r="UC281" s="6"/>
      <c r="UD281" s="6"/>
      <c r="UE281" s="6"/>
      <c r="UF281" s="6"/>
      <c r="UG281" s="6"/>
      <c r="UH281" s="6"/>
      <c r="UI281" s="6"/>
      <c r="UJ281" s="6"/>
      <c r="UK281" s="6"/>
      <c r="UL281" s="6"/>
      <c r="UM281" s="6"/>
      <c r="UN281" s="6"/>
      <c r="UO281" s="6"/>
      <c r="UP281" s="6"/>
      <c r="UQ281" s="6"/>
      <c r="UR281" s="6"/>
      <c r="US281" s="6"/>
      <c r="UT281" s="6"/>
      <c r="UU281" s="6"/>
      <c r="UV281" s="6"/>
      <c r="UW281" s="6"/>
      <c r="UX281" s="6"/>
      <c r="UY281" s="6"/>
      <c r="UZ281" s="6"/>
      <c r="VA281" s="6"/>
      <c r="VB281" s="6"/>
      <c r="VC281" s="6"/>
      <c r="VD281" s="6"/>
      <c r="VE281" s="6"/>
      <c r="VF281" s="6"/>
      <c r="VG281" s="6"/>
      <c r="VH281" s="6"/>
      <c r="VI281" s="6"/>
      <c r="VJ281" s="6"/>
      <c r="VK281" s="6"/>
      <c r="VL281" s="6"/>
      <c r="VM281" s="6"/>
      <c r="VN281" s="6"/>
      <c r="VO281" s="6"/>
      <c r="VP281" s="6"/>
      <c r="VQ281" s="6"/>
      <c r="VR281" s="6"/>
      <c r="VS281" s="6"/>
      <c r="VT281" s="6"/>
      <c r="VU281" s="6"/>
      <c r="VV281" s="6"/>
      <c r="VW281" s="6"/>
      <c r="VX281" s="6"/>
      <c r="VY281" s="6"/>
      <c r="VZ281" s="6"/>
      <c r="WA281" s="6"/>
      <c r="WB281" s="6"/>
      <c r="WC281" s="6"/>
      <c r="WD281" s="6"/>
      <c r="WE281" s="6"/>
      <c r="WF281" s="6"/>
      <c r="WG281" s="6"/>
      <c r="WH281" s="6"/>
      <c r="WI281" s="6"/>
      <c r="WJ281" s="6"/>
      <c r="WK281" s="6"/>
      <c r="WL281" s="6"/>
      <c r="WM281" s="6"/>
      <c r="WN281" s="6"/>
      <c r="WO281" s="6"/>
      <c r="WP281" s="6"/>
      <c r="WQ281" s="6"/>
      <c r="WR281" s="6"/>
      <c r="WS281" s="6"/>
      <c r="WT281" s="6"/>
      <c r="WU281" s="6"/>
      <c r="WV281" s="6"/>
      <c r="WW281" s="6"/>
      <c r="WX281" s="6"/>
      <c r="WY281" s="6"/>
      <c r="WZ281" s="6"/>
      <c r="XA281" s="6"/>
      <c r="XB281" s="6"/>
      <c r="XC281" s="6"/>
      <c r="XD281" s="6"/>
      <c r="XE281" s="6"/>
      <c r="XF281" s="6"/>
      <c r="XG281" s="6"/>
      <c r="XH281" s="6"/>
      <c r="XI281" s="6"/>
      <c r="XJ281" s="6"/>
      <c r="XK281" s="6"/>
      <c r="XL281" s="6"/>
      <c r="XM281" s="6"/>
      <c r="XN281" s="6"/>
      <c r="XO281" s="6"/>
      <c r="XP281" s="6"/>
      <c r="XQ281" s="6"/>
      <c r="XR281" s="6"/>
      <c r="XS281" s="6"/>
      <c r="XT281" s="6"/>
      <c r="XU281" s="6"/>
      <c r="XV281" s="6"/>
      <c r="XW281" s="6"/>
      <c r="XX281" s="6"/>
      <c r="XY281" s="6"/>
      <c r="XZ281" s="6"/>
      <c r="YA281" s="6"/>
      <c r="YB281" s="6"/>
      <c r="YC281" s="6"/>
      <c r="YD281" s="6"/>
      <c r="YE281" s="6"/>
      <c r="YF281" s="6"/>
      <c r="YG281" s="6"/>
      <c r="YH281" s="6"/>
      <c r="YI281" s="6"/>
      <c r="YJ281" s="6"/>
      <c r="YK281" s="6"/>
      <c r="YL281" s="6"/>
      <c r="YM281" s="6"/>
      <c r="YN281" s="6"/>
      <c r="YO281" s="6"/>
      <c r="YP281" s="6"/>
      <c r="YQ281" s="6"/>
      <c r="YR281" s="6"/>
      <c r="YS281" s="6"/>
      <c r="YT281" s="6"/>
      <c r="YU281" s="6"/>
      <c r="YV281" s="6"/>
      <c r="YW281" s="6"/>
      <c r="YX281" s="6"/>
      <c r="YY281" s="6"/>
      <c r="YZ281" s="6"/>
      <c r="ZA281" s="6"/>
      <c r="ZB281" s="6"/>
      <c r="ZC281" s="6"/>
      <c r="ZD281" s="6"/>
      <c r="ZE281" s="6"/>
      <c r="ZF281" s="6"/>
      <c r="ZG281" s="6"/>
      <c r="ZH281" s="6"/>
      <c r="ZI281" s="6"/>
      <c r="ZJ281" s="6"/>
      <c r="ZK281" s="6"/>
      <c r="ZL281" s="6"/>
      <c r="ZM281" s="6"/>
      <c r="ZN281" s="6"/>
      <c r="ZO281" s="6"/>
      <c r="ZP281" s="6"/>
      <c r="ZQ281" s="6"/>
      <c r="ZR281" s="6"/>
      <c r="ZS281" s="6"/>
      <c r="ZT281" s="6"/>
      <c r="ZU281" s="6"/>
      <c r="ZV281" s="6"/>
      <c r="ZW281" s="6"/>
      <c r="ZX281" s="6"/>
      <c r="ZY281" s="6"/>
      <c r="ZZ281" s="6"/>
      <c r="AAA281" s="6"/>
      <c r="AAB281" s="6"/>
      <c r="AAC281" s="6"/>
      <c r="AAD281" s="6"/>
      <c r="AAE281" s="6"/>
      <c r="AAF281" s="6"/>
      <c r="AAG281" s="6"/>
      <c r="AAH281" s="6"/>
      <c r="AAI281" s="6"/>
      <c r="AAJ281" s="6"/>
      <c r="AAK281" s="6"/>
      <c r="AAL281" s="6"/>
      <c r="AAM281" s="6"/>
      <c r="AAN281" s="6"/>
      <c r="AAO281" s="6"/>
      <c r="AAP281" s="6"/>
      <c r="AAQ281" s="6"/>
      <c r="AAR281" s="6"/>
      <c r="AAS281" s="6"/>
      <c r="AAT281" s="6"/>
      <c r="AAU281" s="6"/>
      <c r="AAV281" s="6"/>
      <c r="AAW281" s="6"/>
      <c r="AAX281" s="6"/>
      <c r="AAY281" s="6"/>
      <c r="AAZ281" s="6"/>
      <c r="ABA281" s="6"/>
      <c r="ABB281" s="6"/>
      <c r="ABC281" s="6"/>
      <c r="ABD281" s="6"/>
      <c r="ABE281" s="6"/>
      <c r="ABF281" s="6"/>
      <c r="ABG281" s="6"/>
      <c r="ABH281" s="6"/>
      <c r="ABI281" s="6"/>
      <c r="ABJ281" s="6"/>
      <c r="ABK281" s="6"/>
      <c r="ABL281" s="6"/>
      <c r="ABM281" s="6"/>
      <c r="ABN281" s="6"/>
      <c r="ABO281" s="6"/>
      <c r="ABP281" s="6"/>
      <c r="ABQ281" s="6"/>
      <c r="ABR281" s="6"/>
      <c r="ABS281" s="6"/>
      <c r="ABT281" s="6"/>
      <c r="ABU281" s="6"/>
      <c r="ABV281" s="6"/>
      <c r="ABW281" s="6"/>
      <c r="ABX281" s="6"/>
      <c r="ABY281" s="6"/>
      <c r="ABZ281" s="6"/>
      <c r="ACA281" s="6"/>
      <c r="ACB281" s="6"/>
      <c r="ACC281" s="6"/>
      <c r="ACD281" s="6"/>
      <c r="ACE281" s="6"/>
      <c r="ACF281" s="6"/>
      <c r="ACG281" s="6"/>
      <c r="ACH281" s="6"/>
      <c r="ACI281" s="6"/>
      <c r="ACJ281" s="6"/>
      <c r="ACK281" s="6"/>
      <c r="ACL281" s="6"/>
      <c r="ACM281" s="6"/>
      <c r="ACN281" s="6"/>
      <c r="ACO281" s="6"/>
      <c r="ACP281" s="6"/>
      <c r="ACQ281" s="6"/>
      <c r="ACR281" s="6"/>
      <c r="ACS281" s="6"/>
      <c r="ACT281" s="6"/>
      <c r="ACU281" s="6"/>
      <c r="ACV281" s="6"/>
      <c r="ACW281" s="6"/>
      <c r="ACX281" s="6"/>
      <c r="ACY281" s="6"/>
      <c r="ACZ281" s="6"/>
      <c r="ADA281" s="6"/>
      <c r="ADB281" s="6"/>
      <c r="ADC281" s="6"/>
      <c r="ADD281" s="6"/>
      <c r="ADE281" s="6"/>
      <c r="ADF281" s="6"/>
      <c r="ADG281" s="6"/>
      <c r="ADH281" s="6"/>
      <c r="ADI281" s="6"/>
      <c r="ADJ281" s="6"/>
      <c r="ADK281" s="6"/>
      <c r="ADL281" s="6"/>
      <c r="ADM281" s="6"/>
      <c r="ADN281" s="6"/>
      <c r="ADO281" s="6"/>
      <c r="ADP281" s="6"/>
      <c r="ADQ281" s="6"/>
      <c r="ADR281" s="6"/>
      <c r="ADS281" s="6"/>
      <c r="ADT281" s="6"/>
      <c r="ADU281" s="6"/>
      <c r="ADV281" s="6"/>
      <c r="ADW281" s="6"/>
      <c r="ADX281" s="6"/>
      <c r="ADY281" s="6"/>
      <c r="ADZ281" s="6"/>
      <c r="AEA281" s="6"/>
      <c r="AEB281" s="6"/>
      <c r="AEC281" s="6"/>
      <c r="AED281" s="6"/>
      <c r="AEE281" s="6"/>
      <c r="AEF281" s="6"/>
      <c r="AEG281" s="6"/>
      <c r="AEH281" s="6"/>
      <c r="AEI281" s="6"/>
      <c r="AEJ281" s="6"/>
      <c r="AEK281" s="6"/>
      <c r="AEL281" s="6"/>
      <c r="AEM281" s="6"/>
      <c r="AEN281" s="6"/>
      <c r="AEO281" s="6"/>
      <c r="AEP281" s="6"/>
      <c r="AEQ281" s="6"/>
      <c r="AER281" s="6"/>
      <c r="AES281" s="6"/>
      <c r="AET281" s="6"/>
      <c r="AEU281" s="6"/>
      <c r="AEV281" s="6"/>
      <c r="AEW281" s="6"/>
      <c r="AEX281" s="6"/>
      <c r="AEY281" s="6"/>
      <c r="AEZ281" s="6"/>
      <c r="AFA281" s="6"/>
      <c r="AFB281" s="6"/>
      <c r="AFC281" s="6"/>
      <c r="AFD281" s="6"/>
      <c r="AFE281" s="6"/>
      <c r="AFF281" s="6"/>
      <c r="AFG281" s="6"/>
      <c r="AFH281" s="6"/>
      <c r="AFI281" s="6"/>
      <c r="AFJ281" s="6"/>
      <c r="AFK281" s="6"/>
      <c r="AFL281" s="6"/>
      <c r="AFM281" s="6"/>
      <c r="AFN281" s="6"/>
      <c r="AFO281" s="6"/>
      <c r="AFP281" s="6"/>
      <c r="AFQ281" s="6"/>
      <c r="AFR281" s="6"/>
      <c r="AFS281" s="6"/>
      <c r="AFT281" s="6"/>
      <c r="AFU281" s="6"/>
      <c r="AFV281" s="6"/>
      <c r="AFW281" s="6"/>
      <c r="AFX281" s="6"/>
      <c r="AFY281" s="6"/>
      <c r="AFZ281" s="6"/>
      <c r="AGA281" s="6"/>
      <c r="AGB281" s="6"/>
      <c r="AGC281" s="6"/>
      <c r="AGD281" s="6"/>
      <c r="AGE281" s="6"/>
      <c r="AGF281" s="6"/>
      <c r="AGG281" s="6"/>
      <c r="AGH281" s="6"/>
      <c r="AGI281" s="6"/>
      <c r="AGJ281" s="6"/>
      <c r="AGK281" s="6"/>
      <c r="AGL281" s="6"/>
      <c r="AGM281" s="6"/>
      <c r="AGN281" s="6"/>
      <c r="AGO281" s="6"/>
      <c r="AGP281" s="6"/>
      <c r="AGQ281" s="6"/>
      <c r="AGR281" s="6"/>
      <c r="AGS281" s="6"/>
      <c r="AGT281" s="6"/>
      <c r="AGU281" s="6"/>
      <c r="AGV281" s="6"/>
      <c r="AGW281" s="6"/>
      <c r="AGX281" s="6"/>
      <c r="AGY281" s="6"/>
      <c r="AGZ281" s="6"/>
      <c r="AHA281" s="6"/>
      <c r="AHB281" s="6"/>
      <c r="AHC281" s="6"/>
      <c r="AHD281" s="6"/>
      <c r="AHE281" s="6"/>
      <c r="AHF281" s="6"/>
      <c r="AHG281" s="6"/>
      <c r="AHH281" s="6"/>
      <c r="AHI281" s="6"/>
      <c r="AHJ281" s="6"/>
      <c r="AHK281" s="6"/>
      <c r="AHL281" s="6"/>
      <c r="AHM281" s="6"/>
      <c r="AHN281" s="6"/>
      <c r="AHO281" s="6"/>
      <c r="AHP281" s="6"/>
      <c r="AHQ281" s="6"/>
      <c r="AHR281" s="6"/>
      <c r="AHS281" s="6"/>
      <c r="AHT281" s="6"/>
      <c r="AHU281" s="6"/>
      <c r="AHV281" s="6"/>
      <c r="AHW281" s="6"/>
      <c r="AHX281" s="6"/>
      <c r="AHY281" s="6"/>
      <c r="AHZ281" s="6"/>
      <c r="AIA281" s="6"/>
      <c r="AIB281" s="6"/>
      <c r="AIC281" s="6"/>
      <c r="AID281" s="6"/>
      <c r="AIE281" s="6"/>
      <c r="AIF281" s="6"/>
      <c r="AIG281" s="6"/>
      <c r="AIH281" s="6"/>
      <c r="AII281" s="6"/>
      <c r="AIJ281" s="6"/>
      <c r="AIK281" s="6"/>
      <c r="AIL281" s="6"/>
      <c r="AIM281" s="6"/>
      <c r="AIN281" s="6"/>
      <c r="AIO281" s="6"/>
      <c r="AIP281" s="6"/>
      <c r="AIQ281" s="6"/>
      <c r="AIR281" s="6"/>
      <c r="AIS281" s="6"/>
      <c r="AIT281" s="6"/>
      <c r="AIU281" s="6"/>
      <c r="AIV281" s="6"/>
      <c r="AIW281" s="6"/>
      <c r="AIX281" s="6"/>
      <c r="AIY281" s="6"/>
      <c r="AIZ281" s="6"/>
      <c r="AJA281" s="6"/>
      <c r="AJB281" s="6"/>
      <c r="AJC281" s="6"/>
      <c r="AJD281" s="6"/>
      <c r="AJE281" s="6"/>
      <c r="AJF281" s="6"/>
      <c r="AJG281" s="6"/>
      <c r="AJH281" s="6"/>
      <c r="AJI281" s="6"/>
      <c r="AJJ281" s="6"/>
      <c r="AJK281" s="6"/>
      <c r="AJL281" s="6"/>
      <c r="AJM281" s="6"/>
      <c r="AJN281" s="6"/>
      <c r="AJO281" s="6"/>
      <c r="AJP281" s="6"/>
      <c r="AJQ281" s="6"/>
      <c r="AJR281" s="6"/>
      <c r="AJS281" s="6"/>
      <c r="AJT281" s="6"/>
      <c r="AJU281" s="6"/>
      <c r="AJV281" s="6"/>
      <c r="AJW281" s="6"/>
      <c r="AJX281" s="6"/>
      <c r="AJY281" s="6"/>
      <c r="AJZ281" s="6"/>
      <c r="AKA281" s="6"/>
      <c r="AKB281" s="6"/>
      <c r="AKC281" s="6"/>
      <c r="AKD281" s="6"/>
      <c r="AKE281" s="6"/>
      <c r="AKF281" s="6"/>
      <c r="AKG281" s="6"/>
      <c r="AKH281" s="6"/>
      <c r="AKI281" s="6"/>
      <c r="AKJ281" s="6"/>
      <c r="AKK281" s="6"/>
      <c r="AKL281" s="6"/>
      <c r="AKM281" s="6"/>
      <c r="AKN281" s="6"/>
      <c r="AKO281" s="6"/>
      <c r="AKP281" s="6"/>
      <c r="AKQ281" s="6"/>
      <c r="AKR281" s="6"/>
      <c r="AKS281" s="6"/>
      <c r="AKT281" s="6"/>
      <c r="AKU281" s="6"/>
      <c r="AKV281" s="6"/>
      <c r="AKW281" s="6"/>
      <c r="AKX281" s="6"/>
      <c r="AKY281" s="6"/>
      <c r="AKZ281" s="6"/>
      <c r="ALA281" s="6"/>
      <c r="ALB281" s="6"/>
      <c r="ALC281" s="6"/>
      <c r="ALD281" s="6"/>
      <c r="ALE281" s="6"/>
      <c r="ALF281" s="6"/>
      <c r="ALG281" s="6"/>
      <c r="ALH281" s="6"/>
      <c r="ALI281" s="6"/>
      <c r="ALJ281" s="6"/>
      <c r="ALK281" s="6"/>
      <c r="ALL281" s="6"/>
      <c r="ALM281" s="6"/>
      <c r="ALN281" s="6"/>
      <c r="ALO281" s="6"/>
      <c r="ALP281" s="6"/>
      <c r="ALQ281" s="6"/>
      <c r="ALR281" s="6"/>
      <c r="ALS281" s="6"/>
      <c r="ALT281" s="6"/>
      <c r="ALU281" s="6"/>
      <c r="ALV281" s="6"/>
      <c r="ALW281" s="6"/>
      <c r="ALX281" s="6"/>
      <c r="ALY281" s="6"/>
      <c r="ALZ281" s="6"/>
      <c r="AMA281" s="6"/>
      <c r="AMB281" s="6"/>
      <c r="AMC281" s="6"/>
      <c r="AMD281" s="6"/>
      <c r="AME281" s="6"/>
      <c r="AMF281" s="6"/>
      <c r="AMG281" s="6"/>
      <c r="AMH281" s="6"/>
      <c r="AMI281" s="6"/>
      <c r="AMJ281" s="6"/>
      <c r="AMK281" s="6"/>
      <c r="AML281" s="6"/>
      <c r="AMM281" s="6"/>
      <c r="AMN281" s="6"/>
      <c r="AMO281" s="6"/>
      <c r="AMP281" s="6"/>
    </row>
    <row r="282" spans="1:1030" s="12" customFormat="1" x14ac:dyDescent="0.2">
      <c r="A282" s="9" t="str">
        <f t="shared" si="1034"/>
        <v>calrl_human__wt</v>
      </c>
      <c r="B282" s="40" t="s">
        <v>402</v>
      </c>
      <c r="C282" s="9" t="s">
        <v>100</v>
      </c>
      <c r="D282" s="9" t="str">
        <f>IFERROR(MID(VLOOKUP($B282,Seqs!$A:$B,2,0),E282,1),"")</f>
        <v>N</v>
      </c>
      <c r="E282" s="9">
        <v>130</v>
      </c>
      <c r="F282" s="9" t="str">
        <f>IFERROR(MID(VLOOKUP($B282,Seqs!$A:$B,2,0),G282,1),"")</f>
        <v>F</v>
      </c>
      <c r="G282" s="9">
        <v>166</v>
      </c>
      <c r="H282" s="9" t="str">
        <f>IFERROR(MID(VLOOKUP($B282,Seqs!$A:$B,2,0),I282,1),"")</f>
        <v>K</v>
      </c>
      <c r="I282" s="109">
        <v>167</v>
      </c>
      <c r="J282" s="9" t="str">
        <f>IFERROR(MID(VLOOKUP($B282,Seqs!$A:$B,2,0),K282,1),"")</f>
        <v>S</v>
      </c>
      <c r="K282" s="109">
        <v>170</v>
      </c>
      <c r="L282" s="9" t="str">
        <f>IFERROR(MID(VLOOKUP($B282,Seqs!$A:$B,2,0),M282,1),"")</f>
        <v>C</v>
      </c>
      <c r="M282" s="9">
        <v>171</v>
      </c>
      <c r="N282" s="9" t="str">
        <f>IFERROR(MID(VLOOKUP($B282,Seqs!$A:$B,2,0),O282,1),"")</f>
        <v>V</v>
      </c>
      <c r="O282" s="9">
        <v>198</v>
      </c>
      <c r="P282" s="9" t="str">
        <f>IFERROR(MID(VLOOKUP($B282,Seqs!$A:$B,2,0),Q282,1),"")</f>
        <v/>
      </c>
      <c r="Q282" s="9" t="s">
        <v>23</v>
      </c>
      <c r="R282" s="9" t="str">
        <f>IFERROR(MID(VLOOKUP($B282,Seqs!$A:$B,2,0),S282,1),"")</f>
        <v/>
      </c>
      <c r="S282" s="9" t="s">
        <v>23</v>
      </c>
      <c r="T282" s="9" t="str">
        <f>IFERROR(MID(VLOOKUP($B282,Seqs!$A:$B,2,0),U282,1),"")</f>
        <v>V</v>
      </c>
      <c r="U282" s="9">
        <v>210</v>
      </c>
      <c r="V282" s="9" t="str">
        <f>IFERROR(MID(VLOOKUP($B282,Seqs!$A:$B,2,0),W282,1),"")</f>
        <v>V</v>
      </c>
      <c r="W282" s="9">
        <v>243</v>
      </c>
      <c r="X282" s="9" t="str">
        <f>IFERROR(MID(VLOOKUP($B282,Seqs!$A:$B,2,0),Y282,1),"")</f>
        <v/>
      </c>
      <c r="Y282" s="9" t="s">
        <v>23</v>
      </c>
      <c r="Z282" s="9" t="str">
        <f>IFERROR(MID(VLOOKUP($B282,Seqs!$A:$B,2,0),AA282,1),"")</f>
        <v/>
      </c>
      <c r="AA282" s="9" t="s">
        <v>23</v>
      </c>
      <c r="AB282" s="9" t="str">
        <f>IFERROR(MID(VLOOKUP($B282,Seqs!$A:$B,2,0),AC282,1),"")</f>
        <v>H</v>
      </c>
      <c r="AC282" s="9">
        <v>251</v>
      </c>
      <c r="AD282" s="9" t="str">
        <f>IFERROR(MID(VLOOKUP($B282,Seqs!$A:$B,2,0),AE282,1),"")</f>
        <v>Y</v>
      </c>
      <c r="AE282" s="9">
        <v>277</v>
      </c>
      <c r="AF282" s="9" t="str">
        <f>IFERROR(MID(VLOOKUP($B282,Seqs!$A:$B,2,0),AG282,1),"")</f>
        <v>C</v>
      </c>
      <c r="AG282" s="9">
        <v>282</v>
      </c>
      <c r="AH282" s="9" t="str">
        <f>IFERROR(MID(VLOOKUP($B282,Seqs!$A:$B,2,0),AI282,1),"")</f>
        <v>I</v>
      </c>
      <c r="AI282" s="9">
        <v>284</v>
      </c>
      <c r="AJ282" s="9" t="str">
        <f>IFERROR(MID(VLOOKUP($B282,Seqs!$A:$B,2,0),AK282,1),"")</f>
        <v>L</v>
      </c>
      <c r="AK282" s="9">
        <v>290</v>
      </c>
      <c r="AL282" s="9" t="str">
        <f>IFERROR(MID(VLOOKUP($B282,Seqs!$A:$B,2,0),AM282,1),"")</f>
        <v>K</v>
      </c>
      <c r="AM282" s="9">
        <v>321</v>
      </c>
      <c r="AN282" s="9" t="str">
        <f>IFERROR(MID(VLOOKUP($B282,Seqs!$A:$B,2,0),AO282,1),"")</f>
        <v>Y</v>
      </c>
      <c r="AO282" s="9">
        <v>331</v>
      </c>
      <c r="AP282" s="9" t="str">
        <f>IFERROR(MID(VLOOKUP($B282,Seqs!$A:$B,2,0),AQ282,1),"")</f>
        <v>W</v>
      </c>
      <c r="AQ282" s="9">
        <v>354</v>
      </c>
      <c r="AR282" s="9" t="str">
        <f>IFERROR(MID(VLOOKUP($B282,Seqs!$A:$B,2,0),AS282,1),"")</f>
        <v>K</v>
      </c>
      <c r="AS282" s="9">
        <v>359</v>
      </c>
      <c r="AT282" s="9" t="str">
        <f>IFERROR(MID(VLOOKUP($B282,Seqs!$A:$B,2,0),AU282,1),"")</f>
        <v>F</v>
      </c>
      <c r="AU282" s="9">
        <v>387</v>
      </c>
      <c r="AV282" s="9" t="str">
        <f>IFERROR(MID(VLOOKUP($B282,Seqs!$A:$B,2,0),AW282,1),"")</f>
        <v>N</v>
      </c>
      <c r="AW282" s="9">
        <v>388</v>
      </c>
      <c r="AX282" s="9" t="str">
        <f>IFERROR(MID(VLOOKUP($B282,Seqs!$A:$B,2,0),AY282,1),"")</f>
        <v>S</v>
      </c>
      <c r="AY282" s="9">
        <v>413</v>
      </c>
      <c r="AZ282" s="110" t="str">
        <f>VLOOKUP(B282,Classification!A:D,2,0)</f>
        <v>B1</v>
      </c>
      <c r="BA282" s="98" t="str">
        <f>VLOOKUP(B282,Classification!A:D,4,0)</f>
        <v>Calcitonin</v>
      </c>
      <c r="BB282" s="36" t="b">
        <f t="shared" ref="BB282" si="1035"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109">
        <f t="shared" ref="BC282" si="1036">_xlfn.AGGREGATE(9,6,CH282:CS282)-_xlfn.AGGREGATE(9,6,BV282:CG282)+12</f>
        <v>246</v>
      </c>
      <c r="BD282" s="11" t="s">
        <v>23</v>
      </c>
      <c r="BE282" s="9" t="s">
        <v>23</v>
      </c>
      <c r="BF282" s="120" t="s">
        <v>23</v>
      </c>
      <c r="BG282" s="51" t="s">
        <v>1384</v>
      </c>
      <c r="BH282" s="51" t="s">
        <v>1384</v>
      </c>
      <c r="BJ282" s="111" t="s">
        <v>1293</v>
      </c>
      <c r="BK282" s="112" t="s">
        <v>1293</v>
      </c>
      <c r="BL282" s="112" t="s">
        <v>1293</v>
      </c>
      <c r="BM282" s="112" t="s">
        <v>1293</v>
      </c>
      <c r="BN282" s="112" t="s">
        <v>1293</v>
      </c>
      <c r="BO282" s="112" t="s">
        <v>1293</v>
      </c>
      <c r="BP282" s="112" t="s">
        <v>1293</v>
      </c>
      <c r="BQ282" s="112" t="s">
        <v>1293</v>
      </c>
      <c r="BR282" s="112" t="s">
        <v>1293</v>
      </c>
      <c r="BS282" s="112" t="s">
        <v>1293</v>
      </c>
      <c r="BT282" s="112" t="s">
        <v>1293</v>
      </c>
      <c r="BU282" s="112" t="s">
        <v>1293</v>
      </c>
      <c r="BV282" s="111">
        <f t="shared" ref="BV282" si="1037">E282</f>
        <v>130</v>
      </c>
      <c r="BW282" s="113">
        <f t="shared" ref="BW282" si="1038">I282</f>
        <v>167</v>
      </c>
      <c r="BX282" s="114">
        <f t="shared" ref="BX282" si="1039">M282</f>
        <v>171</v>
      </c>
      <c r="BY282" s="113" t="str">
        <f t="shared" ref="BY282" si="1040">Q282</f>
        <v>-</v>
      </c>
      <c r="BZ282" s="114">
        <f t="shared" ref="BZ282" si="1041">U282</f>
        <v>210</v>
      </c>
      <c r="CA282" s="113" t="str">
        <f t="shared" ref="CA282" si="1042">Y282</f>
        <v>-</v>
      </c>
      <c r="CB282" s="114">
        <f t="shared" ref="CB282" si="1043">AC282</f>
        <v>251</v>
      </c>
      <c r="CC282" s="113">
        <f t="shared" ref="CC282" si="1044">AG282</f>
        <v>282</v>
      </c>
      <c r="CD282" s="114">
        <f t="shared" ref="CD282" si="1045">AK282</f>
        <v>290</v>
      </c>
      <c r="CE282" s="113">
        <f t="shared" ref="CE282" si="1046">AO282</f>
        <v>331</v>
      </c>
      <c r="CF282" s="114">
        <f t="shared" ref="CF282" si="1047">AS282</f>
        <v>359</v>
      </c>
      <c r="CG282" s="113">
        <f t="shared" ref="CG282" si="1048">AW282</f>
        <v>388</v>
      </c>
      <c r="CH282" s="111">
        <f t="shared" ref="CH282" si="1049">G282</f>
        <v>166</v>
      </c>
      <c r="CI282" s="113">
        <f t="shared" ref="CI282" si="1050">K282</f>
        <v>170</v>
      </c>
      <c r="CJ282" s="114">
        <f t="shared" ref="CJ282" si="1051">O282</f>
        <v>198</v>
      </c>
      <c r="CK282" s="114" t="str">
        <f t="shared" ref="CK282" si="1052">S282</f>
        <v>-</v>
      </c>
      <c r="CL282" s="114">
        <f t="shared" ref="CL282" si="1053">W282</f>
        <v>243</v>
      </c>
      <c r="CM282" s="114" t="str">
        <f t="shared" ref="CM282" si="1054">AA282</f>
        <v>-</v>
      </c>
      <c r="CN282" s="114">
        <f t="shared" ref="CN282" si="1055">AE282</f>
        <v>277</v>
      </c>
      <c r="CO282" s="114">
        <f t="shared" ref="CO282" si="1056">AI282</f>
        <v>284</v>
      </c>
      <c r="CP282" s="114">
        <f t="shared" ref="CP282" si="1057">AM282</f>
        <v>321</v>
      </c>
      <c r="CQ282" s="114">
        <f t="shared" ref="CQ282" si="1058">AQ282</f>
        <v>354</v>
      </c>
      <c r="CR282" s="114">
        <f t="shared" ref="CR282" si="1059">AU282</f>
        <v>387</v>
      </c>
      <c r="CS282" s="114">
        <f t="shared" ref="CS282" si="1060">AY282</f>
        <v>413</v>
      </c>
      <c r="CT282" s="109">
        <f t="shared" ref="CT282" si="1061">M282-K282</f>
        <v>1</v>
      </c>
      <c r="CU282" s="132"/>
      <c r="CV282" s="132"/>
      <c r="CW282" s="132"/>
      <c r="CX282" s="132"/>
      <c r="CY282" s="132"/>
      <c r="CZ282" s="132"/>
      <c r="DA282" s="132"/>
      <c r="DB282" s="132"/>
      <c r="DC282" s="132"/>
      <c r="DD282" s="132"/>
      <c r="DE282" s="132"/>
      <c r="DF282" s="132"/>
      <c r="DG282" s="132"/>
      <c r="DH282" s="132"/>
      <c r="DI282" s="132"/>
      <c r="DJ282" s="132"/>
      <c r="DK282" s="132"/>
      <c r="DL282" s="132"/>
      <c r="DM282" s="132"/>
      <c r="DN282" s="132"/>
      <c r="DO282" s="132"/>
      <c r="DP282" s="132"/>
      <c r="DQ282" s="132"/>
      <c r="DR282" s="132"/>
      <c r="DS282" s="132"/>
      <c r="DT282" s="132"/>
      <c r="DU282" s="132"/>
      <c r="DV282" s="132"/>
      <c r="DW282" s="132"/>
      <c r="DX282" s="132"/>
      <c r="DY282" s="132"/>
      <c r="DZ282" s="132"/>
      <c r="EA282" s="132"/>
      <c r="EB282" s="132"/>
      <c r="EC282" s="132"/>
      <c r="ED282" s="132"/>
      <c r="EE282" s="132"/>
      <c r="EF282" s="132"/>
      <c r="EG282" s="132"/>
      <c r="EH282" s="132"/>
      <c r="EI282" s="132"/>
      <c r="EJ282" s="132"/>
      <c r="EK282" s="132"/>
      <c r="EL282" s="132"/>
      <c r="EM282" s="132"/>
      <c r="EN282" s="132"/>
      <c r="EO282" s="132"/>
      <c r="EP282" s="132"/>
      <c r="EQ282" s="132"/>
      <c r="ER282" s="132"/>
      <c r="ES282" s="132"/>
      <c r="ET282" s="132"/>
      <c r="EU282" s="132"/>
      <c r="EV282" s="132"/>
      <c r="EW282" s="132"/>
      <c r="EX282" s="132"/>
      <c r="EY282" s="132"/>
      <c r="EZ282" s="132"/>
      <c r="FA282" s="132"/>
      <c r="FB282" s="132"/>
      <c r="FC282" s="132"/>
      <c r="FD282" s="132"/>
      <c r="FE282" s="132"/>
      <c r="FF282" s="132"/>
      <c r="FG282" s="132"/>
      <c r="FH282" s="132"/>
      <c r="FI282" s="132"/>
      <c r="FJ282" s="132"/>
      <c r="FK282" s="132"/>
      <c r="FL282" s="132"/>
      <c r="FM282" s="132"/>
      <c r="FN282" s="132"/>
      <c r="FO282" s="132"/>
      <c r="FP282" s="132"/>
      <c r="FQ282" s="132"/>
      <c r="FR282" s="132"/>
      <c r="FS282" s="132"/>
      <c r="FT282" s="132"/>
      <c r="FU282" s="132"/>
      <c r="FV282" s="132"/>
      <c r="FW282" s="132"/>
      <c r="FX282" s="132"/>
      <c r="FY282" s="132"/>
      <c r="FZ282" s="132"/>
      <c r="GA282" s="132"/>
      <c r="GB282" s="132"/>
      <c r="GC282" s="132"/>
      <c r="GD282" s="132"/>
      <c r="GE282" s="132"/>
      <c r="GF282" s="132"/>
      <c r="GG282" s="132"/>
      <c r="GH282" s="132"/>
      <c r="GI282" s="132"/>
      <c r="GJ282" s="132"/>
      <c r="GK282" s="132"/>
      <c r="GL282" s="132"/>
      <c r="GM282" s="132"/>
      <c r="GN282" s="132"/>
      <c r="GO282" s="132"/>
      <c r="GP282" s="132"/>
      <c r="GQ282" s="132"/>
      <c r="GR282" s="132"/>
      <c r="GS282" s="132"/>
      <c r="GT282" s="132"/>
      <c r="GU282" s="132"/>
      <c r="GV282" s="132"/>
      <c r="GW282" s="132"/>
      <c r="GX282" s="132"/>
      <c r="GY282" s="132"/>
      <c r="GZ282" s="132"/>
      <c r="HA282" s="132"/>
      <c r="HB282" s="132"/>
      <c r="HC282" s="132"/>
      <c r="HD282" s="132"/>
      <c r="HE282" s="132"/>
      <c r="HF282" s="132"/>
      <c r="HG282" s="132"/>
      <c r="HH282" s="132"/>
      <c r="HI282" s="132"/>
      <c r="HJ282" s="132"/>
      <c r="HK282" s="132"/>
      <c r="HL282" s="132"/>
      <c r="HM282" s="132"/>
      <c r="HN282" s="132"/>
      <c r="HO282" s="132"/>
      <c r="HP282" s="132"/>
      <c r="HQ282" s="132"/>
      <c r="HR282" s="132"/>
      <c r="HS282" s="132"/>
      <c r="HT282" s="132"/>
      <c r="HU282" s="132"/>
      <c r="HV282" s="132"/>
      <c r="HW282" s="132"/>
      <c r="HX282" s="132"/>
      <c r="HY282" s="132"/>
      <c r="HZ282" s="132"/>
      <c r="IA282" s="132"/>
      <c r="IB282" s="132"/>
      <c r="IC282" s="132"/>
      <c r="ID282" s="132"/>
      <c r="IE282" s="132"/>
      <c r="IF282" s="132"/>
      <c r="IG282" s="132"/>
      <c r="IH282" s="132"/>
      <c r="II282" s="132"/>
      <c r="IJ282" s="132"/>
      <c r="IK282" s="132"/>
      <c r="IL282" s="132"/>
      <c r="IM282" s="132"/>
      <c r="IN282" s="132"/>
      <c r="IO282" s="132"/>
      <c r="IP282" s="132"/>
      <c r="IQ282" s="132"/>
      <c r="IR282" s="132"/>
      <c r="IS282" s="132"/>
      <c r="IT282" s="132"/>
      <c r="IU282" s="132"/>
      <c r="IV282" s="132"/>
      <c r="IW282" s="132"/>
      <c r="IX282" s="132"/>
      <c r="IY282" s="132"/>
      <c r="IZ282" s="132"/>
      <c r="JA282" s="132"/>
      <c r="JB282" s="132"/>
      <c r="JC282" s="132"/>
      <c r="JD282" s="132"/>
      <c r="JE282" s="132"/>
      <c r="JF282" s="132"/>
      <c r="JG282" s="132"/>
      <c r="JH282" s="132"/>
      <c r="JI282" s="132"/>
      <c r="JJ282" s="132"/>
      <c r="JK282" s="132"/>
      <c r="JL282" s="132"/>
      <c r="JM282" s="132"/>
      <c r="JN282" s="132"/>
      <c r="JO282" s="132"/>
      <c r="JP282" s="132"/>
      <c r="JQ282" s="132"/>
      <c r="JR282" s="132"/>
      <c r="JS282" s="132"/>
      <c r="JT282" s="132"/>
      <c r="JU282" s="132"/>
      <c r="JV282" s="132"/>
      <c r="JW282" s="132"/>
      <c r="JX282" s="132"/>
      <c r="JY282" s="132"/>
      <c r="JZ282" s="132"/>
      <c r="KA282" s="132"/>
      <c r="KB282" s="132"/>
      <c r="KC282" s="132"/>
      <c r="KD282" s="132"/>
      <c r="KE282" s="132"/>
      <c r="KF282" s="132"/>
      <c r="KG282" s="132"/>
      <c r="KH282" s="132"/>
      <c r="KI282" s="132"/>
      <c r="KJ282" s="132"/>
      <c r="KK282" s="132"/>
      <c r="KL282" s="132"/>
      <c r="KM282" s="132"/>
      <c r="KN282" s="132"/>
      <c r="KO282" s="132"/>
      <c r="KP282" s="132"/>
      <c r="KQ282" s="132"/>
      <c r="KR282" s="132"/>
      <c r="KS282" s="132"/>
      <c r="KT282" s="132"/>
      <c r="KU282" s="132"/>
      <c r="KV282" s="132"/>
      <c r="KW282" s="132"/>
      <c r="KX282" s="132"/>
      <c r="KY282" s="132"/>
      <c r="KZ282" s="132"/>
      <c r="LA282" s="132"/>
      <c r="LB282" s="132"/>
      <c r="LC282" s="132"/>
      <c r="LD282" s="132"/>
      <c r="LE282" s="132"/>
      <c r="LF282" s="132"/>
      <c r="LG282" s="132"/>
      <c r="LH282" s="132"/>
      <c r="LI282" s="132"/>
      <c r="LJ282" s="132"/>
      <c r="LK282" s="132"/>
      <c r="LL282" s="132"/>
      <c r="LM282" s="132"/>
      <c r="LN282" s="132"/>
      <c r="LO282" s="132"/>
      <c r="LP282" s="132"/>
      <c r="LQ282" s="132"/>
      <c r="LR282" s="132"/>
      <c r="LS282" s="132"/>
      <c r="LT282" s="132"/>
      <c r="LU282" s="132"/>
      <c r="LV282" s="132"/>
      <c r="LW282" s="132"/>
      <c r="LX282" s="132"/>
      <c r="LY282" s="132"/>
      <c r="LZ282" s="132"/>
      <c r="MA282" s="132"/>
      <c r="MB282" s="132"/>
      <c r="MC282" s="132"/>
      <c r="MD282" s="132"/>
      <c r="ME282" s="132"/>
      <c r="MF282" s="132"/>
      <c r="MG282" s="132"/>
      <c r="MH282" s="132"/>
      <c r="MI282" s="132"/>
      <c r="MJ282" s="132"/>
      <c r="MK282" s="132"/>
      <c r="ML282" s="132"/>
      <c r="MM282" s="132"/>
      <c r="MN282" s="132"/>
      <c r="MO282" s="132"/>
      <c r="MP282" s="132"/>
      <c r="MQ282" s="132"/>
      <c r="MR282" s="132"/>
      <c r="MS282" s="132"/>
      <c r="MT282" s="132"/>
      <c r="MU282" s="132"/>
      <c r="MV282" s="132"/>
      <c r="MW282" s="132"/>
      <c r="MX282" s="132"/>
      <c r="MY282" s="132"/>
      <c r="MZ282" s="132"/>
      <c r="NA282" s="132"/>
      <c r="NB282" s="132"/>
      <c r="NC282" s="132"/>
      <c r="ND282" s="132"/>
      <c r="NE282" s="132"/>
      <c r="NF282" s="132"/>
      <c r="NG282" s="132"/>
      <c r="NH282" s="132"/>
      <c r="NI282" s="132"/>
      <c r="NJ282" s="132"/>
      <c r="NK282" s="132"/>
      <c r="NL282" s="132"/>
      <c r="NM282" s="132"/>
      <c r="NN282" s="132"/>
      <c r="NO282" s="132"/>
      <c r="NP282" s="132"/>
      <c r="NQ282" s="132"/>
      <c r="NR282" s="132"/>
      <c r="NS282" s="132"/>
      <c r="NT282" s="132"/>
      <c r="NU282" s="132"/>
      <c r="NV282" s="132"/>
      <c r="NW282" s="132"/>
      <c r="NX282" s="132"/>
      <c r="NY282" s="132"/>
      <c r="NZ282" s="132"/>
      <c r="OA282" s="132"/>
      <c r="OB282" s="132"/>
      <c r="OC282" s="132"/>
      <c r="OD282" s="132"/>
      <c r="OE282" s="132"/>
      <c r="OF282" s="132"/>
      <c r="OG282" s="132"/>
      <c r="OH282" s="132"/>
      <c r="OI282" s="132"/>
      <c r="OJ282" s="132"/>
      <c r="OK282" s="132"/>
      <c r="OL282" s="132"/>
      <c r="OM282" s="132"/>
      <c r="ON282" s="132"/>
      <c r="OO282" s="132"/>
      <c r="OP282" s="132"/>
      <c r="OQ282" s="132"/>
      <c r="OR282" s="132"/>
      <c r="OS282" s="132"/>
      <c r="OT282" s="132"/>
      <c r="OU282" s="132"/>
      <c r="OV282" s="132"/>
      <c r="OW282" s="132"/>
      <c r="OX282" s="132"/>
      <c r="OY282" s="132"/>
      <c r="OZ282" s="132"/>
      <c r="PA282" s="132"/>
      <c r="PB282" s="132"/>
      <c r="PC282" s="132"/>
      <c r="PD282" s="132"/>
      <c r="PE282" s="132"/>
      <c r="PF282" s="132"/>
      <c r="PG282" s="132"/>
      <c r="PH282" s="132"/>
      <c r="PI282" s="132"/>
      <c r="PJ282" s="132"/>
      <c r="PK282" s="132"/>
      <c r="PL282" s="132"/>
      <c r="PM282" s="132"/>
      <c r="PN282" s="132"/>
      <c r="PO282" s="132"/>
      <c r="PP282" s="132"/>
      <c r="PQ282" s="132"/>
      <c r="PR282" s="132"/>
      <c r="PS282" s="132"/>
      <c r="PT282" s="132"/>
      <c r="PU282" s="132"/>
      <c r="PV282" s="132"/>
      <c r="PW282" s="132"/>
      <c r="PX282" s="132"/>
      <c r="PY282" s="132"/>
      <c r="PZ282" s="132"/>
      <c r="QA282" s="132"/>
      <c r="QB282" s="132"/>
      <c r="QC282" s="132"/>
      <c r="QD282" s="132"/>
      <c r="QE282" s="132"/>
      <c r="QF282" s="132"/>
      <c r="QG282" s="132"/>
      <c r="QH282" s="132"/>
      <c r="QI282" s="132"/>
      <c r="QJ282" s="132"/>
      <c r="QK282" s="132"/>
      <c r="QL282" s="132"/>
      <c r="QM282" s="132"/>
      <c r="QN282" s="132"/>
      <c r="QO282" s="132"/>
      <c r="QP282" s="132"/>
      <c r="QQ282" s="132"/>
      <c r="QR282" s="132"/>
      <c r="QS282" s="132"/>
      <c r="QT282" s="132"/>
      <c r="QU282" s="132"/>
      <c r="QV282" s="132"/>
      <c r="QW282" s="132"/>
      <c r="QX282" s="132"/>
      <c r="QY282" s="132"/>
      <c r="QZ282" s="132"/>
      <c r="RA282" s="132"/>
      <c r="RB282" s="132"/>
      <c r="RC282" s="132"/>
      <c r="RD282" s="132"/>
      <c r="RE282" s="132"/>
      <c r="RF282" s="132"/>
      <c r="RG282" s="132"/>
      <c r="RH282" s="132"/>
      <c r="RI282" s="132"/>
      <c r="RJ282" s="132"/>
      <c r="RK282" s="132"/>
      <c r="RL282" s="132"/>
      <c r="RM282" s="132"/>
      <c r="RN282" s="132"/>
      <c r="RO282" s="132"/>
      <c r="RP282" s="132"/>
      <c r="RQ282" s="132"/>
      <c r="RR282" s="132"/>
      <c r="RS282" s="132"/>
      <c r="RT282" s="132"/>
      <c r="RU282" s="132"/>
      <c r="RV282" s="132"/>
      <c r="RW282" s="132"/>
      <c r="RX282" s="132"/>
      <c r="RY282" s="132"/>
      <c r="RZ282" s="132"/>
      <c r="SA282" s="132"/>
      <c r="SB282" s="132"/>
      <c r="SC282" s="132"/>
      <c r="SD282" s="132"/>
      <c r="SE282" s="132"/>
      <c r="SF282" s="132"/>
      <c r="SG282" s="132"/>
      <c r="SH282" s="132"/>
      <c r="SI282" s="132"/>
      <c r="SJ282" s="132"/>
      <c r="SK282" s="132"/>
      <c r="SL282" s="132"/>
      <c r="SM282" s="132"/>
      <c r="SN282" s="132"/>
      <c r="SO282" s="132"/>
      <c r="SP282" s="132"/>
      <c r="SQ282" s="132"/>
      <c r="SR282" s="132"/>
      <c r="SS282" s="132"/>
      <c r="ST282" s="132"/>
      <c r="SU282" s="132"/>
      <c r="SV282" s="132"/>
      <c r="SW282" s="132"/>
      <c r="SX282" s="132"/>
      <c r="SY282" s="132"/>
      <c r="SZ282" s="132"/>
      <c r="TA282" s="132"/>
      <c r="TB282" s="132"/>
      <c r="TC282" s="132"/>
      <c r="TD282" s="132"/>
      <c r="TE282" s="132"/>
      <c r="TF282" s="132"/>
      <c r="TG282" s="132"/>
      <c r="TH282" s="132"/>
      <c r="TI282" s="132"/>
      <c r="TJ282" s="132"/>
      <c r="TK282" s="132"/>
      <c r="TL282" s="132"/>
      <c r="TM282" s="132"/>
      <c r="TN282" s="132"/>
      <c r="TO282" s="132"/>
      <c r="TP282" s="132"/>
      <c r="TQ282" s="132"/>
      <c r="TR282" s="132"/>
      <c r="TS282" s="132"/>
      <c r="TT282" s="132"/>
      <c r="TU282" s="132"/>
      <c r="TV282" s="132"/>
      <c r="TW282" s="132"/>
      <c r="TX282" s="132"/>
      <c r="TY282" s="132"/>
      <c r="TZ282" s="132"/>
      <c r="UA282" s="132"/>
      <c r="UB282" s="132"/>
      <c r="UC282" s="132"/>
      <c r="UD282" s="132"/>
      <c r="UE282" s="132"/>
      <c r="UF282" s="132"/>
      <c r="UG282" s="132"/>
      <c r="UH282" s="132"/>
      <c r="UI282" s="132"/>
      <c r="UJ282" s="132"/>
      <c r="UK282" s="132"/>
      <c r="UL282" s="132"/>
      <c r="UM282" s="132"/>
      <c r="UN282" s="132"/>
      <c r="UO282" s="132"/>
      <c r="UP282" s="132"/>
      <c r="UQ282" s="132"/>
      <c r="UR282" s="132"/>
      <c r="US282" s="132"/>
      <c r="UT282" s="132"/>
      <c r="UU282" s="132"/>
      <c r="UV282" s="132"/>
      <c r="UW282" s="132"/>
      <c r="UX282" s="132"/>
      <c r="UY282" s="132"/>
      <c r="UZ282" s="132"/>
      <c r="VA282" s="132"/>
      <c r="VB282" s="132"/>
      <c r="VC282" s="132"/>
      <c r="VD282" s="132"/>
      <c r="VE282" s="132"/>
      <c r="VF282" s="132"/>
      <c r="VG282" s="132"/>
      <c r="VH282" s="132"/>
      <c r="VI282" s="132"/>
      <c r="VJ282" s="132"/>
      <c r="VK282" s="132"/>
      <c r="VL282" s="132"/>
      <c r="VM282" s="132"/>
      <c r="VN282" s="132"/>
      <c r="VO282" s="132"/>
      <c r="VP282" s="132"/>
      <c r="VQ282" s="132"/>
      <c r="VR282" s="132"/>
      <c r="VS282" s="132"/>
      <c r="VT282" s="132"/>
      <c r="VU282" s="132"/>
      <c r="VV282" s="132"/>
      <c r="VW282" s="132"/>
      <c r="VX282" s="132"/>
      <c r="VY282" s="132"/>
      <c r="VZ282" s="132"/>
      <c r="WA282" s="132"/>
      <c r="WB282" s="132"/>
      <c r="WC282" s="132"/>
      <c r="WD282" s="132"/>
      <c r="WE282" s="132"/>
      <c r="WF282" s="132"/>
      <c r="WG282" s="132"/>
      <c r="WH282" s="132"/>
      <c r="WI282" s="132"/>
      <c r="WJ282" s="132"/>
      <c r="WK282" s="132"/>
      <c r="WL282" s="132"/>
      <c r="WM282" s="132"/>
      <c r="WN282" s="132"/>
      <c r="WO282" s="132"/>
      <c r="WP282" s="132"/>
      <c r="WQ282" s="132"/>
      <c r="WR282" s="132"/>
      <c r="WS282" s="132"/>
      <c r="WT282" s="132"/>
      <c r="WU282" s="132"/>
      <c r="WV282" s="132"/>
      <c r="WW282" s="132"/>
      <c r="WX282" s="132"/>
      <c r="WY282" s="132"/>
      <c r="WZ282" s="132"/>
      <c r="XA282" s="132"/>
      <c r="XB282" s="132"/>
      <c r="XC282" s="132"/>
      <c r="XD282" s="132"/>
      <c r="XE282" s="132"/>
      <c r="XF282" s="132"/>
      <c r="XG282" s="132"/>
      <c r="XH282" s="132"/>
      <c r="XI282" s="132"/>
      <c r="XJ282" s="132"/>
      <c r="XK282" s="132"/>
      <c r="XL282" s="132"/>
      <c r="XM282" s="132"/>
      <c r="XN282" s="132"/>
      <c r="XO282" s="132"/>
      <c r="XP282" s="132"/>
      <c r="XQ282" s="132"/>
      <c r="XR282" s="132"/>
      <c r="XS282" s="132"/>
      <c r="XT282" s="132"/>
      <c r="XU282" s="132"/>
      <c r="XV282" s="132"/>
      <c r="XW282" s="132"/>
      <c r="XX282" s="132"/>
      <c r="XY282" s="132"/>
      <c r="XZ282" s="132"/>
      <c r="YA282" s="132"/>
      <c r="YB282" s="132"/>
      <c r="YC282" s="132"/>
      <c r="YD282" s="132"/>
      <c r="YE282" s="132"/>
      <c r="YF282" s="132"/>
      <c r="YG282" s="132"/>
      <c r="YH282" s="132"/>
      <c r="YI282" s="132"/>
      <c r="YJ282" s="132"/>
      <c r="YK282" s="132"/>
      <c r="YL282" s="132"/>
      <c r="YM282" s="132"/>
      <c r="YN282" s="132"/>
      <c r="YO282" s="132"/>
      <c r="YP282" s="132"/>
      <c r="YQ282" s="132"/>
      <c r="YR282" s="132"/>
      <c r="YS282" s="132"/>
      <c r="YT282" s="132"/>
      <c r="YU282" s="132"/>
      <c r="YV282" s="132"/>
      <c r="YW282" s="132"/>
      <c r="YX282" s="132"/>
      <c r="YY282" s="132"/>
      <c r="YZ282" s="132"/>
      <c r="ZA282" s="132"/>
      <c r="ZB282" s="132"/>
      <c r="ZC282" s="132"/>
      <c r="ZD282" s="132"/>
      <c r="ZE282" s="132"/>
      <c r="ZF282" s="132"/>
      <c r="ZG282" s="132"/>
      <c r="ZH282" s="132"/>
      <c r="ZI282" s="132"/>
      <c r="ZJ282" s="132"/>
      <c r="ZK282" s="132"/>
      <c r="ZL282" s="132"/>
      <c r="ZM282" s="132"/>
      <c r="ZN282" s="132"/>
      <c r="ZO282" s="132"/>
      <c r="ZP282" s="132"/>
      <c r="ZQ282" s="132"/>
      <c r="ZR282" s="132"/>
      <c r="ZS282" s="132"/>
      <c r="ZT282" s="132"/>
      <c r="ZU282" s="132"/>
      <c r="ZV282" s="132"/>
      <c r="ZW282" s="132"/>
      <c r="ZX282" s="132"/>
      <c r="ZY282" s="132"/>
      <c r="ZZ282" s="132"/>
      <c r="AAA282" s="132"/>
      <c r="AAB282" s="132"/>
      <c r="AAC282" s="132"/>
      <c r="AAD282" s="132"/>
      <c r="AAE282" s="132"/>
      <c r="AAF282" s="132"/>
      <c r="AAG282" s="132"/>
      <c r="AAH282" s="132"/>
      <c r="AAI282" s="132"/>
      <c r="AAJ282" s="132"/>
      <c r="AAK282" s="132"/>
      <c r="AAL282" s="132"/>
      <c r="AAM282" s="132"/>
      <c r="AAN282" s="132"/>
      <c r="AAO282" s="132"/>
      <c r="AAP282" s="132"/>
      <c r="AAQ282" s="132"/>
      <c r="AAR282" s="132"/>
      <c r="AAS282" s="132"/>
      <c r="AAT282" s="132"/>
      <c r="AAU282" s="132"/>
      <c r="AAV282" s="132"/>
      <c r="AAW282" s="132"/>
      <c r="AAX282" s="132"/>
      <c r="AAY282" s="132"/>
      <c r="AAZ282" s="132"/>
      <c r="ABA282" s="132"/>
      <c r="ABB282" s="132"/>
      <c r="ABC282" s="132"/>
      <c r="ABD282" s="132"/>
      <c r="ABE282" s="132"/>
      <c r="ABF282" s="132"/>
      <c r="ABG282" s="132"/>
      <c r="ABH282" s="132"/>
      <c r="ABI282" s="132"/>
      <c r="ABJ282" s="132"/>
      <c r="ABK282" s="132"/>
      <c r="ABL282" s="132"/>
      <c r="ABM282" s="132"/>
      <c r="ABN282" s="132"/>
      <c r="ABO282" s="132"/>
      <c r="ABP282" s="132"/>
      <c r="ABQ282" s="132"/>
      <c r="ABR282" s="132"/>
      <c r="ABS282" s="132"/>
      <c r="ABT282" s="132"/>
      <c r="ABU282" s="132"/>
      <c r="ABV282" s="132"/>
      <c r="ABW282" s="132"/>
      <c r="ABX282" s="132"/>
      <c r="ABY282" s="132"/>
      <c r="ABZ282" s="132"/>
      <c r="ACA282" s="132"/>
      <c r="ACB282" s="132"/>
      <c r="ACC282" s="132"/>
      <c r="ACD282" s="132"/>
      <c r="ACE282" s="132"/>
      <c r="ACF282" s="132"/>
      <c r="ACG282" s="132"/>
      <c r="ACH282" s="132"/>
      <c r="ACI282" s="132"/>
      <c r="ACJ282" s="132"/>
      <c r="ACK282" s="132"/>
      <c r="ACL282" s="132"/>
      <c r="ACM282" s="132"/>
      <c r="ACN282" s="132"/>
      <c r="ACO282" s="132"/>
      <c r="ACP282" s="132"/>
      <c r="ACQ282" s="132"/>
      <c r="ACR282" s="132"/>
      <c r="ACS282" s="132"/>
      <c r="ACT282" s="132"/>
      <c r="ACU282" s="132"/>
      <c r="ACV282" s="132"/>
      <c r="ACW282" s="132"/>
      <c r="ACX282" s="132"/>
      <c r="ACY282" s="132"/>
      <c r="ACZ282" s="132"/>
      <c r="ADA282" s="132"/>
      <c r="ADB282" s="132"/>
      <c r="ADC282" s="132"/>
      <c r="ADD282" s="132"/>
      <c r="ADE282" s="132"/>
      <c r="ADF282" s="132"/>
      <c r="ADG282" s="132"/>
      <c r="ADH282" s="132"/>
      <c r="ADI282" s="132"/>
      <c r="ADJ282" s="132"/>
      <c r="ADK282" s="132"/>
      <c r="ADL282" s="132"/>
      <c r="ADM282" s="132"/>
      <c r="ADN282" s="132"/>
      <c r="ADO282" s="132"/>
      <c r="ADP282" s="132"/>
      <c r="ADQ282" s="132"/>
      <c r="ADR282" s="132"/>
      <c r="ADS282" s="132"/>
      <c r="ADT282" s="132"/>
      <c r="ADU282" s="132"/>
      <c r="ADV282" s="132"/>
      <c r="ADW282" s="132"/>
      <c r="ADX282" s="132"/>
      <c r="ADY282" s="132"/>
      <c r="ADZ282" s="132"/>
      <c r="AEA282" s="132"/>
      <c r="AEB282" s="132"/>
      <c r="AEC282" s="132"/>
      <c r="AED282" s="132"/>
      <c r="AEE282" s="132"/>
      <c r="AEF282" s="132"/>
      <c r="AEG282" s="132"/>
      <c r="AEH282" s="132"/>
      <c r="AEI282" s="132"/>
      <c r="AEJ282" s="132"/>
      <c r="AEK282" s="132"/>
      <c r="AEL282" s="132"/>
      <c r="AEM282" s="132"/>
      <c r="AEN282" s="132"/>
      <c r="AEO282" s="132"/>
      <c r="AEP282" s="132"/>
      <c r="AEQ282" s="132"/>
      <c r="AER282" s="132"/>
      <c r="AES282" s="132"/>
      <c r="AET282" s="132"/>
      <c r="AEU282" s="132"/>
      <c r="AEV282" s="132"/>
      <c r="AEW282" s="132"/>
      <c r="AEX282" s="132"/>
      <c r="AEY282" s="132"/>
      <c r="AEZ282" s="132"/>
      <c r="AFA282" s="132"/>
      <c r="AFB282" s="132"/>
      <c r="AFC282" s="132"/>
      <c r="AFD282" s="132"/>
      <c r="AFE282" s="132"/>
      <c r="AFF282" s="132"/>
      <c r="AFG282" s="132"/>
      <c r="AFH282" s="132"/>
      <c r="AFI282" s="132"/>
      <c r="AFJ282" s="132"/>
      <c r="AFK282" s="132"/>
      <c r="AFL282" s="132"/>
      <c r="AFM282" s="132"/>
      <c r="AFN282" s="132"/>
      <c r="AFO282" s="132"/>
      <c r="AFP282" s="132"/>
      <c r="AFQ282" s="132"/>
      <c r="AFR282" s="132"/>
      <c r="AFS282" s="132"/>
      <c r="AFT282" s="132"/>
      <c r="AFU282" s="132"/>
      <c r="AFV282" s="132"/>
      <c r="AFW282" s="132"/>
      <c r="AFX282" s="132"/>
      <c r="AFY282" s="132"/>
      <c r="AFZ282" s="132"/>
      <c r="AGA282" s="132"/>
      <c r="AGB282" s="132"/>
      <c r="AGC282" s="132"/>
      <c r="AGD282" s="132"/>
      <c r="AGE282" s="132"/>
      <c r="AGF282" s="132"/>
      <c r="AGG282" s="132"/>
      <c r="AGH282" s="132"/>
      <c r="AGI282" s="132"/>
      <c r="AGJ282" s="132"/>
      <c r="AGK282" s="132"/>
      <c r="AGL282" s="132"/>
      <c r="AGM282" s="132"/>
      <c r="AGN282" s="132"/>
      <c r="AGO282" s="132"/>
      <c r="AGP282" s="132"/>
      <c r="AGQ282" s="132"/>
      <c r="AGR282" s="132"/>
      <c r="AGS282" s="132"/>
      <c r="AGT282" s="132"/>
      <c r="AGU282" s="132"/>
      <c r="AGV282" s="132"/>
      <c r="AGW282" s="132"/>
      <c r="AGX282" s="132"/>
      <c r="AGY282" s="132"/>
      <c r="AGZ282" s="132"/>
      <c r="AHA282" s="132"/>
      <c r="AHB282" s="132"/>
      <c r="AHC282" s="132"/>
      <c r="AHD282" s="132"/>
      <c r="AHE282" s="132"/>
      <c r="AHF282" s="132"/>
      <c r="AHG282" s="132"/>
      <c r="AHH282" s="132"/>
      <c r="AHI282" s="132"/>
      <c r="AHJ282" s="132"/>
      <c r="AHK282" s="132"/>
      <c r="AHL282" s="132"/>
      <c r="AHM282" s="132"/>
      <c r="AHN282" s="132"/>
      <c r="AHO282" s="132"/>
      <c r="AHP282" s="132"/>
      <c r="AHQ282" s="132"/>
      <c r="AHR282" s="132"/>
      <c r="AHS282" s="132"/>
      <c r="AHT282" s="132"/>
      <c r="AHU282" s="132"/>
      <c r="AHV282" s="132"/>
      <c r="AHW282" s="132"/>
      <c r="AHX282" s="132"/>
      <c r="AHY282" s="132"/>
      <c r="AHZ282" s="132"/>
      <c r="AIA282" s="132"/>
      <c r="AIB282" s="132"/>
      <c r="AIC282" s="132"/>
      <c r="AID282" s="132"/>
      <c r="AIE282" s="132"/>
      <c r="AIF282" s="132"/>
      <c r="AIG282" s="132"/>
      <c r="AIH282" s="132"/>
      <c r="AII282" s="132"/>
      <c r="AIJ282" s="132"/>
      <c r="AIK282" s="132"/>
      <c r="AIL282" s="132"/>
      <c r="AIM282" s="132"/>
      <c r="AIN282" s="132"/>
      <c r="AIO282" s="132"/>
      <c r="AIP282" s="132"/>
      <c r="AIQ282" s="132"/>
      <c r="AIR282" s="132"/>
      <c r="AIS282" s="132"/>
      <c r="AIT282" s="132"/>
      <c r="AIU282" s="132"/>
      <c r="AIV282" s="132"/>
      <c r="AIW282" s="132"/>
      <c r="AIX282" s="132"/>
      <c r="AIY282" s="132"/>
      <c r="AIZ282" s="132"/>
      <c r="AJA282" s="132"/>
      <c r="AJB282" s="132"/>
      <c r="AJC282" s="132"/>
      <c r="AJD282" s="132"/>
      <c r="AJE282" s="132"/>
      <c r="AJF282" s="132"/>
      <c r="AJG282" s="132"/>
      <c r="AJH282" s="132"/>
      <c r="AJI282" s="132"/>
      <c r="AJJ282" s="132"/>
      <c r="AJK282" s="132"/>
      <c r="AJL282" s="132"/>
      <c r="AJM282" s="132"/>
      <c r="AJN282" s="132"/>
      <c r="AJO282" s="132"/>
      <c r="AJP282" s="132"/>
      <c r="AJQ282" s="132"/>
      <c r="AJR282" s="132"/>
      <c r="AJS282" s="132"/>
      <c r="AJT282" s="132"/>
      <c r="AJU282" s="132"/>
      <c r="AJV282" s="132"/>
      <c r="AJW282" s="132"/>
      <c r="AJX282" s="132"/>
      <c r="AJY282" s="132"/>
      <c r="AJZ282" s="132"/>
      <c r="AKA282" s="132"/>
      <c r="AKB282" s="132"/>
      <c r="AKC282" s="132"/>
      <c r="AKD282" s="132"/>
      <c r="AKE282" s="132"/>
      <c r="AKF282" s="132"/>
      <c r="AKG282" s="132"/>
      <c r="AKH282" s="132"/>
      <c r="AKI282" s="132"/>
      <c r="AKJ282" s="132"/>
      <c r="AKK282" s="132"/>
      <c r="AKL282" s="132"/>
      <c r="AKM282" s="132"/>
      <c r="AKN282" s="132"/>
      <c r="AKO282" s="132"/>
      <c r="AKP282" s="132"/>
      <c r="AKQ282" s="132"/>
      <c r="AKR282" s="132"/>
      <c r="AKS282" s="132"/>
      <c r="AKT282" s="132"/>
      <c r="AKU282" s="132"/>
      <c r="AKV282" s="132"/>
      <c r="AKW282" s="132"/>
      <c r="AKX282" s="132"/>
      <c r="AKY282" s="132"/>
      <c r="AKZ282" s="132"/>
      <c r="ALA282" s="132"/>
      <c r="ALB282" s="132"/>
      <c r="ALC282" s="132"/>
      <c r="ALD282" s="132"/>
      <c r="ALE282" s="132"/>
      <c r="ALF282" s="132"/>
      <c r="ALG282" s="132"/>
      <c r="ALH282" s="132"/>
      <c r="ALI282" s="132"/>
      <c r="ALJ282" s="132"/>
      <c r="ALK282" s="132"/>
      <c r="ALL282" s="132"/>
      <c r="ALM282" s="132"/>
      <c r="ALN282" s="132"/>
      <c r="ALO282" s="132"/>
      <c r="ALP282" s="132"/>
      <c r="ALQ282" s="132"/>
      <c r="ALR282" s="132"/>
      <c r="ALS282" s="132"/>
      <c r="ALT282" s="132"/>
      <c r="ALU282" s="132"/>
      <c r="ALV282" s="132"/>
      <c r="ALW282" s="132"/>
      <c r="ALX282" s="132"/>
      <c r="ALY282" s="132"/>
      <c r="ALZ282" s="132"/>
      <c r="AMA282" s="132"/>
      <c r="AMB282" s="132"/>
      <c r="AMC282" s="132"/>
      <c r="AMD282" s="132"/>
      <c r="AME282" s="132"/>
      <c r="AMF282" s="132"/>
      <c r="AMG282" s="132"/>
      <c r="AMH282" s="132"/>
      <c r="AMI282" s="132"/>
      <c r="AMJ282" s="132"/>
      <c r="AMK282" s="132"/>
      <c r="AML282" s="132"/>
      <c r="AMM282" s="132"/>
      <c r="AMN282" s="132"/>
      <c r="AMO282" s="132"/>
      <c r="AMP282" s="132"/>
    </row>
    <row r="283" spans="1:1030" s="12" customFormat="1" x14ac:dyDescent="0.2">
      <c r="A283" s="9" t="str">
        <f t="shared" si="1034"/>
        <v>calrl_human_6E3Y</v>
      </c>
      <c r="B283" s="40" t="s">
        <v>402</v>
      </c>
      <c r="C283" s="9" t="s">
        <v>1534</v>
      </c>
      <c r="D283" s="9" t="str">
        <f>IFERROR(MID(VLOOKUP($B283,Seqs!$A:$B,2,0),E283,1),"")</f>
        <v>N</v>
      </c>
      <c r="E283" s="9">
        <v>130</v>
      </c>
      <c r="F283" s="9" t="str">
        <f>IFERROR(MID(VLOOKUP($B283,Seqs!$A:$B,2,0),G283,1),"")</f>
        <v>F</v>
      </c>
      <c r="G283" s="9">
        <v>166</v>
      </c>
      <c r="H283" s="9" t="str">
        <f>IFERROR(MID(VLOOKUP($B283,Seqs!$A:$B,2,0),I283,1),"")</f>
        <v/>
      </c>
      <c r="I283" s="109" t="s">
        <v>23</v>
      </c>
      <c r="J283" s="9" t="str">
        <f>IFERROR(MID(VLOOKUP($B283,Seqs!$A:$B,2,0),K283,1),"")</f>
        <v/>
      </c>
      <c r="K283" s="109" t="s">
        <v>23</v>
      </c>
      <c r="L283" s="9" t="str">
        <f>IFERROR(MID(VLOOKUP($B283,Seqs!$A:$B,2,0),M283,1),"")</f>
        <v>C</v>
      </c>
      <c r="M283" s="9">
        <v>171</v>
      </c>
      <c r="N283" s="9" t="str">
        <f>IFERROR(MID(VLOOKUP($B283,Seqs!$A:$B,2,0),O283,1),"")</f>
        <v>V</v>
      </c>
      <c r="O283" s="9">
        <v>198</v>
      </c>
      <c r="P283" s="9" t="str">
        <f>IFERROR(MID(VLOOKUP($B283,Seqs!$A:$B,2,0),Q283,1),"")</f>
        <v/>
      </c>
      <c r="Q283" s="9" t="s">
        <v>23</v>
      </c>
      <c r="R283" s="9" t="str">
        <f>IFERROR(MID(VLOOKUP($B283,Seqs!$A:$B,2,0),S283,1),"")</f>
        <v/>
      </c>
      <c r="S283" s="9" t="s">
        <v>23</v>
      </c>
      <c r="T283" s="9" t="str">
        <f>IFERROR(MID(VLOOKUP($B283,Seqs!$A:$B,2,0),U283,1),"")</f>
        <v>V</v>
      </c>
      <c r="U283" s="9">
        <v>210</v>
      </c>
      <c r="V283" s="9" t="str">
        <f>IFERROR(MID(VLOOKUP($B283,Seqs!$A:$B,2,0),W283,1),"")</f>
        <v>V</v>
      </c>
      <c r="W283" s="9">
        <v>242</v>
      </c>
      <c r="X283" s="9" t="str">
        <f>IFERROR(MID(VLOOKUP($B283,Seqs!$A:$B,2,0),Y283,1),"")</f>
        <v/>
      </c>
      <c r="Y283" s="9" t="s">
        <v>23</v>
      </c>
      <c r="Z283" s="9" t="str">
        <f>IFERROR(MID(VLOOKUP($B283,Seqs!$A:$B,2,0),AA283,1),"")</f>
        <v/>
      </c>
      <c r="AA283" s="9" t="s">
        <v>23</v>
      </c>
      <c r="AB283" s="9" t="str">
        <f>IFERROR(MID(VLOOKUP($B283,Seqs!$A:$B,2,0),AC283,1),"")</f>
        <v>M</v>
      </c>
      <c r="AC283" s="9">
        <v>253</v>
      </c>
      <c r="AD283" s="9" t="str">
        <f>IFERROR(MID(VLOOKUP($B283,Seqs!$A:$B,2,0),AE283,1),"")</f>
        <v>Y</v>
      </c>
      <c r="AE283" s="9">
        <v>277</v>
      </c>
      <c r="AF283" s="9" t="str">
        <f>IFERROR(MID(VLOOKUP($B283,Seqs!$A:$B,2,0),AG283,1),"")</f>
        <v>C</v>
      </c>
      <c r="AG283" s="9">
        <v>282</v>
      </c>
      <c r="AH283" s="9" t="str">
        <f>IFERROR(MID(VLOOKUP($B283,Seqs!$A:$B,2,0),AI283,1),"")</f>
        <v>I</v>
      </c>
      <c r="AI283" s="9">
        <v>284</v>
      </c>
      <c r="AJ283" s="9" t="str">
        <f>IFERROR(MID(VLOOKUP($B283,Seqs!$A:$B,2,0),AK283,1),"")</f>
        <v>L</v>
      </c>
      <c r="AK283" s="9">
        <v>290</v>
      </c>
      <c r="AL283" s="9" t="str">
        <f>IFERROR(MID(VLOOKUP($B283,Seqs!$A:$B,2,0),AM283,1),"")</f>
        <v>K</v>
      </c>
      <c r="AM283" s="9">
        <v>321</v>
      </c>
      <c r="AN283" s="9" t="str">
        <f>IFERROR(MID(VLOOKUP($B283,Seqs!$A:$B,2,0),AO283,1),"")</f>
        <v>N</v>
      </c>
      <c r="AO283" s="9">
        <v>329</v>
      </c>
      <c r="AP283" s="9" t="str">
        <f>IFERROR(MID(VLOOKUP($B283,Seqs!$A:$B,2,0),AQ283,1),"")</f>
        <v>V</v>
      </c>
      <c r="AQ283" s="9">
        <v>350</v>
      </c>
      <c r="AR283" s="9" t="str">
        <f>IFERROR(MID(VLOOKUP($B283,Seqs!$A:$B,2,0),AS283,1),"")</f>
        <v>V</v>
      </c>
      <c r="AS283" s="9">
        <v>364</v>
      </c>
      <c r="AT283" s="9" t="str">
        <f>IFERROR(MID(VLOOKUP($B283,Seqs!$A:$B,2,0),AU283,1),"")</f>
        <v>F</v>
      </c>
      <c r="AU283" s="9">
        <v>387</v>
      </c>
      <c r="AV283" s="9" t="str">
        <f>IFERROR(MID(VLOOKUP($B283,Seqs!$A:$B,2,0),AW283,1),"")</f>
        <v>N</v>
      </c>
      <c r="AW283" s="9">
        <v>388</v>
      </c>
      <c r="AX283" s="9" t="str">
        <f>IFERROR(MID(VLOOKUP($B283,Seqs!$A:$B,2,0),AY283,1),"")</f>
        <v>W</v>
      </c>
      <c r="AY283" s="9">
        <v>399</v>
      </c>
      <c r="AZ283" s="110" t="str">
        <f>VLOOKUP(B283,Classification!A:D,2,0)</f>
        <v>B1</v>
      </c>
      <c r="BA283" s="98" t="str">
        <f>VLOOKUP(B283,Classification!A:D,4,0)</f>
        <v>Calcitonin</v>
      </c>
      <c r="BB283" s="36" t="b">
        <f t="shared" ref="BB283" si="1062"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109">
        <f t="shared" ref="BC283" si="1063">_xlfn.AGGREGATE(9,6,CH283:CS283)-_xlfn.AGGREGATE(9,6,BV283:CG283)+12</f>
        <v>219</v>
      </c>
      <c r="BD283" s="11" t="s">
        <v>1382</v>
      </c>
      <c r="BE283" s="9" t="s">
        <v>1297</v>
      </c>
      <c r="BF283" s="120">
        <v>3.3</v>
      </c>
      <c r="BG283" s="51" t="s">
        <v>1433</v>
      </c>
      <c r="BH283" s="51" t="s">
        <v>1433</v>
      </c>
      <c r="BJ283" s="111" t="s">
        <v>1293</v>
      </c>
      <c r="BK283" s="112" t="s">
        <v>1293</v>
      </c>
      <c r="BL283" s="112" t="s">
        <v>1293</v>
      </c>
      <c r="BM283" s="112" t="s">
        <v>1293</v>
      </c>
      <c r="BN283" s="112" t="s">
        <v>1293</v>
      </c>
      <c r="BO283" s="112" t="s">
        <v>1293</v>
      </c>
      <c r="BP283" s="112" t="s">
        <v>1293</v>
      </c>
      <c r="BQ283" s="112" t="s">
        <v>1293</v>
      </c>
      <c r="BR283" s="112" t="s">
        <v>1293</v>
      </c>
      <c r="BS283" s="112" t="s">
        <v>1293</v>
      </c>
      <c r="BT283" s="112" t="s">
        <v>1293</v>
      </c>
      <c r="BU283" s="112" t="s">
        <v>1293</v>
      </c>
      <c r="BV283" s="111">
        <f t="shared" ref="BV283" si="1064">E283</f>
        <v>130</v>
      </c>
      <c r="BW283" s="113" t="str">
        <f t="shared" ref="BW283" si="1065">I283</f>
        <v>-</v>
      </c>
      <c r="BX283" s="114">
        <f t="shared" ref="BX283" si="1066">M283</f>
        <v>171</v>
      </c>
      <c r="BY283" s="113" t="str">
        <f t="shared" ref="BY283" si="1067">Q283</f>
        <v>-</v>
      </c>
      <c r="BZ283" s="114">
        <f t="shared" ref="BZ283" si="1068">U283</f>
        <v>210</v>
      </c>
      <c r="CA283" s="113" t="str">
        <f t="shared" ref="CA283" si="1069">Y283</f>
        <v>-</v>
      </c>
      <c r="CB283" s="114">
        <f t="shared" ref="CB283" si="1070">AC283</f>
        <v>253</v>
      </c>
      <c r="CC283" s="113">
        <f t="shared" ref="CC283" si="1071">AG283</f>
        <v>282</v>
      </c>
      <c r="CD283" s="114">
        <f t="shared" ref="CD283" si="1072">AK283</f>
        <v>290</v>
      </c>
      <c r="CE283" s="113">
        <f t="shared" ref="CE283" si="1073">AO283</f>
        <v>329</v>
      </c>
      <c r="CF283" s="114">
        <f t="shared" ref="CF283" si="1074">AS283</f>
        <v>364</v>
      </c>
      <c r="CG283" s="113">
        <f t="shared" ref="CG283" si="1075">AW283</f>
        <v>388</v>
      </c>
      <c r="CH283" s="111">
        <f t="shared" ref="CH283" si="1076">G283</f>
        <v>166</v>
      </c>
      <c r="CI283" s="113" t="str">
        <f t="shared" ref="CI283" si="1077">K283</f>
        <v>-</v>
      </c>
      <c r="CJ283" s="114">
        <f t="shared" ref="CJ283" si="1078">O283</f>
        <v>198</v>
      </c>
      <c r="CK283" s="114" t="str">
        <f t="shared" ref="CK283" si="1079">S283</f>
        <v>-</v>
      </c>
      <c r="CL283" s="114">
        <f t="shared" ref="CL283" si="1080">W283</f>
        <v>242</v>
      </c>
      <c r="CM283" s="114" t="str">
        <f t="shared" ref="CM283" si="1081">AA283</f>
        <v>-</v>
      </c>
      <c r="CN283" s="114">
        <f t="shared" ref="CN283" si="1082">AE283</f>
        <v>277</v>
      </c>
      <c r="CO283" s="114">
        <f t="shared" ref="CO283" si="1083">AI283</f>
        <v>284</v>
      </c>
      <c r="CP283" s="114">
        <f t="shared" ref="CP283" si="1084">AM283</f>
        <v>321</v>
      </c>
      <c r="CQ283" s="114">
        <f t="shared" ref="CQ283" si="1085">AQ283</f>
        <v>350</v>
      </c>
      <c r="CR283" s="114">
        <f t="shared" ref="CR283" si="1086">AU283</f>
        <v>387</v>
      </c>
      <c r="CS283" s="114">
        <f t="shared" ref="CS283" si="1087">AY283</f>
        <v>399</v>
      </c>
      <c r="CT283" s="109" t="e">
        <f t="shared" ref="CT283" si="1088">M283-K283</f>
        <v>#VALUE!</v>
      </c>
      <c r="CU283" s="132"/>
      <c r="CV283" s="132"/>
      <c r="CW283" s="132"/>
      <c r="CX283" s="132"/>
      <c r="CY283" s="132"/>
      <c r="CZ283" s="132"/>
      <c r="DA283" s="132"/>
      <c r="DB283" s="132"/>
      <c r="DC283" s="132"/>
      <c r="DD283" s="132"/>
      <c r="DE283" s="132"/>
      <c r="DF283" s="132"/>
      <c r="DG283" s="132"/>
      <c r="DH283" s="132"/>
      <c r="DI283" s="132"/>
      <c r="DJ283" s="132"/>
      <c r="DK283" s="132"/>
      <c r="DL283" s="132"/>
      <c r="DM283" s="132"/>
      <c r="DN283" s="132"/>
      <c r="DO283" s="132"/>
      <c r="DP283" s="132"/>
      <c r="DQ283" s="132"/>
      <c r="DR283" s="132"/>
      <c r="DS283" s="132"/>
      <c r="DT283" s="132"/>
      <c r="DU283" s="132"/>
      <c r="DV283" s="132"/>
      <c r="DW283" s="132"/>
      <c r="DX283" s="132"/>
      <c r="DY283" s="132"/>
      <c r="DZ283" s="132"/>
      <c r="EA283" s="132"/>
      <c r="EB283" s="132"/>
      <c r="EC283" s="132"/>
      <c r="ED283" s="132"/>
      <c r="EE283" s="132"/>
      <c r="EF283" s="132"/>
      <c r="EG283" s="132"/>
      <c r="EH283" s="132"/>
      <c r="EI283" s="132"/>
      <c r="EJ283" s="132"/>
      <c r="EK283" s="132"/>
      <c r="EL283" s="132"/>
      <c r="EM283" s="132"/>
      <c r="EN283" s="132"/>
      <c r="EO283" s="132"/>
      <c r="EP283" s="132"/>
      <c r="EQ283" s="132"/>
      <c r="ER283" s="132"/>
      <c r="ES283" s="132"/>
      <c r="ET283" s="132"/>
      <c r="EU283" s="132"/>
      <c r="EV283" s="132"/>
      <c r="EW283" s="132"/>
      <c r="EX283" s="132"/>
      <c r="EY283" s="132"/>
      <c r="EZ283" s="132"/>
      <c r="FA283" s="132"/>
      <c r="FB283" s="132"/>
      <c r="FC283" s="132"/>
      <c r="FD283" s="132"/>
      <c r="FE283" s="132"/>
      <c r="FF283" s="132"/>
      <c r="FG283" s="132"/>
      <c r="FH283" s="132"/>
      <c r="FI283" s="132"/>
      <c r="FJ283" s="132"/>
      <c r="FK283" s="132"/>
      <c r="FL283" s="132"/>
      <c r="FM283" s="132"/>
      <c r="FN283" s="132"/>
      <c r="FO283" s="132"/>
      <c r="FP283" s="132"/>
      <c r="FQ283" s="132"/>
      <c r="FR283" s="132"/>
      <c r="FS283" s="132"/>
      <c r="FT283" s="132"/>
      <c r="FU283" s="132"/>
      <c r="FV283" s="132"/>
      <c r="FW283" s="132"/>
      <c r="FX283" s="132"/>
      <c r="FY283" s="132"/>
      <c r="FZ283" s="132"/>
      <c r="GA283" s="132"/>
      <c r="GB283" s="132"/>
      <c r="GC283" s="132"/>
      <c r="GD283" s="132"/>
      <c r="GE283" s="132"/>
      <c r="GF283" s="132"/>
      <c r="GG283" s="132"/>
      <c r="GH283" s="132"/>
      <c r="GI283" s="132"/>
      <c r="GJ283" s="132"/>
      <c r="GK283" s="132"/>
      <c r="GL283" s="132"/>
      <c r="GM283" s="132"/>
      <c r="GN283" s="132"/>
      <c r="GO283" s="132"/>
      <c r="GP283" s="132"/>
      <c r="GQ283" s="132"/>
      <c r="GR283" s="132"/>
      <c r="GS283" s="132"/>
      <c r="GT283" s="132"/>
      <c r="GU283" s="132"/>
      <c r="GV283" s="132"/>
      <c r="GW283" s="132"/>
      <c r="GX283" s="132"/>
      <c r="GY283" s="132"/>
      <c r="GZ283" s="132"/>
      <c r="HA283" s="132"/>
      <c r="HB283" s="132"/>
      <c r="HC283" s="132"/>
      <c r="HD283" s="132"/>
      <c r="HE283" s="132"/>
      <c r="HF283" s="132"/>
      <c r="HG283" s="132"/>
      <c r="HH283" s="132"/>
      <c r="HI283" s="132"/>
      <c r="HJ283" s="132"/>
      <c r="HK283" s="132"/>
      <c r="HL283" s="132"/>
      <c r="HM283" s="132"/>
      <c r="HN283" s="132"/>
      <c r="HO283" s="132"/>
      <c r="HP283" s="132"/>
      <c r="HQ283" s="132"/>
      <c r="HR283" s="132"/>
      <c r="HS283" s="132"/>
      <c r="HT283" s="132"/>
      <c r="HU283" s="132"/>
      <c r="HV283" s="132"/>
      <c r="HW283" s="132"/>
      <c r="HX283" s="132"/>
      <c r="HY283" s="132"/>
      <c r="HZ283" s="132"/>
      <c r="IA283" s="132"/>
      <c r="IB283" s="132"/>
      <c r="IC283" s="132"/>
      <c r="ID283" s="132"/>
      <c r="IE283" s="132"/>
      <c r="IF283" s="132"/>
      <c r="IG283" s="132"/>
      <c r="IH283" s="132"/>
      <c r="II283" s="132"/>
      <c r="IJ283" s="132"/>
      <c r="IK283" s="132"/>
      <c r="IL283" s="132"/>
      <c r="IM283" s="132"/>
      <c r="IN283" s="132"/>
      <c r="IO283" s="132"/>
      <c r="IP283" s="132"/>
      <c r="IQ283" s="132"/>
      <c r="IR283" s="132"/>
      <c r="IS283" s="132"/>
      <c r="IT283" s="132"/>
      <c r="IU283" s="132"/>
      <c r="IV283" s="132"/>
      <c r="IW283" s="132"/>
      <c r="IX283" s="132"/>
      <c r="IY283" s="132"/>
      <c r="IZ283" s="132"/>
      <c r="JA283" s="132"/>
      <c r="JB283" s="132"/>
      <c r="JC283" s="132"/>
      <c r="JD283" s="132"/>
      <c r="JE283" s="132"/>
      <c r="JF283" s="132"/>
      <c r="JG283" s="132"/>
      <c r="JH283" s="132"/>
      <c r="JI283" s="132"/>
      <c r="JJ283" s="132"/>
      <c r="JK283" s="132"/>
      <c r="JL283" s="132"/>
      <c r="JM283" s="132"/>
      <c r="JN283" s="132"/>
      <c r="JO283" s="132"/>
      <c r="JP283" s="132"/>
      <c r="JQ283" s="132"/>
      <c r="JR283" s="132"/>
      <c r="JS283" s="132"/>
      <c r="JT283" s="132"/>
      <c r="JU283" s="132"/>
      <c r="JV283" s="132"/>
      <c r="JW283" s="132"/>
      <c r="JX283" s="132"/>
      <c r="JY283" s="132"/>
      <c r="JZ283" s="132"/>
      <c r="KA283" s="132"/>
      <c r="KB283" s="132"/>
      <c r="KC283" s="132"/>
      <c r="KD283" s="132"/>
      <c r="KE283" s="132"/>
      <c r="KF283" s="132"/>
      <c r="KG283" s="132"/>
      <c r="KH283" s="132"/>
      <c r="KI283" s="132"/>
      <c r="KJ283" s="132"/>
      <c r="KK283" s="132"/>
      <c r="KL283" s="132"/>
      <c r="KM283" s="132"/>
      <c r="KN283" s="132"/>
      <c r="KO283" s="132"/>
      <c r="KP283" s="132"/>
      <c r="KQ283" s="132"/>
      <c r="KR283" s="132"/>
      <c r="KS283" s="132"/>
      <c r="KT283" s="132"/>
      <c r="KU283" s="132"/>
      <c r="KV283" s="132"/>
      <c r="KW283" s="132"/>
      <c r="KX283" s="132"/>
      <c r="KY283" s="132"/>
      <c r="KZ283" s="132"/>
      <c r="LA283" s="132"/>
      <c r="LB283" s="132"/>
      <c r="LC283" s="132"/>
      <c r="LD283" s="132"/>
      <c r="LE283" s="132"/>
      <c r="LF283" s="132"/>
      <c r="LG283" s="132"/>
      <c r="LH283" s="132"/>
      <c r="LI283" s="132"/>
      <c r="LJ283" s="132"/>
      <c r="LK283" s="132"/>
      <c r="LL283" s="132"/>
      <c r="LM283" s="132"/>
      <c r="LN283" s="132"/>
      <c r="LO283" s="132"/>
      <c r="LP283" s="132"/>
      <c r="LQ283" s="132"/>
      <c r="LR283" s="132"/>
      <c r="LS283" s="132"/>
      <c r="LT283" s="132"/>
      <c r="LU283" s="132"/>
      <c r="LV283" s="132"/>
      <c r="LW283" s="132"/>
      <c r="LX283" s="132"/>
      <c r="LY283" s="132"/>
      <c r="LZ283" s="132"/>
      <c r="MA283" s="132"/>
      <c r="MB283" s="132"/>
      <c r="MC283" s="132"/>
      <c r="MD283" s="132"/>
      <c r="ME283" s="132"/>
      <c r="MF283" s="132"/>
      <c r="MG283" s="132"/>
      <c r="MH283" s="132"/>
      <c r="MI283" s="132"/>
      <c r="MJ283" s="132"/>
      <c r="MK283" s="132"/>
      <c r="ML283" s="132"/>
      <c r="MM283" s="132"/>
      <c r="MN283" s="132"/>
      <c r="MO283" s="132"/>
      <c r="MP283" s="132"/>
      <c r="MQ283" s="132"/>
      <c r="MR283" s="132"/>
      <c r="MS283" s="132"/>
      <c r="MT283" s="132"/>
      <c r="MU283" s="132"/>
      <c r="MV283" s="132"/>
      <c r="MW283" s="132"/>
      <c r="MX283" s="132"/>
      <c r="MY283" s="132"/>
      <c r="MZ283" s="132"/>
      <c r="NA283" s="132"/>
      <c r="NB283" s="132"/>
      <c r="NC283" s="132"/>
      <c r="ND283" s="132"/>
      <c r="NE283" s="132"/>
      <c r="NF283" s="132"/>
      <c r="NG283" s="132"/>
      <c r="NH283" s="132"/>
      <c r="NI283" s="132"/>
      <c r="NJ283" s="132"/>
      <c r="NK283" s="132"/>
      <c r="NL283" s="132"/>
      <c r="NM283" s="132"/>
      <c r="NN283" s="132"/>
      <c r="NO283" s="132"/>
      <c r="NP283" s="132"/>
      <c r="NQ283" s="132"/>
      <c r="NR283" s="132"/>
      <c r="NS283" s="132"/>
      <c r="NT283" s="132"/>
      <c r="NU283" s="132"/>
      <c r="NV283" s="132"/>
      <c r="NW283" s="132"/>
      <c r="NX283" s="132"/>
      <c r="NY283" s="132"/>
      <c r="NZ283" s="132"/>
      <c r="OA283" s="132"/>
      <c r="OB283" s="132"/>
      <c r="OC283" s="132"/>
      <c r="OD283" s="132"/>
      <c r="OE283" s="132"/>
      <c r="OF283" s="132"/>
      <c r="OG283" s="132"/>
      <c r="OH283" s="132"/>
      <c r="OI283" s="132"/>
      <c r="OJ283" s="132"/>
      <c r="OK283" s="132"/>
      <c r="OL283" s="132"/>
      <c r="OM283" s="132"/>
      <c r="ON283" s="132"/>
      <c r="OO283" s="132"/>
      <c r="OP283" s="132"/>
      <c r="OQ283" s="132"/>
      <c r="OR283" s="132"/>
      <c r="OS283" s="132"/>
      <c r="OT283" s="132"/>
      <c r="OU283" s="132"/>
      <c r="OV283" s="132"/>
      <c r="OW283" s="132"/>
      <c r="OX283" s="132"/>
      <c r="OY283" s="132"/>
      <c r="OZ283" s="132"/>
      <c r="PA283" s="132"/>
      <c r="PB283" s="132"/>
      <c r="PC283" s="132"/>
      <c r="PD283" s="132"/>
      <c r="PE283" s="132"/>
      <c r="PF283" s="132"/>
      <c r="PG283" s="132"/>
      <c r="PH283" s="132"/>
      <c r="PI283" s="132"/>
      <c r="PJ283" s="132"/>
      <c r="PK283" s="132"/>
      <c r="PL283" s="132"/>
      <c r="PM283" s="132"/>
      <c r="PN283" s="132"/>
      <c r="PO283" s="132"/>
      <c r="PP283" s="132"/>
      <c r="PQ283" s="132"/>
      <c r="PR283" s="132"/>
      <c r="PS283" s="132"/>
      <c r="PT283" s="132"/>
      <c r="PU283" s="132"/>
      <c r="PV283" s="132"/>
      <c r="PW283" s="132"/>
      <c r="PX283" s="132"/>
      <c r="PY283" s="132"/>
      <c r="PZ283" s="132"/>
      <c r="QA283" s="132"/>
      <c r="QB283" s="132"/>
      <c r="QC283" s="132"/>
      <c r="QD283" s="132"/>
      <c r="QE283" s="132"/>
      <c r="QF283" s="132"/>
      <c r="QG283" s="132"/>
      <c r="QH283" s="132"/>
      <c r="QI283" s="132"/>
      <c r="QJ283" s="132"/>
      <c r="QK283" s="132"/>
      <c r="QL283" s="132"/>
      <c r="QM283" s="132"/>
      <c r="QN283" s="132"/>
      <c r="QO283" s="132"/>
      <c r="QP283" s="132"/>
      <c r="QQ283" s="132"/>
      <c r="QR283" s="132"/>
      <c r="QS283" s="132"/>
      <c r="QT283" s="132"/>
      <c r="QU283" s="132"/>
      <c r="QV283" s="132"/>
      <c r="QW283" s="132"/>
      <c r="QX283" s="132"/>
      <c r="QY283" s="132"/>
      <c r="QZ283" s="132"/>
      <c r="RA283" s="132"/>
      <c r="RB283" s="132"/>
      <c r="RC283" s="132"/>
      <c r="RD283" s="132"/>
      <c r="RE283" s="132"/>
      <c r="RF283" s="132"/>
      <c r="RG283" s="132"/>
      <c r="RH283" s="132"/>
      <c r="RI283" s="132"/>
      <c r="RJ283" s="132"/>
      <c r="RK283" s="132"/>
      <c r="RL283" s="132"/>
      <c r="RM283" s="132"/>
      <c r="RN283" s="132"/>
      <c r="RO283" s="132"/>
      <c r="RP283" s="132"/>
      <c r="RQ283" s="132"/>
      <c r="RR283" s="132"/>
      <c r="RS283" s="132"/>
      <c r="RT283" s="132"/>
      <c r="RU283" s="132"/>
      <c r="RV283" s="132"/>
      <c r="RW283" s="132"/>
      <c r="RX283" s="132"/>
      <c r="RY283" s="132"/>
      <c r="RZ283" s="132"/>
      <c r="SA283" s="132"/>
      <c r="SB283" s="132"/>
      <c r="SC283" s="132"/>
      <c r="SD283" s="132"/>
      <c r="SE283" s="132"/>
      <c r="SF283" s="132"/>
      <c r="SG283" s="132"/>
      <c r="SH283" s="132"/>
      <c r="SI283" s="132"/>
      <c r="SJ283" s="132"/>
      <c r="SK283" s="132"/>
      <c r="SL283" s="132"/>
      <c r="SM283" s="132"/>
      <c r="SN283" s="132"/>
      <c r="SO283" s="132"/>
      <c r="SP283" s="132"/>
      <c r="SQ283" s="132"/>
      <c r="SR283" s="132"/>
      <c r="SS283" s="132"/>
      <c r="ST283" s="132"/>
      <c r="SU283" s="132"/>
      <c r="SV283" s="132"/>
      <c r="SW283" s="132"/>
      <c r="SX283" s="132"/>
      <c r="SY283" s="132"/>
      <c r="SZ283" s="132"/>
      <c r="TA283" s="132"/>
      <c r="TB283" s="132"/>
      <c r="TC283" s="132"/>
      <c r="TD283" s="132"/>
      <c r="TE283" s="132"/>
      <c r="TF283" s="132"/>
      <c r="TG283" s="132"/>
      <c r="TH283" s="132"/>
      <c r="TI283" s="132"/>
      <c r="TJ283" s="132"/>
      <c r="TK283" s="132"/>
      <c r="TL283" s="132"/>
      <c r="TM283" s="132"/>
      <c r="TN283" s="132"/>
      <c r="TO283" s="132"/>
      <c r="TP283" s="132"/>
      <c r="TQ283" s="132"/>
      <c r="TR283" s="132"/>
      <c r="TS283" s="132"/>
      <c r="TT283" s="132"/>
      <c r="TU283" s="132"/>
      <c r="TV283" s="132"/>
      <c r="TW283" s="132"/>
      <c r="TX283" s="132"/>
      <c r="TY283" s="132"/>
      <c r="TZ283" s="132"/>
      <c r="UA283" s="132"/>
      <c r="UB283" s="132"/>
      <c r="UC283" s="132"/>
      <c r="UD283" s="132"/>
      <c r="UE283" s="132"/>
      <c r="UF283" s="132"/>
      <c r="UG283" s="132"/>
      <c r="UH283" s="132"/>
      <c r="UI283" s="132"/>
      <c r="UJ283" s="132"/>
      <c r="UK283" s="132"/>
      <c r="UL283" s="132"/>
      <c r="UM283" s="132"/>
      <c r="UN283" s="132"/>
      <c r="UO283" s="132"/>
      <c r="UP283" s="132"/>
      <c r="UQ283" s="132"/>
      <c r="UR283" s="132"/>
      <c r="US283" s="132"/>
      <c r="UT283" s="132"/>
      <c r="UU283" s="132"/>
      <c r="UV283" s="132"/>
      <c r="UW283" s="132"/>
      <c r="UX283" s="132"/>
      <c r="UY283" s="132"/>
      <c r="UZ283" s="132"/>
      <c r="VA283" s="132"/>
      <c r="VB283" s="132"/>
      <c r="VC283" s="132"/>
      <c r="VD283" s="132"/>
      <c r="VE283" s="132"/>
      <c r="VF283" s="132"/>
      <c r="VG283" s="132"/>
      <c r="VH283" s="132"/>
      <c r="VI283" s="132"/>
      <c r="VJ283" s="132"/>
      <c r="VK283" s="132"/>
      <c r="VL283" s="132"/>
      <c r="VM283" s="132"/>
      <c r="VN283" s="132"/>
      <c r="VO283" s="132"/>
      <c r="VP283" s="132"/>
      <c r="VQ283" s="132"/>
      <c r="VR283" s="132"/>
      <c r="VS283" s="132"/>
      <c r="VT283" s="132"/>
      <c r="VU283" s="132"/>
      <c r="VV283" s="132"/>
      <c r="VW283" s="132"/>
      <c r="VX283" s="132"/>
      <c r="VY283" s="132"/>
      <c r="VZ283" s="132"/>
      <c r="WA283" s="132"/>
      <c r="WB283" s="132"/>
      <c r="WC283" s="132"/>
      <c r="WD283" s="132"/>
      <c r="WE283" s="132"/>
      <c r="WF283" s="132"/>
      <c r="WG283" s="132"/>
      <c r="WH283" s="132"/>
      <c r="WI283" s="132"/>
      <c r="WJ283" s="132"/>
      <c r="WK283" s="132"/>
      <c r="WL283" s="132"/>
      <c r="WM283" s="132"/>
      <c r="WN283" s="132"/>
      <c r="WO283" s="132"/>
      <c r="WP283" s="132"/>
      <c r="WQ283" s="132"/>
      <c r="WR283" s="132"/>
      <c r="WS283" s="132"/>
      <c r="WT283" s="132"/>
      <c r="WU283" s="132"/>
      <c r="WV283" s="132"/>
      <c r="WW283" s="132"/>
      <c r="WX283" s="132"/>
      <c r="WY283" s="132"/>
      <c r="WZ283" s="132"/>
      <c r="XA283" s="132"/>
      <c r="XB283" s="132"/>
      <c r="XC283" s="132"/>
      <c r="XD283" s="132"/>
      <c r="XE283" s="132"/>
      <c r="XF283" s="132"/>
      <c r="XG283" s="132"/>
      <c r="XH283" s="132"/>
      <c r="XI283" s="132"/>
      <c r="XJ283" s="132"/>
      <c r="XK283" s="132"/>
      <c r="XL283" s="132"/>
      <c r="XM283" s="132"/>
      <c r="XN283" s="132"/>
      <c r="XO283" s="132"/>
      <c r="XP283" s="132"/>
      <c r="XQ283" s="132"/>
      <c r="XR283" s="132"/>
      <c r="XS283" s="132"/>
      <c r="XT283" s="132"/>
      <c r="XU283" s="132"/>
      <c r="XV283" s="132"/>
      <c r="XW283" s="132"/>
      <c r="XX283" s="132"/>
      <c r="XY283" s="132"/>
      <c r="XZ283" s="132"/>
      <c r="YA283" s="132"/>
      <c r="YB283" s="132"/>
      <c r="YC283" s="132"/>
      <c r="YD283" s="132"/>
      <c r="YE283" s="132"/>
      <c r="YF283" s="132"/>
      <c r="YG283" s="132"/>
      <c r="YH283" s="132"/>
      <c r="YI283" s="132"/>
      <c r="YJ283" s="132"/>
      <c r="YK283" s="132"/>
      <c r="YL283" s="132"/>
      <c r="YM283" s="132"/>
      <c r="YN283" s="132"/>
      <c r="YO283" s="132"/>
      <c r="YP283" s="132"/>
      <c r="YQ283" s="132"/>
      <c r="YR283" s="132"/>
      <c r="YS283" s="132"/>
      <c r="YT283" s="132"/>
      <c r="YU283" s="132"/>
      <c r="YV283" s="132"/>
      <c r="YW283" s="132"/>
      <c r="YX283" s="132"/>
      <c r="YY283" s="132"/>
      <c r="YZ283" s="132"/>
      <c r="ZA283" s="132"/>
      <c r="ZB283" s="132"/>
      <c r="ZC283" s="132"/>
      <c r="ZD283" s="132"/>
      <c r="ZE283" s="132"/>
      <c r="ZF283" s="132"/>
      <c r="ZG283" s="132"/>
      <c r="ZH283" s="132"/>
      <c r="ZI283" s="132"/>
      <c r="ZJ283" s="132"/>
      <c r="ZK283" s="132"/>
      <c r="ZL283" s="132"/>
      <c r="ZM283" s="132"/>
      <c r="ZN283" s="132"/>
      <c r="ZO283" s="132"/>
      <c r="ZP283" s="132"/>
      <c r="ZQ283" s="132"/>
      <c r="ZR283" s="132"/>
      <c r="ZS283" s="132"/>
      <c r="ZT283" s="132"/>
      <c r="ZU283" s="132"/>
      <c r="ZV283" s="132"/>
      <c r="ZW283" s="132"/>
      <c r="ZX283" s="132"/>
      <c r="ZY283" s="132"/>
      <c r="ZZ283" s="132"/>
      <c r="AAA283" s="132"/>
      <c r="AAB283" s="132"/>
      <c r="AAC283" s="132"/>
      <c r="AAD283" s="132"/>
      <c r="AAE283" s="132"/>
      <c r="AAF283" s="132"/>
      <c r="AAG283" s="132"/>
      <c r="AAH283" s="132"/>
      <c r="AAI283" s="132"/>
      <c r="AAJ283" s="132"/>
      <c r="AAK283" s="132"/>
      <c r="AAL283" s="132"/>
      <c r="AAM283" s="132"/>
      <c r="AAN283" s="132"/>
      <c r="AAO283" s="132"/>
      <c r="AAP283" s="132"/>
      <c r="AAQ283" s="132"/>
      <c r="AAR283" s="132"/>
      <c r="AAS283" s="132"/>
      <c r="AAT283" s="132"/>
      <c r="AAU283" s="132"/>
      <c r="AAV283" s="132"/>
      <c r="AAW283" s="132"/>
      <c r="AAX283" s="132"/>
      <c r="AAY283" s="132"/>
      <c r="AAZ283" s="132"/>
      <c r="ABA283" s="132"/>
      <c r="ABB283" s="132"/>
      <c r="ABC283" s="132"/>
      <c r="ABD283" s="132"/>
      <c r="ABE283" s="132"/>
      <c r="ABF283" s="132"/>
      <c r="ABG283" s="132"/>
      <c r="ABH283" s="132"/>
      <c r="ABI283" s="132"/>
      <c r="ABJ283" s="132"/>
      <c r="ABK283" s="132"/>
      <c r="ABL283" s="132"/>
      <c r="ABM283" s="132"/>
      <c r="ABN283" s="132"/>
      <c r="ABO283" s="132"/>
      <c r="ABP283" s="132"/>
      <c r="ABQ283" s="132"/>
      <c r="ABR283" s="132"/>
      <c r="ABS283" s="132"/>
      <c r="ABT283" s="132"/>
      <c r="ABU283" s="132"/>
      <c r="ABV283" s="132"/>
      <c r="ABW283" s="132"/>
      <c r="ABX283" s="132"/>
      <c r="ABY283" s="132"/>
      <c r="ABZ283" s="132"/>
      <c r="ACA283" s="132"/>
      <c r="ACB283" s="132"/>
      <c r="ACC283" s="132"/>
      <c r="ACD283" s="132"/>
      <c r="ACE283" s="132"/>
      <c r="ACF283" s="132"/>
      <c r="ACG283" s="132"/>
      <c r="ACH283" s="132"/>
      <c r="ACI283" s="132"/>
      <c r="ACJ283" s="132"/>
      <c r="ACK283" s="132"/>
      <c r="ACL283" s="132"/>
      <c r="ACM283" s="132"/>
      <c r="ACN283" s="132"/>
      <c r="ACO283" s="132"/>
      <c r="ACP283" s="132"/>
      <c r="ACQ283" s="132"/>
      <c r="ACR283" s="132"/>
      <c r="ACS283" s="132"/>
      <c r="ACT283" s="132"/>
      <c r="ACU283" s="132"/>
      <c r="ACV283" s="132"/>
      <c r="ACW283" s="132"/>
      <c r="ACX283" s="132"/>
      <c r="ACY283" s="132"/>
      <c r="ACZ283" s="132"/>
      <c r="ADA283" s="132"/>
      <c r="ADB283" s="132"/>
      <c r="ADC283" s="132"/>
      <c r="ADD283" s="132"/>
      <c r="ADE283" s="132"/>
      <c r="ADF283" s="132"/>
      <c r="ADG283" s="132"/>
      <c r="ADH283" s="132"/>
      <c r="ADI283" s="132"/>
      <c r="ADJ283" s="132"/>
      <c r="ADK283" s="132"/>
      <c r="ADL283" s="132"/>
      <c r="ADM283" s="132"/>
      <c r="ADN283" s="132"/>
      <c r="ADO283" s="132"/>
      <c r="ADP283" s="132"/>
      <c r="ADQ283" s="132"/>
      <c r="ADR283" s="132"/>
      <c r="ADS283" s="132"/>
      <c r="ADT283" s="132"/>
      <c r="ADU283" s="132"/>
      <c r="ADV283" s="132"/>
      <c r="ADW283" s="132"/>
      <c r="ADX283" s="132"/>
      <c r="ADY283" s="132"/>
      <c r="ADZ283" s="132"/>
      <c r="AEA283" s="132"/>
      <c r="AEB283" s="132"/>
      <c r="AEC283" s="132"/>
      <c r="AED283" s="132"/>
      <c r="AEE283" s="132"/>
      <c r="AEF283" s="132"/>
      <c r="AEG283" s="132"/>
      <c r="AEH283" s="132"/>
      <c r="AEI283" s="132"/>
      <c r="AEJ283" s="132"/>
      <c r="AEK283" s="132"/>
      <c r="AEL283" s="132"/>
      <c r="AEM283" s="132"/>
      <c r="AEN283" s="132"/>
      <c r="AEO283" s="132"/>
      <c r="AEP283" s="132"/>
      <c r="AEQ283" s="132"/>
      <c r="AER283" s="132"/>
      <c r="AES283" s="132"/>
      <c r="AET283" s="132"/>
      <c r="AEU283" s="132"/>
      <c r="AEV283" s="132"/>
      <c r="AEW283" s="132"/>
      <c r="AEX283" s="132"/>
      <c r="AEY283" s="132"/>
      <c r="AEZ283" s="132"/>
      <c r="AFA283" s="132"/>
      <c r="AFB283" s="132"/>
      <c r="AFC283" s="132"/>
      <c r="AFD283" s="132"/>
      <c r="AFE283" s="132"/>
      <c r="AFF283" s="132"/>
      <c r="AFG283" s="132"/>
      <c r="AFH283" s="132"/>
      <c r="AFI283" s="132"/>
      <c r="AFJ283" s="132"/>
      <c r="AFK283" s="132"/>
      <c r="AFL283" s="132"/>
      <c r="AFM283" s="132"/>
      <c r="AFN283" s="132"/>
      <c r="AFO283" s="132"/>
      <c r="AFP283" s="132"/>
      <c r="AFQ283" s="132"/>
      <c r="AFR283" s="132"/>
      <c r="AFS283" s="132"/>
      <c r="AFT283" s="132"/>
      <c r="AFU283" s="132"/>
      <c r="AFV283" s="132"/>
      <c r="AFW283" s="132"/>
      <c r="AFX283" s="132"/>
      <c r="AFY283" s="132"/>
      <c r="AFZ283" s="132"/>
      <c r="AGA283" s="132"/>
      <c r="AGB283" s="132"/>
      <c r="AGC283" s="132"/>
      <c r="AGD283" s="132"/>
      <c r="AGE283" s="132"/>
      <c r="AGF283" s="132"/>
      <c r="AGG283" s="132"/>
      <c r="AGH283" s="132"/>
      <c r="AGI283" s="132"/>
      <c r="AGJ283" s="132"/>
      <c r="AGK283" s="132"/>
      <c r="AGL283" s="132"/>
      <c r="AGM283" s="132"/>
      <c r="AGN283" s="132"/>
      <c r="AGO283" s="132"/>
      <c r="AGP283" s="132"/>
      <c r="AGQ283" s="132"/>
      <c r="AGR283" s="132"/>
      <c r="AGS283" s="132"/>
      <c r="AGT283" s="132"/>
      <c r="AGU283" s="132"/>
      <c r="AGV283" s="132"/>
      <c r="AGW283" s="132"/>
      <c r="AGX283" s="132"/>
      <c r="AGY283" s="132"/>
      <c r="AGZ283" s="132"/>
      <c r="AHA283" s="132"/>
      <c r="AHB283" s="132"/>
      <c r="AHC283" s="132"/>
      <c r="AHD283" s="132"/>
      <c r="AHE283" s="132"/>
      <c r="AHF283" s="132"/>
      <c r="AHG283" s="132"/>
      <c r="AHH283" s="132"/>
      <c r="AHI283" s="132"/>
      <c r="AHJ283" s="132"/>
      <c r="AHK283" s="132"/>
      <c r="AHL283" s="132"/>
      <c r="AHM283" s="132"/>
      <c r="AHN283" s="132"/>
      <c r="AHO283" s="132"/>
      <c r="AHP283" s="132"/>
      <c r="AHQ283" s="132"/>
      <c r="AHR283" s="132"/>
      <c r="AHS283" s="132"/>
      <c r="AHT283" s="132"/>
      <c r="AHU283" s="132"/>
      <c r="AHV283" s="132"/>
      <c r="AHW283" s="132"/>
      <c r="AHX283" s="132"/>
      <c r="AHY283" s="132"/>
      <c r="AHZ283" s="132"/>
      <c r="AIA283" s="132"/>
      <c r="AIB283" s="132"/>
      <c r="AIC283" s="132"/>
      <c r="AID283" s="132"/>
      <c r="AIE283" s="132"/>
      <c r="AIF283" s="132"/>
      <c r="AIG283" s="132"/>
      <c r="AIH283" s="132"/>
      <c r="AII283" s="132"/>
      <c r="AIJ283" s="132"/>
      <c r="AIK283" s="132"/>
      <c r="AIL283" s="132"/>
      <c r="AIM283" s="132"/>
      <c r="AIN283" s="132"/>
      <c r="AIO283" s="132"/>
      <c r="AIP283" s="132"/>
      <c r="AIQ283" s="132"/>
      <c r="AIR283" s="132"/>
      <c r="AIS283" s="132"/>
      <c r="AIT283" s="132"/>
      <c r="AIU283" s="132"/>
      <c r="AIV283" s="132"/>
      <c r="AIW283" s="132"/>
      <c r="AIX283" s="132"/>
      <c r="AIY283" s="132"/>
      <c r="AIZ283" s="132"/>
      <c r="AJA283" s="132"/>
      <c r="AJB283" s="132"/>
      <c r="AJC283" s="132"/>
      <c r="AJD283" s="132"/>
      <c r="AJE283" s="132"/>
      <c r="AJF283" s="132"/>
      <c r="AJG283" s="132"/>
      <c r="AJH283" s="132"/>
      <c r="AJI283" s="132"/>
      <c r="AJJ283" s="132"/>
      <c r="AJK283" s="132"/>
      <c r="AJL283" s="132"/>
      <c r="AJM283" s="132"/>
      <c r="AJN283" s="132"/>
      <c r="AJO283" s="132"/>
      <c r="AJP283" s="132"/>
      <c r="AJQ283" s="132"/>
      <c r="AJR283" s="132"/>
      <c r="AJS283" s="132"/>
      <c r="AJT283" s="132"/>
      <c r="AJU283" s="132"/>
      <c r="AJV283" s="132"/>
      <c r="AJW283" s="132"/>
      <c r="AJX283" s="132"/>
      <c r="AJY283" s="132"/>
      <c r="AJZ283" s="132"/>
      <c r="AKA283" s="132"/>
      <c r="AKB283" s="132"/>
      <c r="AKC283" s="132"/>
      <c r="AKD283" s="132"/>
      <c r="AKE283" s="132"/>
      <c r="AKF283" s="132"/>
      <c r="AKG283" s="132"/>
      <c r="AKH283" s="132"/>
      <c r="AKI283" s="132"/>
      <c r="AKJ283" s="132"/>
      <c r="AKK283" s="132"/>
      <c r="AKL283" s="132"/>
      <c r="AKM283" s="132"/>
      <c r="AKN283" s="132"/>
      <c r="AKO283" s="132"/>
      <c r="AKP283" s="132"/>
      <c r="AKQ283" s="132"/>
      <c r="AKR283" s="132"/>
      <c r="AKS283" s="132"/>
      <c r="AKT283" s="132"/>
      <c r="AKU283" s="132"/>
      <c r="AKV283" s="132"/>
      <c r="AKW283" s="132"/>
      <c r="AKX283" s="132"/>
      <c r="AKY283" s="132"/>
      <c r="AKZ283" s="132"/>
      <c r="ALA283" s="132"/>
      <c r="ALB283" s="132"/>
      <c r="ALC283" s="132"/>
      <c r="ALD283" s="132"/>
      <c r="ALE283" s="132"/>
      <c r="ALF283" s="132"/>
      <c r="ALG283" s="132"/>
      <c r="ALH283" s="132"/>
      <c r="ALI283" s="132"/>
      <c r="ALJ283" s="132"/>
      <c r="ALK283" s="132"/>
      <c r="ALL283" s="132"/>
      <c r="ALM283" s="132"/>
      <c r="ALN283" s="132"/>
      <c r="ALO283" s="132"/>
      <c r="ALP283" s="132"/>
      <c r="ALQ283" s="132"/>
      <c r="ALR283" s="132"/>
      <c r="ALS283" s="132"/>
      <c r="ALT283" s="132"/>
      <c r="ALU283" s="132"/>
      <c r="ALV283" s="132"/>
      <c r="ALW283" s="132"/>
      <c r="ALX283" s="132"/>
      <c r="ALY283" s="132"/>
      <c r="ALZ283" s="132"/>
      <c r="AMA283" s="132"/>
      <c r="AMB283" s="132"/>
      <c r="AMC283" s="132"/>
      <c r="AMD283" s="132"/>
      <c r="AME283" s="132"/>
      <c r="AMF283" s="132"/>
      <c r="AMG283" s="132"/>
      <c r="AMH283" s="132"/>
      <c r="AMI283" s="132"/>
      <c r="AMJ283" s="132"/>
      <c r="AMK283" s="132"/>
      <c r="AML283" s="132"/>
      <c r="AMM283" s="132"/>
      <c r="AMN283" s="132"/>
      <c r="AMO283" s="132"/>
      <c r="AMP283" s="132"/>
    </row>
    <row r="284" spans="1:1030" x14ac:dyDescent="0.2">
      <c r="A284" s="3" t="str">
        <f t="shared" si="753"/>
        <v>crfr1_human__wt</v>
      </c>
      <c r="B284" s="3" t="s">
        <v>38</v>
      </c>
      <c r="C284" s="3" t="s">
        <v>100</v>
      </c>
      <c r="D284" s="3" t="str">
        <f>IFERROR(MID(VLOOKUP($B284,Seqs!$A:$B,2,0),E284,1),"")</f>
        <v>Q</v>
      </c>
      <c r="E284" s="3">
        <v>103</v>
      </c>
      <c r="F284" s="3" t="str">
        <f>IFERROR(MID(VLOOKUP($B284,Seqs!$A:$B,2,0),G284,1),"")</f>
        <v>L</v>
      </c>
      <c r="G284" s="3">
        <v>144</v>
      </c>
      <c r="H284" s="3" t="str">
        <f>IFERROR(MID(VLOOKUP($B284,Seqs!$A:$B,2,0),I284,1),"")</f>
        <v>R</v>
      </c>
      <c r="I284" s="23">
        <v>145</v>
      </c>
      <c r="J284" s="3" t="str">
        <f>IFERROR(MID(VLOOKUP($B284,Seqs!$A:$B,2,0),K284,1),"")</f>
        <v>R</v>
      </c>
      <c r="K284" s="23">
        <v>148</v>
      </c>
      <c r="L284" s="3" t="str">
        <f>IFERROR(MID(VLOOKUP($B284,Seqs!$A:$B,2,0),M284,1),"")</f>
        <v>C</v>
      </c>
      <c r="M284" s="23">
        <v>149</v>
      </c>
      <c r="N284" s="3" t="str">
        <f>IFERROR(MID(VLOOKUP($B284,Seqs!$A:$B,2,0),O284,1),"")</f>
        <v>T</v>
      </c>
      <c r="O284" s="3">
        <v>175</v>
      </c>
      <c r="P284" s="3" t="str">
        <f>IFERROR(MID(VLOOKUP($B284,Seqs!$A:$B,2,0),Q284,1),"")</f>
        <v/>
      </c>
      <c r="Q284" s="3" t="s">
        <v>23</v>
      </c>
      <c r="R284" s="3" t="str">
        <f>IFERROR(MID(VLOOKUP($B284,Seqs!$A:$B,2,0),S284,1),"")</f>
        <v/>
      </c>
      <c r="S284" s="3" t="s">
        <v>23</v>
      </c>
      <c r="T284" s="3" t="str">
        <f>IFERROR(MID(VLOOKUP($B284,Seqs!$A:$B,2,0),U284,1),"")</f>
        <v>V</v>
      </c>
      <c r="U284" s="3">
        <v>185</v>
      </c>
      <c r="V284" s="3" t="str">
        <f>IFERROR(MID(VLOOKUP($B284,Seqs!$A:$B,2,0),W284,1),"")</f>
        <v>L</v>
      </c>
      <c r="W284" s="3">
        <v>219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L</v>
      </c>
      <c r="AC284" s="9">
        <v>226</v>
      </c>
      <c r="AD284" s="3" t="str">
        <f>IFERROR(MID(VLOOKUP($B284,Seqs!$A:$B,2,0),AE284,1),"")</f>
        <v>D</v>
      </c>
      <c r="AE284" s="3">
        <v>254</v>
      </c>
      <c r="AF284" s="3" t="str">
        <f>IFERROR(MID(VLOOKUP($B284,Seqs!$A:$B,2,0),AG284,1),"")</f>
        <v>C</v>
      </c>
      <c r="AG284" s="3">
        <v>258</v>
      </c>
      <c r="AH284" s="3" t="str">
        <f>IFERROR(MID(VLOOKUP($B284,Seqs!$A:$B,2,0),AI284,1),"")</f>
        <v>F</v>
      </c>
      <c r="AI284" s="3">
        <v>260</v>
      </c>
      <c r="AJ284" s="3" t="str">
        <f>IFERROR(MID(VLOOKUP($B284,Seqs!$A:$B,2,0),AK284,1),"")</f>
        <v>T</v>
      </c>
      <c r="AK284" s="3">
        <v>268</v>
      </c>
      <c r="AL284" s="3" t="str">
        <f>IFERROR(MID(VLOOKUP($B284,Seqs!$A:$B,2,0),AM284,1),"")</f>
        <v>L</v>
      </c>
      <c r="AM284" s="3">
        <v>298</v>
      </c>
      <c r="AN284" s="3" t="str">
        <f>IFERROR(MID(VLOOKUP($B284,Seqs!$A:$B,2,0),AO284,1),"")</f>
        <v>S</v>
      </c>
      <c r="AO284" s="3">
        <v>304</v>
      </c>
      <c r="AP284" s="3" t="str">
        <f>IFERROR(MID(VLOOKUP($B284,Seqs!$A:$B,2,0),AQ284,1),"")</f>
        <v>V</v>
      </c>
      <c r="AQ284" s="3">
        <v>332</v>
      </c>
      <c r="AR284" s="3" t="str">
        <f>IFERROR(MID(VLOOKUP($B284,Seqs!$A:$B,2,0),AS284,1),"")</f>
        <v>V</v>
      </c>
      <c r="AS284" s="3">
        <v>339</v>
      </c>
      <c r="AT284" s="3" t="str">
        <f>IFERROR(MID(VLOOKUP($B284,Seqs!$A:$B,2,0),AU284,1),"")</f>
        <v>L</v>
      </c>
      <c r="AU284" s="3">
        <v>366</v>
      </c>
      <c r="AV284" s="3" t="str">
        <f>IFERROR(MID(VLOOKUP($B284,Seqs!$A:$B,2,0),AW284,1),"")</f>
        <v>N</v>
      </c>
      <c r="AW284" s="3">
        <v>367</v>
      </c>
      <c r="AX284" s="3" t="str">
        <f>IFERROR(MID(VLOOKUP($B284,Seqs!$A:$B,2,0),AY284,1),"")</f>
        <v>A</v>
      </c>
      <c r="AY284" s="3">
        <v>392</v>
      </c>
      <c r="AZ284" s="77" t="str">
        <f>VLOOKUP(B284,Classification!A:D,2,0)</f>
        <v>B1</v>
      </c>
      <c r="BA284" s="94" t="str">
        <f>VLOOKUP(B284,Classification!A:D,4,0)</f>
        <v>Corticotropin-releasingfact</v>
      </c>
      <c r="BB284" s="27" t="b">
        <f t="shared" si="754"/>
        <v>1</v>
      </c>
      <c r="BC284" s="23">
        <f t="shared" ref="BC284:BC320" si="1089">_xlfn.AGGREGATE(9,6,CH284:CS284)-_xlfn.AGGREGATE(9,6,BV284:CG284)+12</f>
        <v>256</v>
      </c>
      <c r="BD284" s="56" t="s">
        <v>1379</v>
      </c>
      <c r="BE284" s="3" t="s">
        <v>23</v>
      </c>
      <c r="BF284" s="119" t="s">
        <v>23</v>
      </c>
      <c r="BG284" s="49" t="s">
        <v>1379</v>
      </c>
      <c r="BH284" s="49" t="s">
        <v>1384</v>
      </c>
      <c r="BI284" s="1"/>
      <c r="BJ284" s="70" t="s">
        <v>1293</v>
      </c>
      <c r="BK284" s="57" t="s">
        <v>1293</v>
      </c>
      <c r="BL284" s="57" t="s">
        <v>1293</v>
      </c>
      <c r="BM284" s="57" t="s">
        <v>1293</v>
      </c>
      <c r="BN284" s="57" t="s">
        <v>1293</v>
      </c>
      <c r="BO284" s="57" t="s">
        <v>1293</v>
      </c>
      <c r="BP284" s="57" t="s">
        <v>1293</v>
      </c>
      <c r="BQ284" s="57" t="s">
        <v>1293</v>
      </c>
      <c r="BR284" s="57" t="s">
        <v>1293</v>
      </c>
      <c r="BS284" s="57" t="s">
        <v>1293</v>
      </c>
      <c r="BT284" s="57" t="s">
        <v>1293</v>
      </c>
      <c r="BU284" s="57" t="s">
        <v>1293</v>
      </c>
      <c r="BV284" s="70">
        <f t="shared" ref="BV284:BV320" si="1090">E284</f>
        <v>103</v>
      </c>
      <c r="BW284" s="71">
        <f t="shared" ref="BW284:BW320" si="1091">I284</f>
        <v>145</v>
      </c>
      <c r="BX284" s="72">
        <f t="shared" ref="BX284:BX320" si="1092">M284</f>
        <v>149</v>
      </c>
      <c r="BY284" s="71" t="str">
        <f t="shared" ref="BY284:BY320" si="1093">Q284</f>
        <v>-</v>
      </c>
      <c r="BZ284" s="72">
        <f t="shared" ref="BZ284:BZ320" si="1094">U284</f>
        <v>185</v>
      </c>
      <c r="CA284" s="71" t="str">
        <f t="shared" ref="CA284:CA320" si="1095">Y284</f>
        <v>-</v>
      </c>
      <c r="CB284" s="72">
        <f t="shared" ref="CB284:CB320" si="1096">AC284</f>
        <v>226</v>
      </c>
      <c r="CC284" s="71">
        <f t="shared" ref="CC284:CC320" si="1097">AG284</f>
        <v>258</v>
      </c>
      <c r="CD284" s="72">
        <f t="shared" ref="CD284:CD320" si="1098">AK284</f>
        <v>268</v>
      </c>
      <c r="CE284" s="71">
        <f t="shared" ref="CE284:CE320" si="1099">AO284</f>
        <v>304</v>
      </c>
      <c r="CF284" s="72">
        <f t="shared" ref="CF284:CF320" si="1100">AS284</f>
        <v>339</v>
      </c>
      <c r="CG284" s="71">
        <f t="shared" ref="CG284:CG320" si="1101">AW284</f>
        <v>367</v>
      </c>
      <c r="CH284" s="70">
        <f t="shared" ref="CH284:CH320" si="1102">G284</f>
        <v>144</v>
      </c>
      <c r="CI284" s="71">
        <f t="shared" ref="CI284:CI320" si="1103">K284</f>
        <v>148</v>
      </c>
      <c r="CJ284" s="72">
        <f t="shared" ref="CJ284:CJ320" si="1104">O284</f>
        <v>175</v>
      </c>
      <c r="CK284" s="72" t="str">
        <f t="shared" ref="CK284:CK320" si="1105">S284</f>
        <v>-</v>
      </c>
      <c r="CL284" s="72">
        <f t="shared" ref="CL284:CL320" si="1106">W284</f>
        <v>219</v>
      </c>
      <c r="CM284" s="72" t="str">
        <f t="shared" ref="CM284:CM320" si="1107">AA284</f>
        <v>-</v>
      </c>
      <c r="CN284" s="72">
        <f t="shared" ref="CN284:CN320" si="1108">AE284</f>
        <v>254</v>
      </c>
      <c r="CO284" s="72">
        <f t="shared" ref="CO284:CO320" si="1109">AI284</f>
        <v>260</v>
      </c>
      <c r="CP284" s="72">
        <f t="shared" ref="CP284:CP320" si="1110">AM284</f>
        <v>298</v>
      </c>
      <c r="CQ284" s="72">
        <f t="shared" ref="CQ284:CQ320" si="1111">AQ284</f>
        <v>332</v>
      </c>
      <c r="CR284" s="72">
        <f t="shared" ref="CR284:CR320" si="1112">AU284</f>
        <v>366</v>
      </c>
      <c r="CS284" s="72">
        <f t="shared" ref="CS284:CS320" si="1113">AY284</f>
        <v>392</v>
      </c>
      <c r="CT284" s="23">
        <f t="shared" ref="CT284:CT320" si="1114">M284-K284</f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753"/>
        <v>crfr1_human_4K5Y</v>
      </c>
      <c r="B285" s="3" t="s">
        <v>38</v>
      </c>
      <c r="C285" s="3" t="s">
        <v>95</v>
      </c>
      <c r="D285" s="3" t="str">
        <f>IFERROR(MID(VLOOKUP($B285,Seqs!$A:$B,2,0),E285,1),"")</f>
        <v>H</v>
      </c>
      <c r="E285" s="3">
        <v>117</v>
      </c>
      <c r="F285" s="3" t="str">
        <f>IFERROR(MID(VLOOKUP($B285,Seqs!$A:$B,2,0),G285,1),"")</f>
        <v>L</v>
      </c>
      <c r="G285" s="3">
        <v>144</v>
      </c>
      <c r="H285" s="3" t="str">
        <f>IFERROR(MID(VLOOKUP($B285,Seqs!$A:$B,2,0),I285,1),"")</f>
        <v>R</v>
      </c>
      <c r="I285" s="23">
        <v>145</v>
      </c>
      <c r="J285" s="3" t="str">
        <f>IFERROR(MID(VLOOKUP($B285,Seqs!$A:$B,2,0),K285,1),"")</f>
        <v>R</v>
      </c>
      <c r="K285" s="23">
        <v>148</v>
      </c>
      <c r="L285" s="3" t="str">
        <f>IFERROR(MID(VLOOKUP($B285,Seqs!$A:$B,2,0),M285,1),"")</f>
        <v>C</v>
      </c>
      <c r="M285" s="23">
        <v>149</v>
      </c>
      <c r="N285" s="3" t="str">
        <f>IFERROR(MID(VLOOKUP($B285,Seqs!$A:$B,2,0),O285,1),"")</f>
        <v>T</v>
      </c>
      <c r="O285" s="3">
        <v>175</v>
      </c>
      <c r="P285" s="3" t="str">
        <f>IFERROR(MID(VLOOKUP($B285,Seqs!$A:$B,2,0),Q285,1),"")</f>
        <v/>
      </c>
      <c r="Q285" s="3" t="s">
        <v>23</v>
      </c>
      <c r="R285" s="3" t="str">
        <f>IFERROR(MID(VLOOKUP($B285,Seqs!$A:$B,2,0),S285,1),"")</f>
        <v/>
      </c>
      <c r="S285" s="3" t="s">
        <v>23</v>
      </c>
      <c r="T285" s="3" t="str">
        <f>IFERROR(MID(VLOOKUP($B285,Seqs!$A:$B,2,0),U285,1),"")</f>
        <v>V</v>
      </c>
      <c r="U285" s="3">
        <v>185</v>
      </c>
      <c r="V285" s="3" t="str">
        <f>IFERROR(MID(VLOOKUP($B285,Seqs!$A:$B,2,0),W285,1),"")</f>
        <v>L</v>
      </c>
      <c r="W285" s="3">
        <v>219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L</v>
      </c>
      <c r="AC285" s="9">
        <v>226</v>
      </c>
      <c r="AD285" s="3" t="str">
        <f>IFERROR(MID(VLOOKUP($B285,Seqs!$A:$B,2,0),AE285,1),"")</f>
        <v>D</v>
      </c>
      <c r="AE285" s="3">
        <v>254</v>
      </c>
      <c r="AF285" s="3" t="str">
        <f>IFERROR(MID(VLOOKUP($B285,Seqs!$A:$B,2,0),AG285,1),"")</f>
        <v>C</v>
      </c>
      <c r="AG285" s="3">
        <v>258</v>
      </c>
      <c r="AH285" s="3" t="str">
        <f>IFERROR(MID(VLOOKUP($B285,Seqs!$A:$B,2,0),AI285,1),"")</f>
        <v>F</v>
      </c>
      <c r="AI285" s="3">
        <v>260</v>
      </c>
      <c r="AJ285" s="3" t="str">
        <f>IFERROR(MID(VLOOKUP($B285,Seqs!$A:$B,2,0),AK285,1),"")</f>
        <v>T</v>
      </c>
      <c r="AK285" s="3">
        <v>268</v>
      </c>
      <c r="AL285" s="3" t="str">
        <f>IFERROR(MID(VLOOKUP($B285,Seqs!$A:$B,2,0),AM285,1),"")</f>
        <v>L</v>
      </c>
      <c r="AM285" s="3">
        <v>298</v>
      </c>
      <c r="AN285" s="3" t="str">
        <f>IFERROR(MID(VLOOKUP($B285,Seqs!$A:$B,2,0),AO285,1),"")</f>
        <v>S</v>
      </c>
      <c r="AO285" s="3">
        <v>304</v>
      </c>
      <c r="AP285" s="3" t="str">
        <f>IFERROR(MID(VLOOKUP($B285,Seqs!$A:$B,2,0),AQ285,1),"")</f>
        <v>V</v>
      </c>
      <c r="AQ285" s="3">
        <v>332</v>
      </c>
      <c r="AR285" s="3" t="str">
        <f>IFERROR(MID(VLOOKUP($B285,Seqs!$A:$B,2,0),AS285,1),"")</f>
        <v>V</v>
      </c>
      <c r="AS285" s="3">
        <v>339</v>
      </c>
      <c r="AT285" s="3" t="str">
        <f>IFERROR(MID(VLOOKUP($B285,Seqs!$A:$B,2,0),AU285,1),"")</f>
        <v>F</v>
      </c>
      <c r="AU285" s="3">
        <v>362</v>
      </c>
      <c r="AV285" s="3" t="str">
        <f>IFERROR(MID(VLOOKUP($B285,Seqs!$A:$B,2,0),AW285,1),"")</f>
        <v/>
      </c>
      <c r="AW285" s="3" t="s">
        <v>23</v>
      </c>
      <c r="AX285" s="3" t="str">
        <f>IFERROR(MID(VLOOKUP($B285,Seqs!$A:$B,2,0),AY285,1),"")</f>
        <v/>
      </c>
      <c r="AY285" s="3" t="s">
        <v>23</v>
      </c>
      <c r="AZ285" s="77" t="str">
        <f>VLOOKUP(B285,Classification!A:D,2,0)</f>
        <v>B1</v>
      </c>
      <c r="BA285" s="94" t="str">
        <f>VLOOKUP(B285,Classification!A:D,4,0)</f>
        <v>Corticotropin-releasingfact</v>
      </c>
      <c r="BB285" s="27" t="b">
        <f t="shared" si="754"/>
        <v>1</v>
      </c>
      <c r="BC285" s="23">
        <f t="shared" si="1089"/>
        <v>213</v>
      </c>
      <c r="BD285" s="4" t="s">
        <v>23</v>
      </c>
      <c r="BE285" s="3" t="s">
        <v>1381</v>
      </c>
      <c r="BF285" s="119">
        <v>2.98</v>
      </c>
      <c r="BG285" s="49" t="s">
        <v>1384</v>
      </c>
      <c r="BH285" s="49" t="s">
        <v>1384</v>
      </c>
      <c r="BI285" s="1"/>
      <c r="BJ285" s="70" t="s">
        <v>1293</v>
      </c>
      <c r="BK285" s="57" t="s">
        <v>1293</v>
      </c>
      <c r="BL285" s="57" t="s">
        <v>1293</v>
      </c>
      <c r="BM285" s="57" t="s">
        <v>1293</v>
      </c>
      <c r="BN285" s="57" t="s">
        <v>1293</v>
      </c>
      <c r="BO285" s="57" t="s">
        <v>1293</v>
      </c>
      <c r="BP285" s="57" t="s">
        <v>1293</v>
      </c>
      <c r="BQ285" s="57" t="s">
        <v>1293</v>
      </c>
      <c r="BR285" s="57" t="s">
        <v>1293</v>
      </c>
      <c r="BS285" s="57" t="s">
        <v>1293</v>
      </c>
      <c r="BT285" s="57" t="s">
        <v>1293</v>
      </c>
      <c r="BU285" s="57" t="s">
        <v>1293</v>
      </c>
      <c r="BV285" s="70">
        <f t="shared" si="1090"/>
        <v>117</v>
      </c>
      <c r="BW285" s="71">
        <f t="shared" si="1091"/>
        <v>145</v>
      </c>
      <c r="BX285" s="72">
        <f t="shared" si="1092"/>
        <v>149</v>
      </c>
      <c r="BY285" s="71" t="str">
        <f t="shared" si="1093"/>
        <v>-</v>
      </c>
      <c r="BZ285" s="72">
        <f t="shared" si="1094"/>
        <v>185</v>
      </c>
      <c r="CA285" s="71" t="str">
        <f t="shared" si="1095"/>
        <v>-</v>
      </c>
      <c r="CB285" s="72">
        <f t="shared" si="1096"/>
        <v>226</v>
      </c>
      <c r="CC285" s="71">
        <f t="shared" si="1097"/>
        <v>258</v>
      </c>
      <c r="CD285" s="72">
        <f t="shared" si="1098"/>
        <v>268</v>
      </c>
      <c r="CE285" s="71">
        <f t="shared" si="1099"/>
        <v>304</v>
      </c>
      <c r="CF285" s="72">
        <f t="shared" si="1100"/>
        <v>339</v>
      </c>
      <c r="CG285" s="71" t="str">
        <f t="shared" si="1101"/>
        <v>-</v>
      </c>
      <c r="CH285" s="70">
        <f t="shared" si="1102"/>
        <v>144</v>
      </c>
      <c r="CI285" s="71">
        <f t="shared" si="1103"/>
        <v>148</v>
      </c>
      <c r="CJ285" s="72">
        <f t="shared" si="1104"/>
        <v>175</v>
      </c>
      <c r="CK285" s="72" t="str">
        <f t="shared" si="1105"/>
        <v>-</v>
      </c>
      <c r="CL285" s="72">
        <f t="shared" si="1106"/>
        <v>219</v>
      </c>
      <c r="CM285" s="72" t="str">
        <f t="shared" si="1107"/>
        <v>-</v>
      </c>
      <c r="CN285" s="72">
        <f t="shared" si="1108"/>
        <v>254</v>
      </c>
      <c r="CO285" s="72">
        <f t="shared" si="1109"/>
        <v>260</v>
      </c>
      <c r="CP285" s="72">
        <f t="shared" si="1110"/>
        <v>298</v>
      </c>
      <c r="CQ285" s="72">
        <f t="shared" si="1111"/>
        <v>332</v>
      </c>
      <c r="CR285" s="72">
        <f t="shared" si="1112"/>
        <v>362</v>
      </c>
      <c r="CS285" s="72" t="str">
        <f t="shared" si="1113"/>
        <v>-</v>
      </c>
      <c r="CT285" s="23">
        <f t="shared" si="1114"/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x14ac:dyDescent="0.2">
      <c r="A286" s="3" t="str">
        <f t="shared" si="753"/>
        <v>crfr1_human_4K5Y_dist</v>
      </c>
      <c r="B286" s="3" t="s">
        <v>38</v>
      </c>
      <c r="C286" s="3" t="s">
        <v>1161</v>
      </c>
      <c r="D286" s="3" t="str">
        <f>IFERROR(MID(VLOOKUP($B286,Seqs!$A:$B,2,0),E286,1),"")</f>
        <v>H</v>
      </c>
      <c r="E286" s="3">
        <v>117</v>
      </c>
      <c r="F286" s="3" t="str">
        <f>IFERROR(MID(VLOOKUP($B286,Seqs!$A:$B,2,0),G286,1),"")</f>
        <v>L</v>
      </c>
      <c r="G286" s="3">
        <v>144</v>
      </c>
      <c r="H286" s="3" t="str">
        <f>IFERROR(MID(VLOOKUP($B286,Seqs!$A:$B,2,0),I286,1),"")</f>
        <v>R</v>
      </c>
      <c r="I286" s="23">
        <v>145</v>
      </c>
      <c r="J286" s="3" t="str">
        <f>IFERROR(MID(VLOOKUP($B286,Seqs!$A:$B,2,0),K286,1),"")</f>
        <v>R</v>
      </c>
      <c r="K286" s="23">
        <v>148</v>
      </c>
      <c r="L286" s="3" t="str">
        <f>IFERROR(MID(VLOOKUP($B286,Seqs!$A:$B,2,0),M286,1),"")</f>
        <v>C</v>
      </c>
      <c r="M286" s="23">
        <v>149</v>
      </c>
      <c r="N286" s="3" t="str">
        <f>IFERROR(MID(VLOOKUP($B286,Seqs!$A:$B,2,0),O286,1),"")</f>
        <v>T</v>
      </c>
      <c r="O286" s="3">
        <v>175</v>
      </c>
      <c r="P286" s="3" t="str">
        <f>IFERROR(MID(VLOOKUP($B286,Seqs!$A:$B,2,0),Q286,1),"")</f>
        <v/>
      </c>
      <c r="Q286" s="3" t="s">
        <v>23</v>
      </c>
      <c r="R286" s="3" t="str">
        <f>IFERROR(MID(VLOOKUP($B286,Seqs!$A:$B,2,0),S286,1),"")</f>
        <v/>
      </c>
      <c r="S286" s="3" t="s">
        <v>23</v>
      </c>
      <c r="T286" s="3" t="str">
        <f>IFERROR(MID(VLOOKUP($B286,Seqs!$A:$B,2,0),U286,1),"")</f>
        <v>V</v>
      </c>
      <c r="U286" s="3">
        <v>185</v>
      </c>
      <c r="V286" s="3" t="str">
        <f>IFERROR(MID(VLOOKUP($B286,Seqs!$A:$B,2,0),W286,1),"")</f>
        <v>L</v>
      </c>
      <c r="W286" s="3">
        <v>219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L</v>
      </c>
      <c r="AC286" s="9">
        <v>226</v>
      </c>
      <c r="AD286" s="3" t="str">
        <f>IFERROR(MID(VLOOKUP($B286,Seqs!$A:$B,2,0),AE286,1),"")</f>
        <v>D</v>
      </c>
      <c r="AE286" s="3">
        <v>254</v>
      </c>
      <c r="AF286" s="3" t="str">
        <f>IFERROR(MID(VLOOKUP($B286,Seqs!$A:$B,2,0),AG286,1),"")</f>
        <v>C</v>
      </c>
      <c r="AG286" s="3">
        <v>258</v>
      </c>
      <c r="AH286" s="3" t="str">
        <f>IFERROR(MID(VLOOKUP($B286,Seqs!$A:$B,2,0),AI286,1),"")</f>
        <v>F</v>
      </c>
      <c r="AI286" s="3">
        <v>260</v>
      </c>
      <c r="AJ286" s="3" t="str">
        <f>IFERROR(MID(VLOOKUP($B286,Seqs!$A:$B,2,0),AK286,1),"")</f>
        <v>T</v>
      </c>
      <c r="AK286" s="3">
        <v>268</v>
      </c>
      <c r="AL286" s="3" t="str">
        <f>IFERROR(MID(VLOOKUP($B286,Seqs!$A:$B,2,0),AM286,1),"")</f>
        <v>L</v>
      </c>
      <c r="AM286" s="3">
        <v>298</v>
      </c>
      <c r="AN286" s="3" t="str">
        <f>IFERROR(MID(VLOOKUP($B286,Seqs!$A:$B,2,0),AO286,1),"")</f>
        <v>S</v>
      </c>
      <c r="AO286" s="3">
        <v>304</v>
      </c>
      <c r="AP286" s="3" t="str">
        <f>IFERROR(MID(VLOOKUP($B286,Seqs!$A:$B,2,0),AQ286,1),"")</f>
        <v>V</v>
      </c>
      <c r="AQ286" s="3">
        <v>332</v>
      </c>
      <c r="AR286" s="3" t="str">
        <f>IFERROR(MID(VLOOKUP($B286,Seqs!$A:$B,2,0),AS286,1),"")</f>
        <v>V</v>
      </c>
      <c r="AS286" s="3">
        <v>339</v>
      </c>
      <c r="AT286" s="3" t="str">
        <f>IFERROR(MID(VLOOKUP($B286,Seqs!$A:$B,2,0),AU286,1),"")</f>
        <v>L</v>
      </c>
      <c r="AU286" s="3">
        <v>366</v>
      </c>
      <c r="AV286" s="3" t="str">
        <f>IFERROR(MID(VLOOKUP($B286,Seqs!$A:$B,2,0),AW286,1),"")</f>
        <v/>
      </c>
      <c r="AW286" s="3" t="s">
        <v>23</v>
      </c>
      <c r="AX286" s="3" t="str">
        <f>IFERROR(MID(VLOOKUP($B286,Seqs!$A:$B,2,0),AY286,1),"")</f>
        <v/>
      </c>
      <c r="AY286" s="3" t="s">
        <v>23</v>
      </c>
      <c r="AZ286" s="77" t="str">
        <f>VLOOKUP(B286,Classification!A:D,2,0)</f>
        <v>B1</v>
      </c>
      <c r="BA286" s="94" t="str">
        <f>VLOOKUP(B286,Classification!A:D,4,0)</f>
        <v>Corticotropin-releasingfact</v>
      </c>
      <c r="BB286" s="27" t="b">
        <f t="shared" si="754"/>
        <v>1</v>
      </c>
      <c r="BC286" s="23">
        <f t="shared" si="1089"/>
        <v>217</v>
      </c>
      <c r="BD286" s="56" t="s">
        <v>1379</v>
      </c>
      <c r="BE286" s="3" t="s">
        <v>1381</v>
      </c>
      <c r="BF286" s="119">
        <v>2.98</v>
      </c>
      <c r="BG286" s="49" t="s">
        <v>1384</v>
      </c>
      <c r="BH286" s="49" t="s">
        <v>1384</v>
      </c>
      <c r="BI286" s="3" t="s">
        <v>1163</v>
      </c>
      <c r="BJ286" s="70" t="s">
        <v>1293</v>
      </c>
      <c r="BK286" s="57" t="s">
        <v>1293</v>
      </c>
      <c r="BL286" s="57" t="s">
        <v>1293</v>
      </c>
      <c r="BM286" s="57" t="s">
        <v>1293</v>
      </c>
      <c r="BN286" s="57" t="s">
        <v>1293</v>
      </c>
      <c r="BO286" s="57" t="s">
        <v>1293</v>
      </c>
      <c r="BP286" s="57" t="s">
        <v>1293</v>
      </c>
      <c r="BQ286" s="57" t="s">
        <v>1293</v>
      </c>
      <c r="BR286" s="57" t="s">
        <v>1293</v>
      </c>
      <c r="BS286" s="57" t="s">
        <v>1293</v>
      </c>
      <c r="BT286" s="57" t="s">
        <v>1293</v>
      </c>
      <c r="BU286" s="57" t="s">
        <v>1293</v>
      </c>
      <c r="BV286" s="70">
        <f t="shared" si="1090"/>
        <v>117</v>
      </c>
      <c r="BW286" s="71">
        <f t="shared" si="1091"/>
        <v>145</v>
      </c>
      <c r="BX286" s="72">
        <f t="shared" si="1092"/>
        <v>149</v>
      </c>
      <c r="BY286" s="71" t="str">
        <f t="shared" si="1093"/>
        <v>-</v>
      </c>
      <c r="BZ286" s="72">
        <f t="shared" si="1094"/>
        <v>185</v>
      </c>
      <c r="CA286" s="71" t="str">
        <f t="shared" si="1095"/>
        <v>-</v>
      </c>
      <c r="CB286" s="72">
        <f t="shared" si="1096"/>
        <v>226</v>
      </c>
      <c r="CC286" s="71">
        <f t="shared" si="1097"/>
        <v>258</v>
      </c>
      <c r="CD286" s="72">
        <f t="shared" si="1098"/>
        <v>268</v>
      </c>
      <c r="CE286" s="71">
        <f t="shared" si="1099"/>
        <v>304</v>
      </c>
      <c r="CF286" s="72">
        <f t="shared" si="1100"/>
        <v>339</v>
      </c>
      <c r="CG286" s="71" t="str">
        <f t="shared" si="1101"/>
        <v>-</v>
      </c>
      <c r="CH286" s="70">
        <f t="shared" si="1102"/>
        <v>144</v>
      </c>
      <c r="CI286" s="71">
        <f t="shared" si="1103"/>
        <v>148</v>
      </c>
      <c r="CJ286" s="72">
        <f t="shared" si="1104"/>
        <v>175</v>
      </c>
      <c r="CK286" s="72" t="str">
        <f t="shared" si="1105"/>
        <v>-</v>
      </c>
      <c r="CL286" s="72">
        <f t="shared" si="1106"/>
        <v>219</v>
      </c>
      <c r="CM286" s="72" t="str">
        <f t="shared" si="1107"/>
        <v>-</v>
      </c>
      <c r="CN286" s="72">
        <f t="shared" si="1108"/>
        <v>254</v>
      </c>
      <c r="CO286" s="72">
        <f t="shared" si="1109"/>
        <v>260</v>
      </c>
      <c r="CP286" s="72">
        <f t="shared" si="1110"/>
        <v>298</v>
      </c>
      <c r="CQ286" s="72">
        <f t="shared" si="1111"/>
        <v>332</v>
      </c>
      <c r="CR286" s="72">
        <f t="shared" si="1112"/>
        <v>366</v>
      </c>
      <c r="CS286" s="72" t="str">
        <f t="shared" si="1113"/>
        <v>-</v>
      </c>
      <c r="CT286" s="23">
        <f t="shared" si="1114"/>
        <v>1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30" x14ac:dyDescent="0.2">
      <c r="A287" s="3" t="str">
        <f t="shared" si="753"/>
        <v>crfr1_human_4Z9G</v>
      </c>
      <c r="B287" s="3" t="s">
        <v>38</v>
      </c>
      <c r="C287" s="3" t="s">
        <v>1060</v>
      </c>
      <c r="D287" s="3" t="str">
        <f>IFERROR(MID(VLOOKUP($B287,Seqs!$A:$B,2,0),E287,1),"")</f>
        <v>S</v>
      </c>
      <c r="E287" s="3">
        <v>112</v>
      </c>
      <c r="F287" s="3" t="str">
        <f>IFERROR(MID(VLOOKUP($B287,Seqs!$A:$B,2,0),G287,1),"")</f>
        <v>L</v>
      </c>
      <c r="G287" s="3">
        <v>144</v>
      </c>
      <c r="H287" s="3" t="str">
        <f>IFERROR(MID(VLOOKUP($B287,Seqs!$A:$B,2,0),I287,1),"")</f>
        <v>R</v>
      </c>
      <c r="I287" s="23">
        <v>145</v>
      </c>
      <c r="J287" s="3" t="str">
        <f>IFERROR(MID(VLOOKUP($B287,Seqs!$A:$B,2,0),K287,1),"")</f>
        <v>R</v>
      </c>
      <c r="K287" s="23">
        <v>148</v>
      </c>
      <c r="L287" s="3" t="str">
        <f>IFERROR(MID(VLOOKUP($B287,Seqs!$A:$B,2,0),M287,1),"")</f>
        <v>C</v>
      </c>
      <c r="M287" s="23">
        <v>149</v>
      </c>
      <c r="N287" s="3" t="str">
        <f>IFERROR(MID(VLOOKUP($B287,Seqs!$A:$B,2,0),O287,1),"")</f>
        <v>T</v>
      </c>
      <c r="O287" s="3">
        <v>175</v>
      </c>
      <c r="P287" s="3" t="str">
        <f>IFERROR(MID(VLOOKUP($B287,Seqs!$A:$B,2,0),Q287,1),"")</f>
        <v/>
      </c>
      <c r="Q287" s="3" t="s">
        <v>23</v>
      </c>
      <c r="R287" s="3" t="str">
        <f>IFERROR(MID(VLOOKUP($B287,Seqs!$A:$B,2,0),S287,1),"")</f>
        <v/>
      </c>
      <c r="S287" s="3" t="s">
        <v>23</v>
      </c>
      <c r="T287" s="3" t="str">
        <f>IFERROR(MID(VLOOKUP($B287,Seqs!$A:$B,2,0),U287,1),"")</f>
        <v>V</v>
      </c>
      <c r="U287" s="3">
        <v>185</v>
      </c>
      <c r="V287" s="3" t="str">
        <f>IFERROR(MID(VLOOKUP($B287,Seqs!$A:$B,2,0),W287,1),"")</f>
        <v>L</v>
      </c>
      <c r="W287" s="3">
        <v>219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L</v>
      </c>
      <c r="AC287" s="9">
        <v>226</v>
      </c>
      <c r="AD287" s="3" t="str">
        <f>IFERROR(MID(VLOOKUP($B287,Seqs!$A:$B,2,0),AE287,1),"")</f>
        <v>D</v>
      </c>
      <c r="AE287" s="3">
        <v>254</v>
      </c>
      <c r="AF287" s="3" t="str">
        <f>IFERROR(MID(VLOOKUP($B287,Seqs!$A:$B,2,0),AG287,1),"")</f>
        <v>C</v>
      </c>
      <c r="AG287" s="3">
        <v>258</v>
      </c>
      <c r="AH287" s="3" t="str">
        <f>IFERROR(MID(VLOOKUP($B287,Seqs!$A:$B,2,0),AI287,1),"")</f>
        <v>F</v>
      </c>
      <c r="AI287" s="3">
        <v>260</v>
      </c>
      <c r="AJ287" s="3" t="str">
        <f>IFERROR(MID(VLOOKUP($B287,Seqs!$A:$B,2,0),AK287,1),"")</f>
        <v>T</v>
      </c>
      <c r="AK287" s="3">
        <v>268</v>
      </c>
      <c r="AL287" s="3" t="str">
        <f>IFERROR(MID(VLOOKUP($B287,Seqs!$A:$B,2,0),AM287,1),"")</f>
        <v>L</v>
      </c>
      <c r="AM287" s="3">
        <v>298</v>
      </c>
      <c r="AN287" s="3" t="str">
        <f>IFERROR(MID(VLOOKUP($B287,Seqs!$A:$B,2,0),AO287,1),"")</f>
        <v>S</v>
      </c>
      <c r="AO287" s="3">
        <v>304</v>
      </c>
      <c r="AP287" s="3" t="str">
        <f>IFERROR(MID(VLOOKUP($B287,Seqs!$A:$B,2,0),AQ287,1),"")</f>
        <v>V</v>
      </c>
      <c r="AQ287" s="3">
        <v>332</v>
      </c>
      <c r="AR287" s="3" t="str">
        <f>IFERROR(MID(VLOOKUP($B287,Seqs!$A:$B,2,0),AS287,1),"")</f>
        <v>V</v>
      </c>
      <c r="AS287" s="3">
        <v>339</v>
      </c>
      <c r="AT287" s="3" t="str">
        <f>IFERROR(MID(VLOOKUP($B287,Seqs!$A:$B,2,0),AU287,1),"")</f>
        <v>F</v>
      </c>
      <c r="AU287" s="3">
        <v>362</v>
      </c>
      <c r="AV287" s="3" t="str">
        <f>IFERROR(MID(VLOOKUP($B287,Seqs!$A:$B,2,0),AW287,1),"")</f>
        <v/>
      </c>
      <c r="AW287" s="3" t="s">
        <v>23</v>
      </c>
      <c r="AX287" s="3" t="str">
        <f>IFERROR(MID(VLOOKUP($B287,Seqs!$A:$B,2,0),AY287,1),"")</f>
        <v/>
      </c>
      <c r="AY287" s="3" t="s">
        <v>23</v>
      </c>
      <c r="AZ287" s="77" t="str">
        <f>VLOOKUP(B287,Classification!A:D,2,0)</f>
        <v>B1</v>
      </c>
      <c r="BA287" s="94" t="str">
        <f>VLOOKUP(B287,Classification!A:D,4,0)</f>
        <v>Corticotropin-releasingfact</v>
      </c>
      <c r="BB287" s="27" t="b">
        <f t="shared" si="754"/>
        <v>1</v>
      </c>
      <c r="BC287" s="23">
        <f t="shared" si="1089"/>
        <v>218</v>
      </c>
      <c r="BD287" s="2" t="s">
        <v>1383</v>
      </c>
      <c r="BE287" s="3" t="s">
        <v>1381</v>
      </c>
      <c r="BF287" s="119">
        <v>3.18</v>
      </c>
      <c r="BG287" s="49" t="s">
        <v>1384</v>
      </c>
      <c r="BH287" s="49" t="s">
        <v>1384</v>
      </c>
      <c r="BI287" s="1"/>
      <c r="BJ287" s="70" t="s">
        <v>1293</v>
      </c>
      <c r="BK287" s="57" t="s">
        <v>1293</v>
      </c>
      <c r="BL287" s="57" t="s">
        <v>1293</v>
      </c>
      <c r="BM287" s="57" t="s">
        <v>1293</v>
      </c>
      <c r="BN287" s="57" t="s">
        <v>1293</v>
      </c>
      <c r="BO287" s="57" t="s">
        <v>1293</v>
      </c>
      <c r="BP287" s="57" t="s">
        <v>1293</v>
      </c>
      <c r="BQ287" s="57" t="s">
        <v>1293</v>
      </c>
      <c r="BR287" s="57" t="s">
        <v>1293</v>
      </c>
      <c r="BS287" s="57" t="s">
        <v>1293</v>
      </c>
      <c r="BT287" s="57" t="s">
        <v>1293</v>
      </c>
      <c r="BU287" s="57" t="s">
        <v>1293</v>
      </c>
      <c r="BV287" s="70">
        <f t="shared" si="1090"/>
        <v>112</v>
      </c>
      <c r="BW287" s="71">
        <f t="shared" si="1091"/>
        <v>145</v>
      </c>
      <c r="BX287" s="72">
        <f t="shared" si="1092"/>
        <v>149</v>
      </c>
      <c r="BY287" s="71" t="str">
        <f t="shared" si="1093"/>
        <v>-</v>
      </c>
      <c r="BZ287" s="72">
        <f t="shared" si="1094"/>
        <v>185</v>
      </c>
      <c r="CA287" s="71" t="str">
        <f t="shared" si="1095"/>
        <v>-</v>
      </c>
      <c r="CB287" s="72">
        <f t="shared" si="1096"/>
        <v>226</v>
      </c>
      <c r="CC287" s="71">
        <f t="shared" si="1097"/>
        <v>258</v>
      </c>
      <c r="CD287" s="72">
        <f t="shared" si="1098"/>
        <v>268</v>
      </c>
      <c r="CE287" s="71">
        <f t="shared" si="1099"/>
        <v>304</v>
      </c>
      <c r="CF287" s="72">
        <f t="shared" si="1100"/>
        <v>339</v>
      </c>
      <c r="CG287" s="71" t="str">
        <f t="shared" si="1101"/>
        <v>-</v>
      </c>
      <c r="CH287" s="70">
        <f t="shared" si="1102"/>
        <v>144</v>
      </c>
      <c r="CI287" s="71">
        <f t="shared" si="1103"/>
        <v>148</v>
      </c>
      <c r="CJ287" s="72">
        <f t="shared" si="1104"/>
        <v>175</v>
      </c>
      <c r="CK287" s="72" t="str">
        <f t="shared" si="1105"/>
        <v>-</v>
      </c>
      <c r="CL287" s="72">
        <f t="shared" si="1106"/>
        <v>219</v>
      </c>
      <c r="CM287" s="72" t="str">
        <f t="shared" si="1107"/>
        <v>-</v>
      </c>
      <c r="CN287" s="72">
        <f t="shared" si="1108"/>
        <v>254</v>
      </c>
      <c r="CO287" s="72">
        <f t="shared" si="1109"/>
        <v>260</v>
      </c>
      <c r="CP287" s="72">
        <f t="shared" si="1110"/>
        <v>298</v>
      </c>
      <c r="CQ287" s="72">
        <f t="shared" si="1111"/>
        <v>332</v>
      </c>
      <c r="CR287" s="72">
        <f t="shared" si="1112"/>
        <v>362</v>
      </c>
      <c r="CS287" s="72" t="str">
        <f t="shared" si="1113"/>
        <v>-</v>
      </c>
      <c r="CT287" s="23">
        <f t="shared" si="1114"/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753"/>
        <v>crfr1_human_4Z9G_dist</v>
      </c>
      <c r="B288" s="3" t="s">
        <v>38</v>
      </c>
      <c r="C288" s="3" t="s">
        <v>1162</v>
      </c>
      <c r="D288" s="3" t="str">
        <f>IFERROR(MID(VLOOKUP($B288,Seqs!$A:$B,2,0),E288,1),"")</f>
        <v>S</v>
      </c>
      <c r="E288" s="3">
        <v>112</v>
      </c>
      <c r="F288" s="3" t="str">
        <f>IFERROR(MID(VLOOKUP($B288,Seqs!$A:$B,2,0),G288,1),"")</f>
        <v>L</v>
      </c>
      <c r="G288" s="3">
        <v>144</v>
      </c>
      <c r="H288" s="3" t="str">
        <f>IFERROR(MID(VLOOKUP($B288,Seqs!$A:$B,2,0),I288,1),"")</f>
        <v>R</v>
      </c>
      <c r="I288" s="23">
        <v>145</v>
      </c>
      <c r="J288" s="3" t="str">
        <f>IFERROR(MID(VLOOKUP($B288,Seqs!$A:$B,2,0),K288,1),"")</f>
        <v>R</v>
      </c>
      <c r="K288" s="23">
        <v>148</v>
      </c>
      <c r="L288" s="3" t="str">
        <f>IFERROR(MID(VLOOKUP($B288,Seqs!$A:$B,2,0),M288,1),"")</f>
        <v>C</v>
      </c>
      <c r="M288" s="23">
        <v>149</v>
      </c>
      <c r="N288" s="3" t="str">
        <f>IFERROR(MID(VLOOKUP($B288,Seqs!$A:$B,2,0),O288,1),"")</f>
        <v>T</v>
      </c>
      <c r="O288" s="3">
        <v>175</v>
      </c>
      <c r="P288" s="3" t="str">
        <f>IFERROR(MID(VLOOKUP($B288,Seqs!$A:$B,2,0),Q288,1),"")</f>
        <v/>
      </c>
      <c r="Q288" s="3" t="s">
        <v>23</v>
      </c>
      <c r="R288" s="3" t="str">
        <f>IFERROR(MID(VLOOKUP($B288,Seqs!$A:$B,2,0),S288,1),"")</f>
        <v/>
      </c>
      <c r="S288" s="3" t="s">
        <v>23</v>
      </c>
      <c r="T288" s="3" t="str">
        <f>IFERROR(MID(VLOOKUP($B288,Seqs!$A:$B,2,0),U288,1),"")</f>
        <v>V</v>
      </c>
      <c r="U288" s="3">
        <v>185</v>
      </c>
      <c r="V288" s="3" t="str">
        <f>IFERROR(MID(VLOOKUP($B288,Seqs!$A:$B,2,0),W288,1),"")</f>
        <v>L</v>
      </c>
      <c r="W288" s="3">
        <v>219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L</v>
      </c>
      <c r="AC288" s="9">
        <v>226</v>
      </c>
      <c r="AD288" s="3" t="str">
        <f>IFERROR(MID(VLOOKUP($B288,Seqs!$A:$B,2,0),AE288,1),"")</f>
        <v>D</v>
      </c>
      <c r="AE288" s="3">
        <v>254</v>
      </c>
      <c r="AF288" s="3" t="str">
        <f>IFERROR(MID(VLOOKUP($B288,Seqs!$A:$B,2,0),AG288,1),"")</f>
        <v>C</v>
      </c>
      <c r="AG288" s="3">
        <v>258</v>
      </c>
      <c r="AH288" s="3" t="str">
        <f>IFERROR(MID(VLOOKUP($B288,Seqs!$A:$B,2,0),AI288,1),"")</f>
        <v>F</v>
      </c>
      <c r="AI288" s="3">
        <v>260</v>
      </c>
      <c r="AJ288" s="3" t="str">
        <f>IFERROR(MID(VLOOKUP($B288,Seqs!$A:$B,2,0),AK288,1),"")</f>
        <v>T</v>
      </c>
      <c r="AK288" s="3">
        <v>268</v>
      </c>
      <c r="AL288" s="3" t="str">
        <f>IFERROR(MID(VLOOKUP($B288,Seqs!$A:$B,2,0),AM288,1),"")</f>
        <v>L</v>
      </c>
      <c r="AM288" s="3">
        <v>298</v>
      </c>
      <c r="AN288" s="3" t="str">
        <f>IFERROR(MID(VLOOKUP($B288,Seqs!$A:$B,2,0),AO288,1),"")</f>
        <v>S</v>
      </c>
      <c r="AO288" s="3">
        <v>304</v>
      </c>
      <c r="AP288" s="3" t="str">
        <f>IFERROR(MID(VLOOKUP($B288,Seqs!$A:$B,2,0),AQ288,1),"")</f>
        <v>V</v>
      </c>
      <c r="AQ288" s="3">
        <v>332</v>
      </c>
      <c r="AR288" s="3" t="str">
        <f>IFERROR(MID(VLOOKUP($B288,Seqs!$A:$B,2,0),AS288,1),"")</f>
        <v>V</v>
      </c>
      <c r="AS288" s="3">
        <v>339</v>
      </c>
      <c r="AT288" s="3" t="str">
        <f>IFERROR(MID(VLOOKUP($B288,Seqs!$A:$B,2,0),AU288,1),"")</f>
        <v>E</v>
      </c>
      <c r="AU288" s="3">
        <v>369</v>
      </c>
      <c r="AV288" s="3" t="str">
        <f>IFERROR(MID(VLOOKUP($B288,Seqs!$A:$B,2,0),AW288,1),"")</f>
        <v/>
      </c>
      <c r="AW288" s="3" t="s">
        <v>23</v>
      </c>
      <c r="AX288" s="3" t="str">
        <f>IFERROR(MID(VLOOKUP($B288,Seqs!$A:$B,2,0),AY288,1),"")</f>
        <v/>
      </c>
      <c r="AY288" s="3" t="s">
        <v>23</v>
      </c>
      <c r="AZ288" s="77" t="str">
        <f>VLOOKUP(B288,Classification!A:D,2,0)</f>
        <v>B1</v>
      </c>
      <c r="BA288" s="94" t="str">
        <f>VLOOKUP(B288,Classification!A:D,4,0)</f>
        <v>Corticotropin-releasingfact</v>
      </c>
      <c r="BB288" s="27" t="b">
        <f t="shared" si="754"/>
        <v>1</v>
      </c>
      <c r="BC288" s="23">
        <f t="shared" si="1089"/>
        <v>225</v>
      </c>
      <c r="BD288" s="56" t="s">
        <v>1379</v>
      </c>
      <c r="BE288" s="3" t="s">
        <v>1381</v>
      </c>
      <c r="BF288" s="119">
        <v>3.18</v>
      </c>
      <c r="BG288" s="49" t="s">
        <v>1384</v>
      </c>
      <c r="BH288" s="49" t="s">
        <v>1384</v>
      </c>
      <c r="BI288" s="3" t="s">
        <v>1163</v>
      </c>
      <c r="BJ288" s="70" t="s">
        <v>1293</v>
      </c>
      <c r="BK288" s="57" t="s">
        <v>1293</v>
      </c>
      <c r="BL288" s="57" t="s">
        <v>1293</v>
      </c>
      <c r="BM288" s="57" t="s">
        <v>1293</v>
      </c>
      <c r="BN288" s="57" t="s">
        <v>1293</v>
      </c>
      <c r="BO288" s="57" t="s">
        <v>1293</v>
      </c>
      <c r="BP288" s="57" t="s">
        <v>1293</v>
      </c>
      <c r="BQ288" s="57" t="s">
        <v>1293</v>
      </c>
      <c r="BR288" s="57" t="s">
        <v>1293</v>
      </c>
      <c r="BS288" s="57" t="s">
        <v>1293</v>
      </c>
      <c r="BT288" s="57" t="s">
        <v>1293</v>
      </c>
      <c r="BU288" s="57" t="s">
        <v>1293</v>
      </c>
      <c r="BV288" s="70">
        <f t="shared" si="1090"/>
        <v>112</v>
      </c>
      <c r="BW288" s="71">
        <f t="shared" si="1091"/>
        <v>145</v>
      </c>
      <c r="BX288" s="72">
        <f t="shared" si="1092"/>
        <v>149</v>
      </c>
      <c r="BY288" s="71" t="str">
        <f t="shared" si="1093"/>
        <v>-</v>
      </c>
      <c r="BZ288" s="72">
        <f t="shared" si="1094"/>
        <v>185</v>
      </c>
      <c r="CA288" s="71" t="str">
        <f t="shared" si="1095"/>
        <v>-</v>
      </c>
      <c r="CB288" s="72">
        <f t="shared" si="1096"/>
        <v>226</v>
      </c>
      <c r="CC288" s="71">
        <f t="shared" si="1097"/>
        <v>258</v>
      </c>
      <c r="CD288" s="72">
        <f t="shared" si="1098"/>
        <v>268</v>
      </c>
      <c r="CE288" s="71">
        <f t="shared" si="1099"/>
        <v>304</v>
      </c>
      <c r="CF288" s="72">
        <f t="shared" si="1100"/>
        <v>339</v>
      </c>
      <c r="CG288" s="71" t="str">
        <f t="shared" si="1101"/>
        <v>-</v>
      </c>
      <c r="CH288" s="70">
        <f t="shared" si="1102"/>
        <v>144</v>
      </c>
      <c r="CI288" s="71">
        <f t="shared" si="1103"/>
        <v>148</v>
      </c>
      <c r="CJ288" s="72">
        <f t="shared" si="1104"/>
        <v>175</v>
      </c>
      <c r="CK288" s="72" t="str">
        <f t="shared" si="1105"/>
        <v>-</v>
      </c>
      <c r="CL288" s="72">
        <f t="shared" si="1106"/>
        <v>219</v>
      </c>
      <c r="CM288" s="72" t="str">
        <f t="shared" si="1107"/>
        <v>-</v>
      </c>
      <c r="CN288" s="72">
        <f t="shared" si="1108"/>
        <v>254</v>
      </c>
      <c r="CO288" s="72">
        <f t="shared" si="1109"/>
        <v>260</v>
      </c>
      <c r="CP288" s="72">
        <f t="shared" si="1110"/>
        <v>298</v>
      </c>
      <c r="CQ288" s="72">
        <f t="shared" si="1111"/>
        <v>332</v>
      </c>
      <c r="CR288" s="72">
        <f t="shared" si="1112"/>
        <v>369</v>
      </c>
      <c r="CS288" s="72" t="str">
        <f t="shared" si="1113"/>
        <v>-</v>
      </c>
      <c r="CT288" s="23">
        <f t="shared" si="1114"/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753"/>
        <v>glr_human__wt</v>
      </c>
      <c r="B289" s="3" t="s">
        <v>32</v>
      </c>
      <c r="C289" s="3" t="s">
        <v>100</v>
      </c>
      <c r="D289" s="3" t="str">
        <f>IFERROR(MID(VLOOKUP($B289,Seqs!$A:$B,2,0),E289,1),"")</f>
        <v>Q</v>
      </c>
      <c r="E289" s="105">
        <v>131</v>
      </c>
      <c r="F289" s="3" t="str">
        <f>IFERROR(MID(VLOOKUP($B289,Seqs!$A:$B,2,0),G289,1),"")</f>
        <v>L</v>
      </c>
      <c r="G289" s="3">
        <v>166</v>
      </c>
      <c r="H289" s="3" t="str">
        <f>IFERROR(MID(VLOOKUP($B289,Seqs!$A:$B,2,0),I289,1),"")</f>
        <v>S</v>
      </c>
      <c r="I289" s="23">
        <v>167</v>
      </c>
      <c r="J289" s="3" t="str">
        <f>IFERROR(MID(VLOOKUP($B289,Seqs!$A:$B,2,0),K289,1),"")</f>
        <v>H</v>
      </c>
      <c r="K289" s="23">
        <v>170</v>
      </c>
      <c r="L289" s="3" t="str">
        <f>IFERROR(MID(VLOOKUP($B289,Seqs!$A:$B,2,0),M289,1),"")</f>
        <v>C</v>
      </c>
      <c r="M289" s="23">
        <v>171</v>
      </c>
      <c r="N289" s="3" t="str">
        <f>IFERROR(MID(VLOOKUP($B289,Seqs!$A:$B,2,0),O289,1),"")</f>
        <v>S</v>
      </c>
      <c r="O289" s="105">
        <v>203</v>
      </c>
      <c r="P289" s="3" t="str">
        <f>IFERROR(MID(VLOOKUP($B289,Seqs!$A:$B,2,0),Q289,1),"")</f>
        <v/>
      </c>
      <c r="Q289" s="3" t="s">
        <v>23</v>
      </c>
      <c r="R289" s="3" t="str">
        <f>IFERROR(MID(VLOOKUP($B289,Seqs!$A:$B,2,0),S289,1),"")</f>
        <v/>
      </c>
      <c r="S289" s="3" t="s">
        <v>23</v>
      </c>
      <c r="T289" s="3" t="str">
        <f>IFERROR(MID(VLOOKUP($B289,Seqs!$A:$B,2,0),U289,1),"")</f>
        <v>A</v>
      </c>
      <c r="U289" s="3">
        <v>220</v>
      </c>
      <c r="V289" s="3" t="str">
        <f>IFERROR(MID(VLOOKUP($B289,Seqs!$A:$B,2,0),W289,1),"")</f>
        <v>L</v>
      </c>
      <c r="W289" s="3">
        <v>255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S</v>
      </c>
      <c r="AC289" s="9">
        <v>262</v>
      </c>
      <c r="AD289" s="3" t="str">
        <f>IFERROR(MID(VLOOKUP($B289,Seqs!$A:$B,2,0),AE289,1),"")</f>
        <v>E</v>
      </c>
      <c r="AE289" s="3">
        <v>290</v>
      </c>
      <c r="AF289" s="3" t="str">
        <f>IFERROR(MID(VLOOKUP($B289,Seqs!$A:$B,2,0),AG289,1),"")</f>
        <v>C</v>
      </c>
      <c r="AG289" s="3">
        <v>294</v>
      </c>
      <c r="AH289" s="3" t="str">
        <f>IFERROR(MID(VLOOKUP($B289,Seqs!$A:$B,2,0),AI289,1),"")</f>
        <v>T</v>
      </c>
      <c r="AI289" s="3">
        <v>296</v>
      </c>
      <c r="AJ289" s="3" t="str">
        <f>IFERROR(MID(VLOOKUP($B289,Seqs!$A:$B,2,0),AK289,1),"")</f>
        <v>N</v>
      </c>
      <c r="AK289" s="3">
        <v>300</v>
      </c>
      <c r="AL289" s="3" t="str">
        <f>IFERROR(MID(VLOOKUP($B289,Seqs!$A:$B,2,0),AM289,1),"")</f>
        <v>A</v>
      </c>
      <c r="AM289" s="3">
        <v>335</v>
      </c>
      <c r="AN289" s="3" t="str">
        <f>IFERROR(MID(VLOOKUP($B289,Seqs!$A:$B,2,0),AO289,1),"")</f>
        <v>D</v>
      </c>
      <c r="AO289" s="3">
        <v>342</v>
      </c>
      <c r="AP289" s="3" t="str">
        <f>IFERROR(MID(VLOOKUP($B289,Seqs!$A:$B,2,0),AQ289,1),"")</f>
        <v>F</v>
      </c>
      <c r="AQ289" s="3">
        <v>367</v>
      </c>
      <c r="AR289" s="3" t="str">
        <f>IFERROR(MID(VLOOKUP($B289,Seqs!$A:$B,2,0),AS289,1),"")</f>
        <v>Q</v>
      </c>
      <c r="AS289" s="3">
        <v>374</v>
      </c>
      <c r="AT289" s="3" t="str">
        <f>IFERROR(MID(VLOOKUP($B289,Seqs!$A:$B,2,0),AU289,1),"")</f>
        <v>L</v>
      </c>
      <c r="AU289" s="3">
        <v>403</v>
      </c>
      <c r="AV289" s="3" t="str">
        <f>IFERROR(MID(VLOOKUP($B289,Seqs!$A:$B,2,0),AW289,1),"")</f>
        <v>N</v>
      </c>
      <c r="AW289" s="3">
        <v>404</v>
      </c>
      <c r="AX289" s="3" t="str">
        <f>IFERROR(MID(VLOOKUP($B289,Seqs!$A:$B,2,0),AY289,1),"")</f>
        <v>N</v>
      </c>
      <c r="AY289" s="3">
        <v>429</v>
      </c>
      <c r="AZ289" s="77" t="str">
        <f>VLOOKUP(B289,Classification!A:D,2,0)</f>
        <v>B1</v>
      </c>
      <c r="BA289" s="94" t="str">
        <f>VLOOKUP(B289,Classification!A:D,4,0)</f>
        <v>Glucagonreceptorfamily</v>
      </c>
      <c r="BB289" s="27" t="b">
        <f t="shared" si="754"/>
        <v>1</v>
      </c>
      <c r="BC289" s="23">
        <f t="shared" si="1089"/>
        <v>261</v>
      </c>
      <c r="BD289" s="56" t="s">
        <v>1379</v>
      </c>
      <c r="BE289" s="3" t="s">
        <v>23</v>
      </c>
      <c r="BF289" s="119" t="s">
        <v>23</v>
      </c>
      <c r="BG289" s="49" t="s">
        <v>1379</v>
      </c>
      <c r="BH289" s="49" t="s">
        <v>1384</v>
      </c>
      <c r="BI289" s="1"/>
      <c r="BJ289" s="70" t="s">
        <v>1293</v>
      </c>
      <c r="BK289" s="57" t="s">
        <v>1293</v>
      </c>
      <c r="BL289" s="57" t="s">
        <v>1293</v>
      </c>
      <c r="BM289" s="57" t="s">
        <v>1293</v>
      </c>
      <c r="BN289" s="57" t="s">
        <v>1293</v>
      </c>
      <c r="BO289" s="57" t="s">
        <v>1293</v>
      </c>
      <c r="BP289" s="57" t="s">
        <v>1293</v>
      </c>
      <c r="BQ289" s="57" t="s">
        <v>1293</v>
      </c>
      <c r="BR289" s="57" t="s">
        <v>1293</v>
      </c>
      <c r="BS289" s="57" t="s">
        <v>1293</v>
      </c>
      <c r="BT289" s="57" t="s">
        <v>1293</v>
      </c>
      <c r="BU289" s="57" t="s">
        <v>1293</v>
      </c>
      <c r="BV289" s="70">
        <f t="shared" si="1090"/>
        <v>131</v>
      </c>
      <c r="BW289" s="71">
        <f t="shared" si="1091"/>
        <v>167</v>
      </c>
      <c r="BX289" s="72">
        <f t="shared" si="1092"/>
        <v>171</v>
      </c>
      <c r="BY289" s="71" t="str">
        <f t="shared" si="1093"/>
        <v>-</v>
      </c>
      <c r="BZ289" s="72">
        <f t="shared" si="1094"/>
        <v>220</v>
      </c>
      <c r="CA289" s="71" t="str">
        <f t="shared" si="1095"/>
        <v>-</v>
      </c>
      <c r="CB289" s="72">
        <f t="shared" si="1096"/>
        <v>262</v>
      </c>
      <c r="CC289" s="71">
        <f t="shared" si="1097"/>
        <v>294</v>
      </c>
      <c r="CD289" s="72">
        <f t="shared" si="1098"/>
        <v>300</v>
      </c>
      <c r="CE289" s="71">
        <f t="shared" si="1099"/>
        <v>342</v>
      </c>
      <c r="CF289" s="72">
        <f t="shared" si="1100"/>
        <v>374</v>
      </c>
      <c r="CG289" s="71">
        <f t="shared" si="1101"/>
        <v>404</v>
      </c>
      <c r="CH289" s="70">
        <f t="shared" si="1102"/>
        <v>166</v>
      </c>
      <c r="CI289" s="71">
        <f t="shared" si="1103"/>
        <v>170</v>
      </c>
      <c r="CJ289" s="72">
        <f t="shared" si="1104"/>
        <v>203</v>
      </c>
      <c r="CK289" s="72" t="str">
        <f t="shared" si="1105"/>
        <v>-</v>
      </c>
      <c r="CL289" s="72">
        <f t="shared" si="1106"/>
        <v>255</v>
      </c>
      <c r="CM289" s="72" t="str">
        <f t="shared" si="1107"/>
        <v>-</v>
      </c>
      <c r="CN289" s="72">
        <f t="shared" si="1108"/>
        <v>290</v>
      </c>
      <c r="CO289" s="72">
        <f t="shared" si="1109"/>
        <v>296</v>
      </c>
      <c r="CP289" s="72">
        <f t="shared" si="1110"/>
        <v>335</v>
      </c>
      <c r="CQ289" s="72">
        <f t="shared" si="1111"/>
        <v>367</v>
      </c>
      <c r="CR289" s="72">
        <f t="shared" si="1112"/>
        <v>403</v>
      </c>
      <c r="CS289" s="72">
        <f t="shared" si="1113"/>
        <v>429</v>
      </c>
      <c r="CT289" s="23">
        <f t="shared" si="1114"/>
        <v>1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si="753"/>
        <v>glr_human_4L6R</v>
      </c>
      <c r="B290" s="3" t="s">
        <v>32</v>
      </c>
      <c r="C290" s="3" t="s">
        <v>51</v>
      </c>
      <c r="D290" s="3" t="str">
        <f>IFERROR(MID(VLOOKUP($B290,Seqs!$A:$B,2,0),E290,1),"")</f>
        <v>G</v>
      </c>
      <c r="E290" s="3">
        <v>125</v>
      </c>
      <c r="F290" s="3" t="str">
        <f>IFERROR(MID(VLOOKUP($B290,Seqs!$A:$B,2,0),G290,1),"")</f>
        <v>G</v>
      </c>
      <c r="G290" s="3">
        <v>164</v>
      </c>
      <c r="H290" s="3" t="str">
        <f>IFERROR(MID(VLOOKUP($B290,Seqs!$A:$B,2,0),I290,1),"")</f>
        <v>S</v>
      </c>
      <c r="I290" s="23">
        <v>167</v>
      </c>
      <c r="J290" s="3" t="str">
        <f>IFERROR(MID(VLOOKUP($B290,Seqs!$A:$B,2,0),K290,1),"")</f>
        <v>H</v>
      </c>
      <c r="K290" s="23">
        <v>170</v>
      </c>
      <c r="L290" s="3" t="str">
        <f>IFERROR(MID(VLOOKUP($B290,Seqs!$A:$B,2,0),M290,1),"")</f>
        <v>C</v>
      </c>
      <c r="M290" s="23">
        <v>171</v>
      </c>
      <c r="N290" s="3" t="str">
        <f>IFERROR(MID(VLOOKUP($B290,Seqs!$A:$B,2,0),O290,1),"")</f>
        <v>R</v>
      </c>
      <c r="O290" s="3">
        <v>199</v>
      </c>
      <c r="P290" s="3" t="str">
        <f>IFERROR(MID(VLOOKUP($B290,Seqs!$A:$B,2,0),Q290,1),"")</f>
        <v/>
      </c>
      <c r="Q290" s="3" t="s">
        <v>23</v>
      </c>
      <c r="R290" s="3" t="str">
        <f>IFERROR(MID(VLOOKUP($B290,Seqs!$A:$B,2,0),S290,1),"")</f>
        <v/>
      </c>
      <c r="S290" s="3" t="s">
        <v>23</v>
      </c>
      <c r="T290" s="3" t="str">
        <f>IFERROR(MID(VLOOKUP($B290,Seqs!$A:$B,2,0),U290,1),"")</f>
        <v>S</v>
      </c>
      <c r="U290" s="3">
        <v>217</v>
      </c>
      <c r="V290" s="3" t="str">
        <f>IFERROR(MID(VLOOKUP($B290,Seqs!$A:$B,2,0),W290,1),"")</f>
        <v>L</v>
      </c>
      <c r="W290" s="3">
        <v>255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A</v>
      </c>
      <c r="AC290" s="9">
        <v>274</v>
      </c>
      <c r="AD290" s="3" t="str">
        <f>IFERROR(MID(VLOOKUP($B290,Seqs!$A:$B,2,0),AE290,1),"")</f>
        <v>E</v>
      </c>
      <c r="AE290" s="3">
        <v>290</v>
      </c>
      <c r="AF290" s="3" t="str">
        <f>IFERROR(MID(VLOOKUP($B290,Seqs!$A:$B,2,0),AG290,1),"")</f>
        <v>C</v>
      </c>
      <c r="AG290" s="3">
        <v>294</v>
      </c>
      <c r="AH290" s="3" t="str">
        <f>IFERROR(MID(VLOOKUP($B290,Seqs!$A:$B,2,0),AI290,1),"")</f>
        <v>T</v>
      </c>
      <c r="AI290" s="3">
        <v>296</v>
      </c>
      <c r="AJ290" s="3" t="str">
        <f>IFERROR(MID(VLOOKUP($B290,Seqs!$A:$B,2,0),AK290,1),"")</f>
        <v>N</v>
      </c>
      <c r="AK290" s="3">
        <v>300</v>
      </c>
      <c r="AL290" s="3" t="str">
        <f>IFERROR(MID(VLOOKUP($B290,Seqs!$A:$B,2,0),AM290,1),"")</f>
        <v>A</v>
      </c>
      <c r="AM290" s="3">
        <v>335</v>
      </c>
      <c r="AN290" s="3" t="str">
        <f>IFERROR(MID(VLOOKUP($B290,Seqs!$A:$B,2,0),AO290,1),"")</f>
        <v>D</v>
      </c>
      <c r="AO290" s="3">
        <v>342</v>
      </c>
      <c r="AP290" s="3" t="str">
        <f>IFERROR(MID(VLOOKUP($B290,Seqs!$A:$B,2,0),AQ290,1),"")</f>
        <v>F</v>
      </c>
      <c r="AQ290" s="3">
        <v>367</v>
      </c>
      <c r="AR290" s="3" t="str">
        <f>IFERROR(MID(VLOOKUP($B290,Seqs!$A:$B,2,0),AS290,1),"")</f>
        <v>Q</v>
      </c>
      <c r="AS290" s="3">
        <v>374</v>
      </c>
      <c r="AT290" s="3" t="str">
        <f>IFERROR(MID(VLOOKUP($B290,Seqs!$A:$B,2,0),AU290,1),"")</f>
        <v>L</v>
      </c>
      <c r="AU290" s="3">
        <v>403</v>
      </c>
      <c r="AV290" s="3" t="str">
        <f>IFERROR(MID(VLOOKUP($B290,Seqs!$A:$B,2,0),AW290,1),"")</f>
        <v>N</v>
      </c>
      <c r="AW290" s="3">
        <v>404</v>
      </c>
      <c r="AX290" s="3" t="str">
        <f>IFERROR(MID(VLOOKUP($B290,Seqs!$A:$B,2,0),AY290,1),"")</f>
        <v>N</v>
      </c>
      <c r="AY290" s="3">
        <v>429</v>
      </c>
      <c r="AZ290" s="77" t="str">
        <f>VLOOKUP(B290,Classification!A:D,2,0)</f>
        <v>B1</v>
      </c>
      <c r="BA290" s="94" t="str">
        <f>VLOOKUP(B290,Classification!A:D,4,0)</f>
        <v>Glucagonreceptorfamily</v>
      </c>
      <c r="BB290" s="27" t="b">
        <f t="shared" si="754"/>
        <v>1</v>
      </c>
      <c r="BC290" s="23">
        <f t="shared" si="1089"/>
        <v>252</v>
      </c>
      <c r="BD290" s="2" t="s">
        <v>23</v>
      </c>
      <c r="BE290" s="3" t="s">
        <v>1381</v>
      </c>
      <c r="BF290" s="119">
        <v>3.3</v>
      </c>
      <c r="BG290" s="49" t="s">
        <v>1384</v>
      </c>
      <c r="BH290" s="49" t="s">
        <v>1384</v>
      </c>
      <c r="BI290" s="1"/>
      <c r="BJ290" s="70" t="s">
        <v>1293</v>
      </c>
      <c r="BK290" s="57" t="s">
        <v>1293</v>
      </c>
      <c r="BL290" s="57" t="s">
        <v>1293</v>
      </c>
      <c r="BM290" s="57" t="s">
        <v>1293</v>
      </c>
      <c r="BN290" s="57" t="s">
        <v>1293</v>
      </c>
      <c r="BO290" s="57" t="s">
        <v>1293</v>
      </c>
      <c r="BP290" s="57" t="s">
        <v>1293</v>
      </c>
      <c r="BQ290" s="57" t="s">
        <v>1293</v>
      </c>
      <c r="BR290" s="57" t="s">
        <v>1293</v>
      </c>
      <c r="BS290" s="57" t="s">
        <v>1293</v>
      </c>
      <c r="BT290" s="57" t="s">
        <v>1293</v>
      </c>
      <c r="BU290" s="57" t="s">
        <v>1293</v>
      </c>
      <c r="BV290" s="70">
        <f t="shared" si="1090"/>
        <v>125</v>
      </c>
      <c r="BW290" s="71">
        <f t="shared" si="1091"/>
        <v>167</v>
      </c>
      <c r="BX290" s="72">
        <f t="shared" si="1092"/>
        <v>171</v>
      </c>
      <c r="BY290" s="71" t="str">
        <f t="shared" si="1093"/>
        <v>-</v>
      </c>
      <c r="BZ290" s="72">
        <f t="shared" si="1094"/>
        <v>217</v>
      </c>
      <c r="CA290" s="71" t="str">
        <f t="shared" si="1095"/>
        <v>-</v>
      </c>
      <c r="CB290" s="72">
        <f t="shared" si="1096"/>
        <v>274</v>
      </c>
      <c r="CC290" s="71">
        <f t="shared" si="1097"/>
        <v>294</v>
      </c>
      <c r="CD290" s="72">
        <f t="shared" si="1098"/>
        <v>300</v>
      </c>
      <c r="CE290" s="71">
        <f t="shared" si="1099"/>
        <v>342</v>
      </c>
      <c r="CF290" s="72">
        <f t="shared" si="1100"/>
        <v>374</v>
      </c>
      <c r="CG290" s="71">
        <f t="shared" si="1101"/>
        <v>404</v>
      </c>
      <c r="CH290" s="70">
        <f t="shared" si="1102"/>
        <v>164</v>
      </c>
      <c r="CI290" s="71">
        <f t="shared" si="1103"/>
        <v>170</v>
      </c>
      <c r="CJ290" s="72">
        <f t="shared" si="1104"/>
        <v>199</v>
      </c>
      <c r="CK290" s="72" t="str">
        <f t="shared" si="1105"/>
        <v>-</v>
      </c>
      <c r="CL290" s="72">
        <f t="shared" si="1106"/>
        <v>255</v>
      </c>
      <c r="CM290" s="72" t="str">
        <f t="shared" si="1107"/>
        <v>-</v>
      </c>
      <c r="CN290" s="72">
        <f t="shared" si="1108"/>
        <v>290</v>
      </c>
      <c r="CO290" s="72">
        <f t="shared" si="1109"/>
        <v>296</v>
      </c>
      <c r="CP290" s="72">
        <f t="shared" si="1110"/>
        <v>335</v>
      </c>
      <c r="CQ290" s="72">
        <f t="shared" si="1111"/>
        <v>367</v>
      </c>
      <c r="CR290" s="72">
        <f t="shared" si="1112"/>
        <v>403</v>
      </c>
      <c r="CS290" s="72">
        <f t="shared" si="1113"/>
        <v>429</v>
      </c>
      <c r="CT290" s="23">
        <f t="shared" si="1114"/>
        <v>1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si="753"/>
        <v>glr_human_4L6R_dist</v>
      </c>
      <c r="B291" s="3" t="s">
        <v>32</v>
      </c>
      <c r="C291" s="3" t="s">
        <v>1282</v>
      </c>
      <c r="D291" s="3" t="str">
        <f>IFERROR(MID(VLOOKUP($B291,Seqs!$A:$B,2,0),E291,1),"")</f>
        <v>G</v>
      </c>
      <c r="E291" s="3">
        <v>125</v>
      </c>
      <c r="F291" s="3" t="str">
        <f>IFERROR(MID(VLOOKUP($B291,Seqs!$A:$B,2,0),G291,1),"")</f>
        <v>G</v>
      </c>
      <c r="G291" s="3">
        <v>164</v>
      </c>
      <c r="H291" s="3" t="str">
        <f>IFERROR(MID(VLOOKUP($B291,Seqs!$A:$B,2,0),I291,1),"")</f>
        <v>S</v>
      </c>
      <c r="I291" s="23">
        <v>167</v>
      </c>
      <c r="J291" s="3" t="str">
        <f>IFERROR(MID(VLOOKUP($B291,Seqs!$A:$B,2,0),K291,1),"")</f>
        <v>H</v>
      </c>
      <c r="K291" s="23">
        <v>170</v>
      </c>
      <c r="L291" s="3" t="str">
        <f>IFERROR(MID(VLOOKUP($B291,Seqs!$A:$B,2,0),M291,1),"")</f>
        <v>C</v>
      </c>
      <c r="M291" s="23">
        <v>171</v>
      </c>
      <c r="N291" s="3" t="str">
        <f>IFERROR(MID(VLOOKUP($B291,Seqs!$A:$B,2,0),O291,1),"")</f>
        <v>R</v>
      </c>
      <c r="O291" s="3">
        <v>199</v>
      </c>
      <c r="P291" s="3" t="str">
        <f>IFERROR(MID(VLOOKUP($B291,Seqs!$A:$B,2,0),Q291,1),"")</f>
        <v/>
      </c>
      <c r="Q291" s="3" t="s">
        <v>23</v>
      </c>
      <c r="R291" s="3" t="str">
        <f>IFERROR(MID(VLOOKUP($B291,Seqs!$A:$B,2,0),S291,1),"")</f>
        <v/>
      </c>
      <c r="S291" s="3" t="s">
        <v>23</v>
      </c>
      <c r="T291" s="3" t="str">
        <f>IFERROR(MID(VLOOKUP($B291,Seqs!$A:$B,2,0),U291,1),"")</f>
        <v>S</v>
      </c>
      <c r="U291" s="3">
        <v>217</v>
      </c>
      <c r="V291" s="3" t="str">
        <f>IFERROR(MID(VLOOKUP($B291,Seqs!$A:$B,2,0),W291,1),"")</f>
        <v>L</v>
      </c>
      <c r="W291" s="3">
        <v>255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S</v>
      </c>
      <c r="AC291" s="9">
        <v>262</v>
      </c>
      <c r="AD291" s="3" t="str">
        <f>IFERROR(MID(VLOOKUP($B291,Seqs!$A:$B,2,0),AE291,1),"")</f>
        <v>E</v>
      </c>
      <c r="AE291" s="3">
        <v>290</v>
      </c>
      <c r="AF291" s="3" t="str">
        <f>IFERROR(MID(VLOOKUP($B291,Seqs!$A:$B,2,0),AG291,1),"")</f>
        <v>C</v>
      </c>
      <c r="AG291" s="3">
        <v>294</v>
      </c>
      <c r="AH291" s="3" t="str">
        <f>IFERROR(MID(VLOOKUP($B291,Seqs!$A:$B,2,0),AI291,1),"")</f>
        <v>T</v>
      </c>
      <c r="AI291" s="3">
        <v>296</v>
      </c>
      <c r="AJ291" s="3" t="str">
        <f>IFERROR(MID(VLOOKUP($B291,Seqs!$A:$B,2,0),AK291,1),"")</f>
        <v>N</v>
      </c>
      <c r="AK291" s="3">
        <v>300</v>
      </c>
      <c r="AL291" s="3" t="str">
        <f>IFERROR(MID(VLOOKUP($B291,Seqs!$A:$B,2,0),AM291,1),"")</f>
        <v>A</v>
      </c>
      <c r="AM291" s="3">
        <v>335</v>
      </c>
      <c r="AN291" s="3" t="str">
        <f>IFERROR(MID(VLOOKUP($B291,Seqs!$A:$B,2,0),AO291,1),"")</f>
        <v>D</v>
      </c>
      <c r="AO291" s="3">
        <v>342</v>
      </c>
      <c r="AP291" s="3" t="str">
        <f>IFERROR(MID(VLOOKUP($B291,Seqs!$A:$B,2,0),AQ291,1),"")</f>
        <v>F</v>
      </c>
      <c r="AQ291" s="3">
        <v>367</v>
      </c>
      <c r="AR291" s="3" t="str">
        <f>IFERROR(MID(VLOOKUP($B291,Seqs!$A:$B,2,0),AS291,1),"")</f>
        <v>Q</v>
      </c>
      <c r="AS291" s="3">
        <v>374</v>
      </c>
      <c r="AT291" s="3" t="str">
        <f>IFERROR(MID(VLOOKUP($B291,Seqs!$A:$B,2,0),AU291,1),"")</f>
        <v>L</v>
      </c>
      <c r="AU291" s="3">
        <v>403</v>
      </c>
      <c r="AV291" s="3" t="str">
        <f>IFERROR(MID(VLOOKUP($B291,Seqs!$A:$B,2,0),AW291,1),"")</f>
        <v>N</v>
      </c>
      <c r="AW291" s="3">
        <v>404</v>
      </c>
      <c r="AX291" s="3" t="str">
        <f>IFERROR(MID(VLOOKUP($B291,Seqs!$A:$B,2,0),AY291,1),"")</f>
        <v>N</v>
      </c>
      <c r="AY291" s="3">
        <v>429</v>
      </c>
      <c r="AZ291" s="77" t="str">
        <f>VLOOKUP(B291,Classification!A:D,2,0)</f>
        <v>B1</v>
      </c>
      <c r="BA291" s="94" t="str">
        <f>VLOOKUP(B291,Classification!A:D,4,0)</f>
        <v>Glucagonreceptorfamily</v>
      </c>
      <c r="BB291" s="27" t="b">
        <f t="shared" si="754"/>
        <v>1</v>
      </c>
      <c r="BC291" s="23">
        <f t="shared" si="1089"/>
        <v>264</v>
      </c>
      <c r="BD291" s="56" t="s">
        <v>1379</v>
      </c>
      <c r="BE291" s="3" t="s">
        <v>1381</v>
      </c>
      <c r="BF291" s="119">
        <v>3.3</v>
      </c>
      <c r="BG291" s="49" t="s">
        <v>1384</v>
      </c>
      <c r="BH291" s="49" t="s">
        <v>1384</v>
      </c>
      <c r="BI291" s="1"/>
      <c r="BJ291" s="70" t="s">
        <v>1293</v>
      </c>
      <c r="BK291" s="57" t="s">
        <v>1293</v>
      </c>
      <c r="BL291" s="57" t="s">
        <v>1293</v>
      </c>
      <c r="BM291" s="57" t="s">
        <v>1293</v>
      </c>
      <c r="BN291" s="57" t="s">
        <v>1293</v>
      </c>
      <c r="BO291" s="57" t="s">
        <v>1293</v>
      </c>
      <c r="BP291" s="57" t="s">
        <v>1293</v>
      </c>
      <c r="BQ291" s="57" t="s">
        <v>1293</v>
      </c>
      <c r="BR291" s="57" t="s">
        <v>1293</v>
      </c>
      <c r="BS291" s="57" t="s">
        <v>1293</v>
      </c>
      <c r="BT291" s="57" t="s">
        <v>1293</v>
      </c>
      <c r="BU291" s="57" t="s">
        <v>1293</v>
      </c>
      <c r="BV291" s="70">
        <f t="shared" si="1090"/>
        <v>125</v>
      </c>
      <c r="BW291" s="71">
        <f t="shared" si="1091"/>
        <v>167</v>
      </c>
      <c r="BX291" s="72">
        <f t="shared" si="1092"/>
        <v>171</v>
      </c>
      <c r="BY291" s="71" t="str">
        <f t="shared" si="1093"/>
        <v>-</v>
      </c>
      <c r="BZ291" s="72">
        <f t="shared" si="1094"/>
        <v>217</v>
      </c>
      <c r="CA291" s="71" t="str">
        <f t="shared" si="1095"/>
        <v>-</v>
      </c>
      <c r="CB291" s="72">
        <f t="shared" si="1096"/>
        <v>262</v>
      </c>
      <c r="CC291" s="71">
        <f t="shared" si="1097"/>
        <v>294</v>
      </c>
      <c r="CD291" s="72">
        <f t="shared" si="1098"/>
        <v>300</v>
      </c>
      <c r="CE291" s="71">
        <f t="shared" si="1099"/>
        <v>342</v>
      </c>
      <c r="CF291" s="72">
        <f t="shared" si="1100"/>
        <v>374</v>
      </c>
      <c r="CG291" s="71">
        <f t="shared" si="1101"/>
        <v>404</v>
      </c>
      <c r="CH291" s="70">
        <f t="shared" si="1102"/>
        <v>164</v>
      </c>
      <c r="CI291" s="71">
        <f t="shared" si="1103"/>
        <v>170</v>
      </c>
      <c r="CJ291" s="72">
        <f t="shared" si="1104"/>
        <v>199</v>
      </c>
      <c r="CK291" s="72" t="str">
        <f t="shared" si="1105"/>
        <v>-</v>
      </c>
      <c r="CL291" s="72">
        <f t="shared" si="1106"/>
        <v>255</v>
      </c>
      <c r="CM291" s="72" t="str">
        <f t="shared" si="1107"/>
        <v>-</v>
      </c>
      <c r="CN291" s="72">
        <f t="shared" si="1108"/>
        <v>290</v>
      </c>
      <c r="CO291" s="72">
        <f t="shared" si="1109"/>
        <v>296</v>
      </c>
      <c r="CP291" s="72">
        <f t="shared" si="1110"/>
        <v>335</v>
      </c>
      <c r="CQ291" s="72">
        <f t="shared" si="1111"/>
        <v>367</v>
      </c>
      <c r="CR291" s="72">
        <f t="shared" si="1112"/>
        <v>403</v>
      </c>
      <c r="CS291" s="72">
        <f t="shared" si="1113"/>
        <v>429</v>
      </c>
      <c r="CT291" s="23">
        <f t="shared" si="1114"/>
        <v>1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ref="A292:A320" si="1115">CONCATENATE(B292,"_",C292)</f>
        <v>glr_human_5EE7</v>
      </c>
      <c r="B292" s="3" t="s">
        <v>32</v>
      </c>
      <c r="C292" s="3" t="s">
        <v>49</v>
      </c>
      <c r="D292" s="3" t="str">
        <f>IFERROR(MID(VLOOKUP($B292,Seqs!$A:$B,2,0),E292,1),"")</f>
        <v>Y</v>
      </c>
      <c r="E292" s="3">
        <v>138</v>
      </c>
      <c r="F292" s="3" t="str">
        <f>IFERROR(MID(VLOOKUP($B292,Seqs!$A:$B,2,0),G292,1),"")</f>
        <v>L</v>
      </c>
      <c r="G292" s="3">
        <v>166</v>
      </c>
      <c r="H292" s="3" t="str">
        <f>IFERROR(MID(VLOOKUP($B292,Seqs!$A:$B,2,0),I292,1),"")</f>
        <v>S</v>
      </c>
      <c r="I292" s="23">
        <v>167</v>
      </c>
      <c r="J292" s="3" t="str">
        <f>IFERROR(MID(VLOOKUP($B292,Seqs!$A:$B,2,0),K292,1),"")</f>
        <v>H</v>
      </c>
      <c r="K292" s="23">
        <v>170</v>
      </c>
      <c r="L292" s="3" t="str">
        <f>IFERROR(MID(VLOOKUP($B292,Seqs!$A:$B,2,0),M292,1),"")</f>
        <v>C</v>
      </c>
      <c r="M292" s="23">
        <v>171</v>
      </c>
      <c r="N292" s="3" t="str">
        <f>IFERROR(MID(VLOOKUP($B292,Seqs!$A:$B,2,0),O292,1),"")</f>
        <v>R</v>
      </c>
      <c r="O292" s="3">
        <v>199</v>
      </c>
      <c r="P292" s="3" t="str">
        <f>IFERROR(MID(VLOOKUP($B292,Seqs!$A:$B,2,0),Q292,1),"")</f>
        <v/>
      </c>
      <c r="Q292" s="3" t="s">
        <v>23</v>
      </c>
      <c r="R292" s="3" t="str">
        <f>IFERROR(MID(VLOOKUP($B292,Seqs!$A:$B,2,0),S292,1),"")</f>
        <v/>
      </c>
      <c r="S292" s="3" t="s">
        <v>23</v>
      </c>
      <c r="T292" s="3" t="str">
        <f>IFERROR(MID(VLOOKUP($B292,Seqs!$A:$B,2,0),U292,1),"")</f>
        <v>D</v>
      </c>
      <c r="U292" s="3">
        <v>218</v>
      </c>
      <c r="V292" s="3" t="str">
        <f>IFERROR(MID(VLOOKUP($B292,Seqs!$A:$B,2,0),W292,1),"")</f>
        <v>G</v>
      </c>
      <c r="W292" s="3">
        <v>254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S</v>
      </c>
      <c r="AC292" s="9">
        <v>262</v>
      </c>
      <c r="AD292" s="3" t="str">
        <f>IFERROR(MID(VLOOKUP($B292,Seqs!$A:$B,2,0),AE292,1),"")</f>
        <v>E</v>
      </c>
      <c r="AE292" s="3">
        <v>290</v>
      </c>
      <c r="AF292" s="3" t="str">
        <f>IFERROR(MID(VLOOKUP($B292,Seqs!$A:$B,2,0),AG292,1),"")</f>
        <v>C</v>
      </c>
      <c r="AG292" s="3">
        <v>294</v>
      </c>
      <c r="AH292" s="3" t="str">
        <f>IFERROR(MID(VLOOKUP($B292,Seqs!$A:$B,2,0),AI292,1),"")</f>
        <v>T</v>
      </c>
      <c r="AI292" s="3">
        <v>296</v>
      </c>
      <c r="AJ292" s="3" t="str">
        <f>IFERROR(MID(VLOOKUP($B292,Seqs!$A:$B,2,0),AK292,1),"")</f>
        <v>R</v>
      </c>
      <c r="AK292" s="105">
        <v>308</v>
      </c>
      <c r="AL292" s="3" t="str">
        <f>IFERROR(MID(VLOOKUP($B292,Seqs!$A:$B,2,0),AM292,1),"")</f>
        <v>A</v>
      </c>
      <c r="AM292" s="3">
        <v>335</v>
      </c>
      <c r="AN292" s="3" t="str">
        <f>IFERROR(MID(VLOOKUP($B292,Seqs!$A:$B,2,0),AO292,1),"")</f>
        <v>D</v>
      </c>
      <c r="AO292" s="3">
        <v>342</v>
      </c>
      <c r="AP292" s="3" t="str">
        <f>IFERROR(MID(VLOOKUP($B292,Seqs!$A:$B,2,0),AQ292,1),"")</f>
        <v>D</v>
      </c>
      <c r="AQ292" s="3">
        <v>370</v>
      </c>
      <c r="AR292" s="3" t="str">
        <f>IFERROR(MID(VLOOKUP($B292,Seqs!$A:$B,2,0),AS292,1),"")</f>
        <v>S</v>
      </c>
      <c r="AS292" s="3">
        <v>379</v>
      </c>
      <c r="AT292" s="3" t="str">
        <f>IFERROR(MID(VLOOKUP($B292,Seqs!$A:$B,2,0),AU292,1),"")</f>
        <v>F</v>
      </c>
      <c r="AU292" s="3">
        <v>402</v>
      </c>
      <c r="AV292" s="3" t="str">
        <f>IFERROR(MID(VLOOKUP($B292,Seqs!$A:$B,2,0),AW292,1),"")</f>
        <v>N</v>
      </c>
      <c r="AW292" s="3">
        <v>404</v>
      </c>
      <c r="AX292" s="3" t="str">
        <f>IFERROR(MID(VLOOKUP($B292,Seqs!$A:$B,2,0),AY292,1),"")</f>
        <v>R</v>
      </c>
      <c r="AY292" s="3">
        <v>417</v>
      </c>
      <c r="AZ292" s="77" t="str">
        <f>VLOOKUP(B292,Classification!A:D,2,0)</f>
        <v>B1</v>
      </c>
      <c r="BA292" s="94" t="str">
        <f>VLOOKUP(B292,Classification!A:D,4,0)</f>
        <v>Glucagonreceptorfamily</v>
      </c>
      <c r="BB292" s="27" t="b">
        <f t="shared" ref="BB292:BB320" si="1116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 t="shared" si="1089"/>
        <v>228</v>
      </c>
      <c r="BD292" s="4" t="s">
        <v>23</v>
      </c>
      <c r="BE292" s="3" t="s">
        <v>1381</v>
      </c>
      <c r="BF292" s="119">
        <v>2.5</v>
      </c>
      <c r="BG292" s="49" t="s">
        <v>1384</v>
      </c>
      <c r="BH292" s="49" t="s">
        <v>1384</v>
      </c>
      <c r="BI292" s="1"/>
      <c r="BJ292" s="70" t="s">
        <v>1293</v>
      </c>
      <c r="BK292" s="57" t="s">
        <v>1293</v>
      </c>
      <c r="BL292" s="57" t="s">
        <v>1293</v>
      </c>
      <c r="BM292" s="57" t="s">
        <v>1293</v>
      </c>
      <c r="BN292" s="57" t="s">
        <v>1293</v>
      </c>
      <c r="BO292" s="57" t="s">
        <v>1293</v>
      </c>
      <c r="BP292" s="57" t="s">
        <v>1293</v>
      </c>
      <c r="BQ292" s="57" t="s">
        <v>1293</v>
      </c>
      <c r="BR292" s="57" t="s">
        <v>1293</v>
      </c>
      <c r="BS292" s="57" t="s">
        <v>1293</v>
      </c>
      <c r="BT292" s="57" t="s">
        <v>1293</v>
      </c>
      <c r="BU292" s="57" t="s">
        <v>1293</v>
      </c>
      <c r="BV292" s="70">
        <f t="shared" si="1090"/>
        <v>138</v>
      </c>
      <c r="BW292" s="71">
        <f t="shared" si="1091"/>
        <v>167</v>
      </c>
      <c r="BX292" s="72">
        <f t="shared" si="1092"/>
        <v>171</v>
      </c>
      <c r="BY292" s="71" t="str">
        <f t="shared" si="1093"/>
        <v>-</v>
      </c>
      <c r="BZ292" s="72">
        <f t="shared" si="1094"/>
        <v>218</v>
      </c>
      <c r="CA292" s="71" t="str">
        <f t="shared" si="1095"/>
        <v>-</v>
      </c>
      <c r="CB292" s="72">
        <f t="shared" si="1096"/>
        <v>262</v>
      </c>
      <c r="CC292" s="71">
        <f t="shared" si="1097"/>
        <v>294</v>
      </c>
      <c r="CD292" s="72">
        <f t="shared" si="1098"/>
        <v>308</v>
      </c>
      <c r="CE292" s="71">
        <f t="shared" si="1099"/>
        <v>342</v>
      </c>
      <c r="CF292" s="72">
        <f t="shared" si="1100"/>
        <v>379</v>
      </c>
      <c r="CG292" s="71">
        <f t="shared" si="1101"/>
        <v>404</v>
      </c>
      <c r="CH292" s="70">
        <f t="shared" si="1102"/>
        <v>166</v>
      </c>
      <c r="CI292" s="71">
        <f t="shared" si="1103"/>
        <v>170</v>
      </c>
      <c r="CJ292" s="72">
        <f t="shared" si="1104"/>
        <v>199</v>
      </c>
      <c r="CK292" s="72" t="str">
        <f t="shared" si="1105"/>
        <v>-</v>
      </c>
      <c r="CL292" s="72">
        <f t="shared" si="1106"/>
        <v>254</v>
      </c>
      <c r="CM292" s="72" t="str">
        <f t="shared" si="1107"/>
        <v>-</v>
      </c>
      <c r="CN292" s="72">
        <f t="shared" si="1108"/>
        <v>290</v>
      </c>
      <c r="CO292" s="72">
        <f t="shared" si="1109"/>
        <v>296</v>
      </c>
      <c r="CP292" s="72">
        <f t="shared" si="1110"/>
        <v>335</v>
      </c>
      <c r="CQ292" s="72">
        <f t="shared" si="1111"/>
        <v>370</v>
      </c>
      <c r="CR292" s="72">
        <f t="shared" si="1112"/>
        <v>402</v>
      </c>
      <c r="CS292" s="72">
        <f t="shared" si="1113"/>
        <v>417</v>
      </c>
      <c r="CT292" s="23">
        <f t="shared" si="1114"/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ref="A293:A302" si="1117">CONCATENATE(B293,"_",C293)</f>
        <v>glr_human_5XEZ</v>
      </c>
      <c r="B293" s="3" t="s">
        <v>32</v>
      </c>
      <c r="C293" s="3" t="s">
        <v>1419</v>
      </c>
      <c r="D293" s="3" t="str">
        <f>IFERROR(MID(VLOOKUP($B293,Seqs!$A:$B,2,0),E293,1),"")</f>
        <v>Q</v>
      </c>
      <c r="E293" s="3">
        <v>131</v>
      </c>
      <c r="F293" s="3" t="str">
        <f>IFERROR(MID(VLOOKUP($B293,Seqs!$A:$B,2,0),G293,1),"")</f>
        <v>G</v>
      </c>
      <c r="G293" s="3">
        <v>164</v>
      </c>
      <c r="H293" s="3" t="str">
        <f>IFERROR(MID(VLOOKUP($B293,Seqs!$A:$B,2,0),I293,1),"")</f>
        <v>S</v>
      </c>
      <c r="I293" s="23">
        <v>167</v>
      </c>
      <c r="J293" s="3" t="str">
        <f>IFERROR(MID(VLOOKUP($B293,Seqs!$A:$B,2,0),K293,1),"")</f>
        <v>H</v>
      </c>
      <c r="K293" s="23">
        <v>170</v>
      </c>
      <c r="L293" s="3" t="str">
        <f>IFERROR(MID(VLOOKUP($B293,Seqs!$A:$B,2,0),M293,1),"")</f>
        <v>C</v>
      </c>
      <c r="M293" s="23">
        <v>171</v>
      </c>
      <c r="N293" s="3" t="str">
        <f>IFERROR(MID(VLOOKUP($B293,Seqs!$A:$B,2,0),O293,1),"")</f>
        <v>R</v>
      </c>
      <c r="O293" s="3">
        <v>201</v>
      </c>
      <c r="P293" s="3" t="str">
        <f>IFERROR(MID(VLOOKUP($B293,Seqs!$A:$B,2,0),Q293,1),"")</f>
        <v/>
      </c>
      <c r="Q293" s="3" t="s">
        <v>23</v>
      </c>
      <c r="R293" s="3" t="str">
        <f>IFERROR(MID(VLOOKUP($B293,Seqs!$A:$B,2,0),S293,1),"")</f>
        <v/>
      </c>
      <c r="S293" s="3" t="s">
        <v>23</v>
      </c>
      <c r="T293" s="3" t="str">
        <f>IFERROR(MID(VLOOKUP($B293,Seqs!$A:$B,2,0),U293,1),"")</f>
        <v>S</v>
      </c>
      <c r="U293" s="3">
        <v>217</v>
      </c>
      <c r="V293" s="3" t="str">
        <f>IFERROR(MID(VLOOKUP($B293,Seqs!$A:$B,2,0),W293,1),"")</f>
        <v>L</v>
      </c>
      <c r="W293" s="3">
        <v>255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E</v>
      </c>
      <c r="AC293" s="3">
        <v>260</v>
      </c>
      <c r="AD293" s="3" t="str">
        <f>IFERROR(MID(VLOOKUP($B293,Seqs!$A:$B,2,0),AE293,1),"")</f>
        <v>E</v>
      </c>
      <c r="AE293" s="3">
        <v>290</v>
      </c>
      <c r="AF293" s="3" t="str">
        <f>IFERROR(MID(VLOOKUP($B293,Seqs!$A:$B,2,0),AG293,1),"")</f>
        <v>C</v>
      </c>
      <c r="AG293" s="3">
        <v>294</v>
      </c>
      <c r="AH293" s="3" t="str">
        <f>IFERROR(MID(VLOOKUP($B293,Seqs!$A:$B,2,0),AI293,1),"")</f>
        <v>T</v>
      </c>
      <c r="AI293" s="3">
        <v>296</v>
      </c>
      <c r="AJ293" s="3" t="str">
        <f>IFERROR(MID(VLOOKUP($B293,Seqs!$A:$B,2,0),AK293,1),"")</f>
        <v>G</v>
      </c>
      <c r="AK293" s="3">
        <v>302</v>
      </c>
      <c r="AL293" s="3" t="str">
        <f>IFERROR(MID(VLOOKUP($B293,Seqs!$A:$B,2,0),AM293,1),"")</f>
        <v>R</v>
      </c>
      <c r="AM293" s="3">
        <v>334</v>
      </c>
      <c r="AN293" s="3" t="str">
        <f>IFERROR(MID(VLOOKUP($B293,Seqs!$A:$B,2,0),AO293,1),"")</f>
        <v>D</v>
      </c>
      <c r="AO293" s="3">
        <v>342</v>
      </c>
      <c r="AP293" s="3" t="str">
        <f>IFERROR(MID(VLOOKUP($B293,Seqs!$A:$B,2,0),AQ293,1),"")</f>
        <v>F</v>
      </c>
      <c r="AQ293" s="3">
        <v>367</v>
      </c>
      <c r="AR293" s="3" t="str">
        <f>IFERROR(MID(VLOOKUP($B293,Seqs!$A:$B,2,0),AS293,1),"")</f>
        <v>G</v>
      </c>
      <c r="AS293" s="3">
        <v>375</v>
      </c>
      <c r="AT293" s="3" t="str">
        <f>IFERROR(MID(VLOOKUP($B293,Seqs!$A:$B,2,0),AU293,1),"")</f>
        <v>L</v>
      </c>
      <c r="AU293" s="3">
        <v>403</v>
      </c>
      <c r="AV293" s="3" t="str">
        <f>IFERROR(MID(VLOOKUP($B293,Seqs!$A:$B,2,0),AW293,1),"")</f>
        <v>N</v>
      </c>
      <c r="AW293" s="3">
        <v>404</v>
      </c>
      <c r="AX293" s="3" t="str">
        <f>IFERROR(MID(VLOOKUP($B293,Seqs!$A:$B,2,0),AY293,1),"")</f>
        <v>W</v>
      </c>
      <c r="AY293" s="3">
        <v>415</v>
      </c>
      <c r="AZ293" s="77" t="str">
        <f>VLOOKUP(B293,Classification!A:D,2,0)</f>
        <v>B1</v>
      </c>
      <c r="BA293" s="94" t="str">
        <f>VLOOKUP(B293,Classification!A:D,4,0)</f>
        <v>Glucagonreceptorfamily</v>
      </c>
      <c r="BB293" s="27" t="b">
        <f t="shared" ref="BB293:BB302" si="1118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:BC302" si="1119">_xlfn.AGGREGATE(9,6,CH293:CS293)-_xlfn.AGGREGATE(9,6,BV293:CG293)+12</f>
        <v>244</v>
      </c>
      <c r="BD293" s="4" t="s">
        <v>1383</v>
      </c>
      <c r="BE293" s="3" t="s">
        <v>1381</v>
      </c>
      <c r="BF293" s="119">
        <v>3</v>
      </c>
      <c r="BG293" s="49" t="s">
        <v>1287</v>
      </c>
      <c r="BH293" s="49" t="s">
        <v>1287</v>
      </c>
      <c r="BI293" s="1"/>
      <c r="BJ293" s="70" t="s">
        <v>1293</v>
      </c>
      <c r="BK293" s="57" t="s">
        <v>1293</v>
      </c>
      <c r="BL293" s="57" t="s">
        <v>1293</v>
      </c>
      <c r="BM293" s="57" t="s">
        <v>1293</v>
      </c>
      <c r="BN293" s="57" t="s">
        <v>1293</v>
      </c>
      <c r="BO293" s="57" t="s">
        <v>1293</v>
      </c>
      <c r="BP293" s="57" t="s">
        <v>1293</v>
      </c>
      <c r="BQ293" s="57" t="s">
        <v>1293</v>
      </c>
      <c r="BR293" s="57" t="s">
        <v>1293</v>
      </c>
      <c r="BS293" s="57" t="s">
        <v>1293</v>
      </c>
      <c r="BT293" s="57" t="s">
        <v>1293</v>
      </c>
      <c r="BU293" s="57" t="s">
        <v>1293</v>
      </c>
      <c r="BV293" s="70">
        <f t="shared" ref="BV293:BV302" si="1120">E293</f>
        <v>131</v>
      </c>
      <c r="BW293" s="71">
        <f t="shared" ref="BW293:BW302" si="1121">I293</f>
        <v>167</v>
      </c>
      <c r="BX293" s="72">
        <f t="shared" ref="BX293:BX302" si="1122">M293</f>
        <v>171</v>
      </c>
      <c r="BY293" s="71" t="str">
        <f t="shared" ref="BY293:BY302" si="1123">Q293</f>
        <v>-</v>
      </c>
      <c r="BZ293" s="72">
        <f t="shared" ref="BZ293:BZ302" si="1124">U293</f>
        <v>217</v>
      </c>
      <c r="CA293" s="71" t="str">
        <f t="shared" ref="CA293:CA302" si="1125">Y293</f>
        <v>-</v>
      </c>
      <c r="CB293" s="72">
        <f t="shared" ref="CB293:CB302" si="1126">AC293</f>
        <v>260</v>
      </c>
      <c r="CC293" s="71">
        <f t="shared" ref="CC293:CC302" si="1127">AG293</f>
        <v>294</v>
      </c>
      <c r="CD293" s="72">
        <f t="shared" ref="CD293:CD302" si="1128">AK293</f>
        <v>302</v>
      </c>
      <c r="CE293" s="71">
        <f t="shared" ref="CE293:CE302" si="1129">AO293</f>
        <v>342</v>
      </c>
      <c r="CF293" s="72">
        <f t="shared" ref="CF293:CF302" si="1130">AS293</f>
        <v>375</v>
      </c>
      <c r="CG293" s="71">
        <f t="shared" ref="CG293:CG302" si="1131">AW293</f>
        <v>404</v>
      </c>
      <c r="CH293" s="70">
        <f t="shared" ref="CH293:CH302" si="1132">G293</f>
        <v>164</v>
      </c>
      <c r="CI293" s="71">
        <f t="shared" ref="CI293:CI302" si="1133">K293</f>
        <v>170</v>
      </c>
      <c r="CJ293" s="72">
        <f t="shared" ref="CJ293:CJ302" si="1134">O293</f>
        <v>201</v>
      </c>
      <c r="CK293" s="72" t="str">
        <f t="shared" ref="CK293:CK302" si="1135">S293</f>
        <v>-</v>
      </c>
      <c r="CL293" s="72">
        <f t="shared" ref="CL293:CL302" si="1136">W293</f>
        <v>255</v>
      </c>
      <c r="CM293" s="72" t="str">
        <f t="shared" ref="CM293:CM302" si="1137">AA293</f>
        <v>-</v>
      </c>
      <c r="CN293" s="72">
        <f t="shared" ref="CN293:CN302" si="1138">AE293</f>
        <v>290</v>
      </c>
      <c r="CO293" s="72">
        <f t="shared" ref="CO293:CO302" si="1139">AI293</f>
        <v>296</v>
      </c>
      <c r="CP293" s="72">
        <f t="shared" ref="CP293:CP302" si="1140">AM293</f>
        <v>334</v>
      </c>
      <c r="CQ293" s="72">
        <f t="shared" ref="CQ293:CQ302" si="1141">AQ293</f>
        <v>367</v>
      </c>
      <c r="CR293" s="72">
        <f t="shared" ref="CR293:CR302" si="1142">AU293</f>
        <v>403</v>
      </c>
      <c r="CS293" s="72">
        <f t="shared" ref="CS293:CS302" si="1143">AY293</f>
        <v>415</v>
      </c>
      <c r="CT293" s="23">
        <f t="shared" ref="CT293:CT302" si="1144">M293-K293</f>
        <v>1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si="1117"/>
        <v>glr_human_5XF1</v>
      </c>
      <c r="B294" s="3" t="s">
        <v>32</v>
      </c>
      <c r="C294" s="3" t="s">
        <v>1420</v>
      </c>
      <c r="D294" s="3" t="str">
        <f>IFERROR(MID(VLOOKUP($B294,Seqs!$A:$B,2,0),E294,1),"")</f>
        <v>Q</v>
      </c>
      <c r="E294" s="3">
        <v>131</v>
      </c>
      <c r="F294" s="3" t="str">
        <f>IFERROR(MID(VLOOKUP($B294,Seqs!$A:$B,2,0),G294,1),"")</f>
        <v>L</v>
      </c>
      <c r="G294" s="3">
        <v>166</v>
      </c>
      <c r="H294" s="3" t="str">
        <f>IFERROR(MID(VLOOKUP($B294,Seqs!$A:$B,2,0),I294,1),"")</f>
        <v>S</v>
      </c>
      <c r="I294" s="23">
        <v>167</v>
      </c>
      <c r="J294" s="3" t="str">
        <f>IFERROR(MID(VLOOKUP($B294,Seqs!$A:$B,2,0),K294,1),"")</f>
        <v>H</v>
      </c>
      <c r="K294" s="23">
        <v>170</v>
      </c>
      <c r="L294" s="3" t="str">
        <f>IFERROR(MID(VLOOKUP($B294,Seqs!$A:$B,2,0),M294,1),"")</f>
        <v>N</v>
      </c>
      <c r="M294" s="23">
        <v>174</v>
      </c>
      <c r="N294" s="3" t="str">
        <f>IFERROR(MID(VLOOKUP($B294,Seqs!$A:$B,2,0),O294,1),"")</f>
        <v>R</v>
      </c>
      <c r="O294" s="3">
        <v>201</v>
      </c>
      <c r="P294" s="3" t="str">
        <f>IFERROR(MID(VLOOKUP($B294,Seqs!$A:$B,2,0),Q294,1),"")</f>
        <v/>
      </c>
      <c r="Q294" s="3" t="s">
        <v>23</v>
      </c>
      <c r="R294" s="3" t="str">
        <f>IFERROR(MID(VLOOKUP($B294,Seqs!$A:$B,2,0),S294,1),"")</f>
        <v/>
      </c>
      <c r="S294" s="3" t="s">
        <v>23</v>
      </c>
      <c r="T294" s="3" t="str">
        <f>IFERROR(MID(VLOOKUP($B294,Seqs!$A:$B,2,0),U294,1),"")</f>
        <v>S</v>
      </c>
      <c r="U294" s="3">
        <v>217</v>
      </c>
      <c r="V294" s="3" t="str">
        <f>IFERROR(MID(VLOOKUP($B294,Seqs!$A:$B,2,0),W294,1),"")</f>
        <v>L</v>
      </c>
      <c r="W294" s="3">
        <v>255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R</v>
      </c>
      <c r="AC294" s="3">
        <v>261</v>
      </c>
      <c r="AD294" s="3" t="str">
        <f>IFERROR(MID(VLOOKUP($B294,Seqs!$A:$B,2,0),AE294,1),"")</f>
        <v>F</v>
      </c>
      <c r="AE294" s="3">
        <v>289</v>
      </c>
      <c r="AF294" s="3" t="str">
        <f>IFERROR(MID(VLOOKUP($B294,Seqs!$A:$B,2,0),AG294,1),"")</f>
        <v>C</v>
      </c>
      <c r="AG294" s="3">
        <v>294</v>
      </c>
      <c r="AH294" s="3" t="str">
        <f>IFERROR(MID(VLOOKUP($B294,Seqs!$A:$B,2,0),AI294,1),"")</f>
        <v>T</v>
      </c>
      <c r="AI294" s="3">
        <v>296</v>
      </c>
      <c r="AJ294" s="3" t="str">
        <f>IFERROR(MID(VLOOKUP($B294,Seqs!$A:$B,2,0),AK294,1),"")</f>
        <v>D</v>
      </c>
      <c r="AK294" s="3">
        <v>299</v>
      </c>
      <c r="AL294" s="3" t="str">
        <f>IFERROR(MID(VLOOKUP($B294,Seqs!$A:$B,2,0),AM294,1),"")</f>
        <v>L</v>
      </c>
      <c r="AM294" s="3">
        <v>333</v>
      </c>
      <c r="AN294" s="3" t="str">
        <f>IFERROR(MID(VLOOKUP($B294,Seqs!$A:$B,2,0),AO294,1),"")</f>
        <v>D</v>
      </c>
      <c r="AO294" s="3">
        <v>342</v>
      </c>
      <c r="AP294" s="3" t="str">
        <f>IFERROR(MID(VLOOKUP($B294,Seqs!$A:$B,2,0),AQ294,1),"")</f>
        <v>V</v>
      </c>
      <c r="AQ294" s="3">
        <v>368</v>
      </c>
      <c r="AR294" s="3" t="str">
        <f>IFERROR(MID(VLOOKUP($B294,Seqs!$A:$B,2,0),AS294,1),"")</f>
        <v>L</v>
      </c>
      <c r="AS294" s="3">
        <v>377</v>
      </c>
      <c r="AT294" s="3" t="str">
        <f>IFERROR(MID(VLOOKUP($B294,Seqs!$A:$B,2,0),AU294,1),"")</f>
        <v>L</v>
      </c>
      <c r="AU294" s="3">
        <v>403</v>
      </c>
      <c r="AV294" s="3" t="str">
        <f>IFERROR(MID(VLOOKUP($B294,Seqs!$A:$B,2,0),AW294,1),"")</f>
        <v>N</v>
      </c>
      <c r="AW294" s="3">
        <v>404</v>
      </c>
      <c r="AX294" s="3" t="str">
        <f>IFERROR(MID(VLOOKUP($B294,Seqs!$A:$B,2,0),AY294,1),"")</f>
        <v>W</v>
      </c>
      <c r="AY294" s="3">
        <v>415</v>
      </c>
      <c r="AZ294" s="77" t="str">
        <f>VLOOKUP(B294,Classification!A:D,2,0)</f>
        <v>B1</v>
      </c>
      <c r="BA294" s="94" t="str">
        <f>VLOOKUP(B294,Classification!A:D,4,0)</f>
        <v>Glucagonreceptorfamily</v>
      </c>
      <c r="BB294" s="27" t="b">
        <f t="shared" si="1118"/>
        <v>1</v>
      </c>
      <c r="BC294" s="23">
        <f t="shared" si="1119"/>
        <v>242</v>
      </c>
      <c r="BD294" s="4" t="s">
        <v>23</v>
      </c>
      <c r="BE294" s="3" t="s">
        <v>1381</v>
      </c>
      <c r="BF294" s="119">
        <v>3.19</v>
      </c>
      <c r="BG294" s="49" t="s">
        <v>1287</v>
      </c>
      <c r="BH294" s="49" t="s">
        <v>1287</v>
      </c>
      <c r="BI294" s="1"/>
      <c r="BJ294" s="70" t="s">
        <v>1293</v>
      </c>
      <c r="BK294" s="57" t="s">
        <v>1293</v>
      </c>
      <c r="BL294" s="57" t="s">
        <v>1293</v>
      </c>
      <c r="BM294" s="57" t="s">
        <v>1293</v>
      </c>
      <c r="BN294" s="57" t="s">
        <v>1293</v>
      </c>
      <c r="BO294" s="57" t="s">
        <v>1293</v>
      </c>
      <c r="BP294" s="57" t="s">
        <v>1293</v>
      </c>
      <c r="BQ294" s="57" t="s">
        <v>1293</v>
      </c>
      <c r="BR294" s="57" t="s">
        <v>1293</v>
      </c>
      <c r="BS294" s="57" t="s">
        <v>1293</v>
      </c>
      <c r="BT294" s="57" t="s">
        <v>1293</v>
      </c>
      <c r="BU294" s="57" t="s">
        <v>1293</v>
      </c>
      <c r="BV294" s="70">
        <f t="shared" si="1120"/>
        <v>131</v>
      </c>
      <c r="BW294" s="71">
        <f t="shared" si="1121"/>
        <v>167</v>
      </c>
      <c r="BX294" s="72">
        <f t="shared" si="1122"/>
        <v>174</v>
      </c>
      <c r="BY294" s="71" t="str">
        <f t="shared" si="1123"/>
        <v>-</v>
      </c>
      <c r="BZ294" s="72">
        <f t="shared" si="1124"/>
        <v>217</v>
      </c>
      <c r="CA294" s="71" t="str">
        <f t="shared" si="1125"/>
        <v>-</v>
      </c>
      <c r="CB294" s="72">
        <f t="shared" si="1126"/>
        <v>261</v>
      </c>
      <c r="CC294" s="71">
        <f t="shared" si="1127"/>
        <v>294</v>
      </c>
      <c r="CD294" s="72">
        <f t="shared" si="1128"/>
        <v>299</v>
      </c>
      <c r="CE294" s="71">
        <f t="shared" si="1129"/>
        <v>342</v>
      </c>
      <c r="CF294" s="72">
        <f t="shared" si="1130"/>
        <v>377</v>
      </c>
      <c r="CG294" s="71">
        <f t="shared" si="1131"/>
        <v>404</v>
      </c>
      <c r="CH294" s="70">
        <f t="shared" si="1132"/>
        <v>166</v>
      </c>
      <c r="CI294" s="71">
        <f t="shared" si="1133"/>
        <v>170</v>
      </c>
      <c r="CJ294" s="72">
        <f t="shared" si="1134"/>
        <v>201</v>
      </c>
      <c r="CK294" s="72" t="str">
        <f t="shared" si="1135"/>
        <v>-</v>
      </c>
      <c r="CL294" s="72">
        <f t="shared" si="1136"/>
        <v>255</v>
      </c>
      <c r="CM294" s="72" t="str">
        <f t="shared" si="1137"/>
        <v>-</v>
      </c>
      <c r="CN294" s="72">
        <f t="shared" si="1138"/>
        <v>289</v>
      </c>
      <c r="CO294" s="72">
        <f t="shared" si="1139"/>
        <v>296</v>
      </c>
      <c r="CP294" s="72">
        <f t="shared" si="1140"/>
        <v>333</v>
      </c>
      <c r="CQ294" s="72">
        <f t="shared" si="1141"/>
        <v>368</v>
      </c>
      <c r="CR294" s="72">
        <f t="shared" si="1142"/>
        <v>403</v>
      </c>
      <c r="CS294" s="72">
        <f t="shared" si="1143"/>
        <v>415</v>
      </c>
      <c r="CT294" s="23">
        <f t="shared" si="1144"/>
        <v>4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si="1117"/>
        <v>glr_human_5YQZ</v>
      </c>
      <c r="B295" s="3" t="s">
        <v>32</v>
      </c>
      <c r="C295" s="3" t="s">
        <v>1475</v>
      </c>
      <c r="D295" s="3" t="str">
        <f>IFERROR(MID(VLOOKUP($B295,Seqs!$A:$B,2,0),E295,1),"")</f>
        <v>D</v>
      </c>
      <c r="E295" s="3">
        <v>124</v>
      </c>
      <c r="F295" s="3" t="str">
        <f>IFERROR(MID(VLOOKUP($B295,Seqs!$A:$B,2,0),G295,1),"")</f>
        <v>L</v>
      </c>
      <c r="G295" s="3">
        <v>166</v>
      </c>
      <c r="H295" s="3" t="str">
        <f>IFERROR(MID(VLOOKUP($B295,Seqs!$A:$B,2,0),I295,1),"")</f>
        <v>S</v>
      </c>
      <c r="I295" s="23">
        <v>167</v>
      </c>
      <c r="J295" s="3" t="str">
        <f>IFERROR(MID(VLOOKUP($B295,Seqs!$A:$B,2,0),K295,1),"")</f>
        <v>H</v>
      </c>
      <c r="K295" s="23">
        <v>170</v>
      </c>
      <c r="L295" s="3" t="str">
        <f>IFERROR(MID(VLOOKUP($B295,Seqs!$A:$B,2,0),M295,1),"")</f>
        <v>C</v>
      </c>
      <c r="M295" s="23">
        <v>171</v>
      </c>
      <c r="N295" s="3" t="str">
        <f>IFERROR(MID(VLOOKUP($B295,Seqs!$A:$B,2,0),O295,1),"")</f>
        <v>S</v>
      </c>
      <c r="O295" s="3">
        <v>203</v>
      </c>
      <c r="P295" s="3" t="str">
        <f>IFERROR(MID(VLOOKUP($B295,Seqs!$A:$B,2,0),Q295,1),"")</f>
        <v/>
      </c>
      <c r="Q295" s="3" t="s">
        <v>23</v>
      </c>
      <c r="R295" s="3" t="str">
        <f>IFERROR(MID(VLOOKUP($B295,Seqs!$A:$B,2,0),S295,1),"")</f>
        <v/>
      </c>
      <c r="S295" s="3" t="s">
        <v>23</v>
      </c>
      <c r="T295" s="3" t="str">
        <f>IFERROR(MID(VLOOKUP($B295,Seqs!$A:$B,2,0),U295,1),"")</f>
        <v>A</v>
      </c>
      <c r="U295" s="3">
        <v>220</v>
      </c>
      <c r="V295" s="3" t="str">
        <f>IFERROR(MID(VLOOKUP($B295,Seqs!$A:$B,2,0),W295,1),"")</f>
        <v>L</v>
      </c>
      <c r="W295" s="3">
        <v>255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F</v>
      </c>
      <c r="AC295" s="3">
        <v>263</v>
      </c>
      <c r="AD295" s="3" t="str">
        <f>IFERROR(MID(VLOOKUP($B295,Seqs!$A:$B,2,0),AE295,1),"")</f>
        <v>E</v>
      </c>
      <c r="AE295" s="3">
        <v>290</v>
      </c>
      <c r="AF295" s="3" t="str">
        <f>IFERROR(MID(VLOOKUP($B295,Seqs!$A:$B,2,0),AG295,1),"")</f>
        <v>C</v>
      </c>
      <c r="AG295" s="3">
        <v>294</v>
      </c>
      <c r="AH295" s="3" t="str">
        <f>IFERROR(MID(VLOOKUP($B295,Seqs!$A:$B,2,0),AI295,1),"")</f>
        <v>T</v>
      </c>
      <c r="AI295" s="3">
        <v>296</v>
      </c>
      <c r="AJ295" s="3" t="str">
        <f>IFERROR(MID(VLOOKUP($B295,Seqs!$A:$B,2,0),AK295,1),"")</f>
        <v>F</v>
      </c>
      <c r="AK295" s="3">
        <v>303</v>
      </c>
      <c r="AL295" s="3" t="str">
        <f>IFERROR(MID(VLOOKUP($B295,Seqs!$A:$B,2,0),AM295,1),"")</f>
        <v>A</v>
      </c>
      <c r="AM295" s="3">
        <v>335</v>
      </c>
      <c r="AN295" s="3" t="str">
        <f>IFERROR(MID(VLOOKUP($B295,Seqs!$A:$B,2,0),AO295,1),"")</f>
        <v>D</v>
      </c>
      <c r="AO295" s="3">
        <v>342</v>
      </c>
      <c r="AP295" s="3" t="str">
        <f>IFERROR(MID(VLOOKUP($B295,Seqs!$A:$B,2,0),AQ295,1),"")</f>
        <v>T</v>
      </c>
      <c r="AQ295" s="3">
        <v>369</v>
      </c>
      <c r="AR295" s="3" t="str">
        <f>IFERROR(MID(VLOOKUP($B295,Seqs!$A:$B,2,0),AS295,1),"")</f>
        <v>G</v>
      </c>
      <c r="AS295" s="3">
        <v>375</v>
      </c>
      <c r="AT295" s="3" t="str">
        <f>IFERROR(MID(VLOOKUP($B295,Seqs!$A:$B,2,0),AU295,1),"")</f>
        <v>L</v>
      </c>
      <c r="AU295" s="3">
        <v>403</v>
      </c>
      <c r="AV295" s="3" t="str">
        <f>IFERROR(MID(VLOOKUP($B295,Seqs!$A:$B,2,0),AW295,1),"")</f>
        <v>N</v>
      </c>
      <c r="AW295" s="3">
        <v>404</v>
      </c>
      <c r="AX295" s="3" t="str">
        <f>IFERROR(MID(VLOOKUP($B295,Seqs!$A:$B,2,0),AY295,1),"")</f>
        <v>E</v>
      </c>
      <c r="AY295" s="3">
        <v>426</v>
      </c>
      <c r="AZ295" s="77" t="str">
        <f>VLOOKUP(B295,Classification!A:D,2,0)</f>
        <v>B1</v>
      </c>
      <c r="BA295" s="94" t="str">
        <f>VLOOKUP(B295,Classification!A:D,4,0)</f>
        <v>Glucagonreceptorfamily</v>
      </c>
      <c r="BB295" s="27" t="b">
        <f t="shared" si="1118"/>
        <v>1</v>
      </c>
      <c r="BC295" s="23">
        <f t="shared" si="1119"/>
        <v>262</v>
      </c>
      <c r="BD295" s="4" t="s">
        <v>23</v>
      </c>
      <c r="BE295" s="3" t="s">
        <v>1381</v>
      </c>
      <c r="BF295" s="119">
        <v>3</v>
      </c>
      <c r="BG295" s="49" t="s">
        <v>1433</v>
      </c>
      <c r="BH295" s="49" t="s">
        <v>1433</v>
      </c>
      <c r="BI295" s="1"/>
      <c r="BJ295" s="70" t="s">
        <v>1293</v>
      </c>
      <c r="BK295" s="57" t="s">
        <v>1293</v>
      </c>
      <c r="BL295" s="57" t="s">
        <v>1293</v>
      </c>
      <c r="BM295" s="57" t="s">
        <v>1293</v>
      </c>
      <c r="BN295" s="57" t="s">
        <v>1293</v>
      </c>
      <c r="BO295" s="57" t="s">
        <v>1293</v>
      </c>
      <c r="BP295" s="57" t="s">
        <v>1293</v>
      </c>
      <c r="BQ295" s="57" t="s">
        <v>1293</v>
      </c>
      <c r="BR295" s="57" t="s">
        <v>1293</v>
      </c>
      <c r="BS295" s="57" t="s">
        <v>1293</v>
      </c>
      <c r="BT295" s="57" t="s">
        <v>1293</v>
      </c>
      <c r="BU295" s="57" t="s">
        <v>1293</v>
      </c>
      <c r="BV295" s="70">
        <f t="shared" si="1120"/>
        <v>124</v>
      </c>
      <c r="BW295" s="71">
        <f t="shared" si="1121"/>
        <v>167</v>
      </c>
      <c r="BX295" s="72">
        <f t="shared" si="1122"/>
        <v>171</v>
      </c>
      <c r="BY295" s="71" t="str">
        <f t="shared" si="1123"/>
        <v>-</v>
      </c>
      <c r="BZ295" s="72">
        <f t="shared" si="1124"/>
        <v>220</v>
      </c>
      <c r="CA295" s="71" t="str">
        <f t="shared" si="1125"/>
        <v>-</v>
      </c>
      <c r="CB295" s="72">
        <f t="shared" si="1126"/>
        <v>263</v>
      </c>
      <c r="CC295" s="71">
        <f t="shared" si="1127"/>
        <v>294</v>
      </c>
      <c r="CD295" s="72">
        <f t="shared" si="1128"/>
        <v>303</v>
      </c>
      <c r="CE295" s="71">
        <f t="shared" si="1129"/>
        <v>342</v>
      </c>
      <c r="CF295" s="72">
        <f t="shared" si="1130"/>
        <v>375</v>
      </c>
      <c r="CG295" s="71">
        <f t="shared" si="1131"/>
        <v>404</v>
      </c>
      <c r="CH295" s="70">
        <f t="shared" si="1132"/>
        <v>166</v>
      </c>
      <c r="CI295" s="71">
        <f t="shared" si="1133"/>
        <v>170</v>
      </c>
      <c r="CJ295" s="72">
        <f t="shared" si="1134"/>
        <v>203</v>
      </c>
      <c r="CK295" s="72" t="str">
        <f t="shared" si="1135"/>
        <v>-</v>
      </c>
      <c r="CL295" s="72">
        <f t="shared" si="1136"/>
        <v>255</v>
      </c>
      <c r="CM295" s="72" t="str">
        <f t="shared" si="1137"/>
        <v>-</v>
      </c>
      <c r="CN295" s="72">
        <f t="shared" si="1138"/>
        <v>290</v>
      </c>
      <c r="CO295" s="72">
        <f t="shared" si="1139"/>
        <v>296</v>
      </c>
      <c r="CP295" s="72">
        <f t="shared" si="1140"/>
        <v>335</v>
      </c>
      <c r="CQ295" s="72">
        <f t="shared" si="1141"/>
        <v>369</v>
      </c>
      <c r="CR295" s="72">
        <f t="shared" si="1142"/>
        <v>403</v>
      </c>
      <c r="CS295" s="72">
        <f t="shared" si="1143"/>
        <v>426</v>
      </c>
      <c r="CT295" s="23">
        <f t="shared" si="1144"/>
        <v>1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x14ac:dyDescent="0.2">
      <c r="A296" s="3" t="str">
        <f t="shared" si="1117"/>
        <v>glp1r_human__wt</v>
      </c>
      <c r="B296" s="3" t="s">
        <v>406</v>
      </c>
      <c r="C296" s="3" t="s">
        <v>100</v>
      </c>
      <c r="D296" s="3" t="str">
        <f>IFERROR(MID(VLOOKUP($B296,Seqs!$A:$B,2,0),E296,1),"")</f>
        <v>E</v>
      </c>
      <c r="E296" s="3">
        <v>138</v>
      </c>
      <c r="F296" s="3" t="str">
        <f>IFERROR(MID(VLOOKUP($B296,Seqs!$A:$B,2,0),G296,1),"")</f>
        <v>F</v>
      </c>
      <c r="G296" s="3">
        <v>169</v>
      </c>
      <c r="H296" s="3" t="str">
        <f>IFERROR(MID(VLOOKUP($B296,Seqs!$A:$B,2,0),I296,1),"")</f>
        <v>R</v>
      </c>
      <c r="I296" s="23">
        <v>170</v>
      </c>
      <c r="J296" s="3" t="str">
        <f>IFERROR(MID(VLOOKUP($B296,Seqs!$A:$B,2,0),K296,1),"")</f>
        <v>H</v>
      </c>
      <c r="K296" s="23">
        <v>173</v>
      </c>
      <c r="L296" s="3" t="str">
        <f>IFERROR(MID(VLOOKUP($B296,Seqs!$A:$B,2,0),M296,1),"")</f>
        <v>C</v>
      </c>
      <c r="M296" s="23">
        <v>174</v>
      </c>
      <c r="N296" s="3" t="str">
        <f>IFERROR(MID(VLOOKUP($B296,Seqs!$A:$B,2,0),O296,1),"")</f>
        <v>S</v>
      </c>
      <c r="O296" s="3">
        <v>206</v>
      </c>
      <c r="P296" s="3" t="str">
        <f>IFERROR(MID(VLOOKUP($B296,Seqs!$A:$B,2,0),Q296,1),"")</f>
        <v/>
      </c>
      <c r="Q296" s="3" t="s">
        <v>23</v>
      </c>
      <c r="R296" s="3" t="str">
        <f>IFERROR(MID(VLOOKUP($B296,Seqs!$A:$B,2,0),S296,1),"")</f>
        <v/>
      </c>
      <c r="S296" s="3" t="s">
        <v>23</v>
      </c>
      <c r="T296" s="3" t="str">
        <f>IFERROR(MID(VLOOKUP($B296,Seqs!$A:$B,2,0),U296,1),"")</f>
        <v>L</v>
      </c>
      <c r="U296" s="3">
        <v>224</v>
      </c>
      <c r="V296" s="3" t="str">
        <f>IFERROR(MID(VLOOKUP($B296,Seqs!$A:$B,2,0),W296,1),"")</f>
        <v>F</v>
      </c>
      <c r="W296" s="3">
        <v>257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E</v>
      </c>
      <c r="AC296" s="3">
        <v>262</v>
      </c>
      <c r="AD296" s="3" t="str">
        <f>IFERROR(MID(VLOOKUP($B296,Seqs!$A:$B,2,0),AE296,1),"")</f>
        <v>E</v>
      </c>
      <c r="AE296" s="3">
        <v>292</v>
      </c>
      <c r="AF296" s="3" t="str">
        <f>IFERROR(MID(VLOOKUP($B296,Seqs!$A:$B,2,0),AG296,1),"")</f>
        <v>C</v>
      </c>
      <c r="AG296" s="3">
        <v>296</v>
      </c>
      <c r="AH296" s="3" t="str">
        <f>IFERROR(MID(VLOOKUP($B296,Seqs!$A:$B,2,0),AI296,1),"")</f>
        <v>T</v>
      </c>
      <c r="AI296" s="3">
        <v>298</v>
      </c>
      <c r="AJ296" s="3" t="str">
        <f>IFERROR(MID(VLOOKUP($B296,Seqs!$A:$B,2,0),AK296,1),"")</f>
        <v>N</v>
      </c>
      <c r="AK296" s="3">
        <v>302</v>
      </c>
      <c r="AL296" s="3" t="str">
        <f>IFERROR(MID(VLOOKUP($B296,Seqs!$A:$B,2,0),AM296,1),"")</f>
        <v>A</v>
      </c>
      <c r="AM296" s="3">
        <v>337</v>
      </c>
      <c r="AN296" s="3" t="str">
        <f>IFERROR(MID(VLOOKUP($B296,Seqs!$A:$B,2,0),AO296,1),"")</f>
        <v>D</v>
      </c>
      <c r="AO296" s="3">
        <v>344</v>
      </c>
      <c r="AP296" s="3" t="str">
        <f>IFERROR(MID(VLOOKUP($B296,Seqs!$A:$B,2,0),AQ296,1),"")</f>
        <v>F</v>
      </c>
      <c r="AQ296" s="3">
        <v>369</v>
      </c>
      <c r="AR296" s="3" t="str">
        <f>IFERROR(MID(VLOOKUP($B296,Seqs!$A:$B,2,0),AS296,1),"")</f>
        <v>G</v>
      </c>
      <c r="AS296" s="3">
        <v>377</v>
      </c>
      <c r="AT296" s="3" t="str">
        <f>IFERROR(MID(VLOOKUP($B296,Seqs!$A:$B,2,0),AU296,1),"")</f>
        <v>V</v>
      </c>
      <c r="AU296" s="3">
        <v>405</v>
      </c>
      <c r="AV296" s="3" t="str">
        <f>IFERROR(MID(VLOOKUP($B296,Seqs!$A:$B,2,0),AW296,1),"")</f>
        <v>N</v>
      </c>
      <c r="AW296" s="3">
        <v>406</v>
      </c>
      <c r="AX296" s="3" t="str">
        <f>IFERROR(MID(VLOOKUP($B296,Seqs!$A:$B,2,0),AY296,1),"")</f>
        <v>S</v>
      </c>
      <c r="AY296" s="3">
        <v>431</v>
      </c>
      <c r="AZ296" s="77" t="str">
        <f>VLOOKUP(B296,Classification!A:D,2,0)</f>
        <v>B1</v>
      </c>
      <c r="BA296" s="94" t="str">
        <f>VLOOKUP(B296,Classification!A:D,4,0)</f>
        <v>Glucagonreceptorfamily</v>
      </c>
      <c r="BB296" s="27" t="b">
        <f t="shared" si="1118"/>
        <v>1</v>
      </c>
      <c r="BC296" s="23">
        <f t="shared" si="1119"/>
        <v>256</v>
      </c>
      <c r="BD296" s="4" t="s">
        <v>23</v>
      </c>
      <c r="BE296" s="3" t="s">
        <v>23</v>
      </c>
      <c r="BF296" s="119" t="s">
        <v>23</v>
      </c>
      <c r="BG296" s="49" t="s">
        <v>1384</v>
      </c>
      <c r="BH296" s="49" t="s">
        <v>1384</v>
      </c>
      <c r="BI296" s="1"/>
      <c r="BJ296" s="70" t="s">
        <v>1293</v>
      </c>
      <c r="BK296" s="57" t="s">
        <v>1293</v>
      </c>
      <c r="BL296" s="57" t="s">
        <v>1293</v>
      </c>
      <c r="BM296" s="57" t="s">
        <v>1293</v>
      </c>
      <c r="BN296" s="57" t="s">
        <v>1293</v>
      </c>
      <c r="BO296" s="57" t="s">
        <v>1293</v>
      </c>
      <c r="BP296" s="57" t="s">
        <v>1293</v>
      </c>
      <c r="BQ296" s="57" t="s">
        <v>1293</v>
      </c>
      <c r="BR296" s="57" t="s">
        <v>1293</v>
      </c>
      <c r="BS296" s="57" t="s">
        <v>1293</v>
      </c>
      <c r="BT296" s="57" t="s">
        <v>1293</v>
      </c>
      <c r="BU296" s="57" t="s">
        <v>1293</v>
      </c>
      <c r="BV296" s="70">
        <f t="shared" si="1120"/>
        <v>138</v>
      </c>
      <c r="BW296" s="71">
        <f t="shared" si="1121"/>
        <v>170</v>
      </c>
      <c r="BX296" s="72">
        <f t="shared" si="1122"/>
        <v>174</v>
      </c>
      <c r="BY296" s="71" t="str">
        <f t="shared" si="1123"/>
        <v>-</v>
      </c>
      <c r="BZ296" s="72">
        <f t="shared" si="1124"/>
        <v>224</v>
      </c>
      <c r="CA296" s="71" t="str">
        <f t="shared" si="1125"/>
        <v>-</v>
      </c>
      <c r="CB296" s="72">
        <f t="shared" si="1126"/>
        <v>262</v>
      </c>
      <c r="CC296" s="71">
        <f t="shared" si="1127"/>
        <v>296</v>
      </c>
      <c r="CD296" s="72">
        <f t="shared" si="1128"/>
        <v>302</v>
      </c>
      <c r="CE296" s="71">
        <f t="shared" si="1129"/>
        <v>344</v>
      </c>
      <c r="CF296" s="72">
        <f t="shared" si="1130"/>
        <v>377</v>
      </c>
      <c r="CG296" s="71">
        <f t="shared" si="1131"/>
        <v>406</v>
      </c>
      <c r="CH296" s="70">
        <f t="shared" si="1132"/>
        <v>169</v>
      </c>
      <c r="CI296" s="71">
        <f t="shared" si="1133"/>
        <v>173</v>
      </c>
      <c r="CJ296" s="72">
        <f t="shared" si="1134"/>
        <v>206</v>
      </c>
      <c r="CK296" s="72" t="str">
        <f t="shared" si="1135"/>
        <v>-</v>
      </c>
      <c r="CL296" s="72">
        <f t="shared" si="1136"/>
        <v>257</v>
      </c>
      <c r="CM296" s="72" t="str">
        <f t="shared" si="1137"/>
        <v>-</v>
      </c>
      <c r="CN296" s="72">
        <f t="shared" si="1138"/>
        <v>292</v>
      </c>
      <c r="CO296" s="72">
        <f t="shared" si="1139"/>
        <v>298</v>
      </c>
      <c r="CP296" s="72">
        <f t="shared" si="1140"/>
        <v>337</v>
      </c>
      <c r="CQ296" s="72">
        <f t="shared" si="1141"/>
        <v>369</v>
      </c>
      <c r="CR296" s="72">
        <f t="shared" si="1142"/>
        <v>405</v>
      </c>
      <c r="CS296" s="72">
        <f t="shared" si="1143"/>
        <v>431</v>
      </c>
      <c r="CT296" s="23">
        <f t="shared" si="1144"/>
        <v>1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x14ac:dyDescent="0.2">
      <c r="A297" s="3" t="str">
        <f t="shared" si="1117"/>
        <v>glp1r_human_5VEW</v>
      </c>
      <c r="B297" s="3" t="s">
        <v>406</v>
      </c>
      <c r="C297" s="3" t="s">
        <v>1416</v>
      </c>
      <c r="D297" s="3" t="str">
        <f>IFERROR(MID(VLOOKUP($B297,Seqs!$A:$B,2,0),E297,1),"")</f>
        <v>S</v>
      </c>
      <c r="E297" s="3">
        <v>136</v>
      </c>
      <c r="F297" s="3" t="str">
        <f>IFERROR(MID(VLOOKUP($B297,Seqs!$A:$B,2,0),G297,1),"")</f>
        <v>F</v>
      </c>
      <c r="G297" s="3">
        <v>169</v>
      </c>
      <c r="H297" s="3" t="str">
        <f>IFERROR(MID(VLOOKUP($B297,Seqs!$A:$B,2,0),I297,1),"")</f>
        <v>R</v>
      </c>
      <c r="I297" s="23">
        <v>170</v>
      </c>
      <c r="J297" s="3" t="str">
        <f>IFERROR(MID(VLOOKUP($B297,Seqs!$A:$B,2,0),K297,1),"")</f>
        <v>H</v>
      </c>
      <c r="K297" s="23">
        <v>173</v>
      </c>
      <c r="L297" s="3" t="str">
        <f>IFERROR(MID(VLOOKUP($B297,Seqs!$A:$B,2,0),M297,1),"")</f>
        <v>C</v>
      </c>
      <c r="M297" s="23">
        <v>174</v>
      </c>
      <c r="N297" s="3" t="str">
        <f>IFERROR(MID(VLOOKUP($B297,Seqs!$A:$B,2,0),O297,1),"")</f>
        <v>L</v>
      </c>
      <c r="O297" s="3">
        <v>201</v>
      </c>
      <c r="P297" s="3" t="str">
        <f>IFERROR(MID(VLOOKUP($B297,Seqs!$A:$B,2,0),Q297,1),"")</f>
        <v/>
      </c>
      <c r="Q297" s="3" t="s">
        <v>23</v>
      </c>
      <c r="R297" s="3" t="str">
        <f>IFERROR(MID(VLOOKUP($B297,Seqs!$A:$B,2,0),S297,1),"")</f>
        <v/>
      </c>
      <c r="S297" s="3" t="s">
        <v>23</v>
      </c>
      <c r="T297" s="3" t="str">
        <f>IFERROR(MID(VLOOKUP($B297,Seqs!$A:$B,2,0),U297,1),"")</f>
        <v>L</v>
      </c>
      <c r="U297" s="3">
        <v>224</v>
      </c>
      <c r="V297" s="3" t="str">
        <f>IFERROR(MID(VLOOKUP($B297,Seqs!$A:$B,2,0),W297,1),"")</f>
        <v>F</v>
      </c>
      <c r="W297" s="3">
        <v>257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E</v>
      </c>
      <c r="AC297" s="3">
        <v>262</v>
      </c>
      <c r="AD297" s="3" t="str">
        <f>IFERROR(MID(VLOOKUP($B297,Seqs!$A:$B,2,0),AE297,1),"")</f>
        <v>E</v>
      </c>
      <c r="AE297" s="3">
        <v>292</v>
      </c>
      <c r="AF297" s="3" t="str">
        <f>IFERROR(MID(VLOOKUP($B297,Seqs!$A:$B,2,0),AG297,1),"")</f>
        <v>C</v>
      </c>
      <c r="AG297" s="3">
        <v>296</v>
      </c>
      <c r="AH297" s="3" t="str">
        <f>IFERROR(MID(VLOOKUP($B297,Seqs!$A:$B,2,0),AI297,1),"")</f>
        <v>T</v>
      </c>
      <c r="AI297" s="3">
        <v>298</v>
      </c>
      <c r="AJ297" s="3" t="str">
        <f>IFERROR(MID(VLOOKUP($B297,Seqs!$A:$B,2,0),AK297,1),"")</f>
        <v>Y</v>
      </c>
      <c r="AK297" s="3">
        <v>305</v>
      </c>
      <c r="AL297" s="3" t="str">
        <f>IFERROR(MID(VLOOKUP($B297,Seqs!$A:$B,2,0),AM297,1),"")</f>
        <v>A</v>
      </c>
      <c r="AM297" s="3">
        <v>337</v>
      </c>
      <c r="AN297" s="3" t="str">
        <f>IFERROR(MID(VLOOKUP($B297,Seqs!$A:$B,2,0),AO297,1),"")</f>
        <v>D</v>
      </c>
      <c r="AO297" s="3">
        <v>344</v>
      </c>
      <c r="AP297" s="3" t="str">
        <f>IFERROR(MID(VLOOKUP($B297,Seqs!$A:$B,2,0),AQ297,1),"")</f>
        <v>F</v>
      </c>
      <c r="AQ297" s="3">
        <v>367</v>
      </c>
      <c r="AR297" s="3" t="str">
        <f>IFERROR(MID(VLOOKUP($B297,Seqs!$A:$B,2,0),AS297,1),"")</f>
        <v>R</v>
      </c>
      <c r="AS297" s="3">
        <v>380</v>
      </c>
      <c r="AT297" s="3" t="str">
        <f>IFERROR(MID(VLOOKUP($B297,Seqs!$A:$B,2,0),AU297,1),"")</f>
        <v>V</v>
      </c>
      <c r="AU297" s="3">
        <v>405</v>
      </c>
      <c r="AV297" s="3" t="str">
        <f>IFERROR(MID(VLOOKUP($B297,Seqs!$A:$B,2,0),AW297,1),"")</f>
        <v>N</v>
      </c>
      <c r="AW297" s="3">
        <v>406</v>
      </c>
      <c r="AX297" s="3" t="str">
        <f>IFERROR(MID(VLOOKUP($B297,Seqs!$A:$B,2,0),AY297,1),"")</f>
        <v>L</v>
      </c>
      <c r="AY297" s="3">
        <v>422</v>
      </c>
      <c r="AZ297" s="77" t="str">
        <f>VLOOKUP(B297,Classification!A:D,2,0)</f>
        <v>B1</v>
      </c>
      <c r="BA297" s="94" t="str">
        <f>VLOOKUP(B297,Classification!A:D,4,0)</f>
        <v>Glucagonreceptorfamily</v>
      </c>
      <c r="BB297" s="27" t="b">
        <f t="shared" si="1118"/>
        <v>1</v>
      </c>
      <c r="BC297" s="23">
        <f t="shared" si="1119"/>
        <v>236</v>
      </c>
      <c r="BD297" s="4" t="s">
        <v>1383</v>
      </c>
      <c r="BE297" s="3" t="s">
        <v>1381</v>
      </c>
      <c r="BF297" s="119">
        <v>2.7</v>
      </c>
      <c r="BG297" s="49" t="s">
        <v>1287</v>
      </c>
      <c r="BH297" s="49" t="s">
        <v>1287</v>
      </c>
      <c r="BI297" s="1"/>
      <c r="BJ297" s="70" t="s">
        <v>1293</v>
      </c>
      <c r="BK297" s="57" t="s">
        <v>1293</v>
      </c>
      <c r="BL297" s="57" t="s">
        <v>1293</v>
      </c>
      <c r="BM297" s="57" t="s">
        <v>1293</v>
      </c>
      <c r="BN297" s="57" t="s">
        <v>1293</v>
      </c>
      <c r="BO297" s="57" t="s">
        <v>1293</v>
      </c>
      <c r="BP297" s="57" t="s">
        <v>1293</v>
      </c>
      <c r="BQ297" s="57" t="s">
        <v>1293</v>
      </c>
      <c r="BR297" s="57" t="s">
        <v>1293</v>
      </c>
      <c r="BS297" s="57" t="s">
        <v>1293</v>
      </c>
      <c r="BT297" s="57" t="s">
        <v>1293</v>
      </c>
      <c r="BU297" s="57" t="s">
        <v>1293</v>
      </c>
      <c r="BV297" s="70">
        <f t="shared" si="1120"/>
        <v>136</v>
      </c>
      <c r="BW297" s="71">
        <f t="shared" si="1121"/>
        <v>170</v>
      </c>
      <c r="BX297" s="72">
        <f t="shared" si="1122"/>
        <v>174</v>
      </c>
      <c r="BY297" s="71" t="str">
        <f t="shared" si="1123"/>
        <v>-</v>
      </c>
      <c r="BZ297" s="72">
        <f t="shared" si="1124"/>
        <v>224</v>
      </c>
      <c r="CA297" s="71" t="str">
        <f t="shared" si="1125"/>
        <v>-</v>
      </c>
      <c r="CB297" s="72">
        <f t="shared" si="1126"/>
        <v>262</v>
      </c>
      <c r="CC297" s="71">
        <f t="shared" si="1127"/>
        <v>296</v>
      </c>
      <c r="CD297" s="72">
        <f t="shared" si="1128"/>
        <v>305</v>
      </c>
      <c r="CE297" s="71">
        <f t="shared" si="1129"/>
        <v>344</v>
      </c>
      <c r="CF297" s="72">
        <f t="shared" si="1130"/>
        <v>380</v>
      </c>
      <c r="CG297" s="71">
        <f t="shared" si="1131"/>
        <v>406</v>
      </c>
      <c r="CH297" s="70">
        <f t="shared" si="1132"/>
        <v>169</v>
      </c>
      <c r="CI297" s="71">
        <f t="shared" si="1133"/>
        <v>173</v>
      </c>
      <c r="CJ297" s="72">
        <f t="shared" si="1134"/>
        <v>201</v>
      </c>
      <c r="CK297" s="72" t="str">
        <f t="shared" si="1135"/>
        <v>-</v>
      </c>
      <c r="CL297" s="72">
        <f t="shared" si="1136"/>
        <v>257</v>
      </c>
      <c r="CM297" s="72" t="str">
        <f t="shared" si="1137"/>
        <v>-</v>
      </c>
      <c r="CN297" s="72">
        <f t="shared" si="1138"/>
        <v>292</v>
      </c>
      <c r="CO297" s="72">
        <f t="shared" si="1139"/>
        <v>298</v>
      </c>
      <c r="CP297" s="72">
        <f t="shared" si="1140"/>
        <v>337</v>
      </c>
      <c r="CQ297" s="72">
        <f t="shared" si="1141"/>
        <v>367</v>
      </c>
      <c r="CR297" s="72">
        <f t="shared" si="1142"/>
        <v>405</v>
      </c>
      <c r="CS297" s="72">
        <f t="shared" si="1143"/>
        <v>422</v>
      </c>
      <c r="CT297" s="23">
        <f t="shared" si="1144"/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29" x14ac:dyDescent="0.2">
      <c r="A298" s="3" t="str">
        <f t="shared" si="1117"/>
        <v>glp1r_human_5VEX</v>
      </c>
      <c r="B298" s="3" t="s">
        <v>406</v>
      </c>
      <c r="C298" s="3" t="s">
        <v>1415</v>
      </c>
      <c r="D298" s="3" t="str">
        <f>IFERROR(MID(VLOOKUP($B298,Seqs!$A:$B,2,0),E298,1),"")</f>
        <v>S</v>
      </c>
      <c r="E298" s="3">
        <v>136</v>
      </c>
      <c r="F298" s="3" t="str">
        <f>IFERROR(MID(VLOOKUP($B298,Seqs!$A:$B,2,0),G298,1),"")</f>
        <v>F</v>
      </c>
      <c r="G298" s="3">
        <v>169</v>
      </c>
      <c r="H298" s="3" t="str">
        <f>IFERROR(MID(VLOOKUP($B298,Seqs!$A:$B,2,0),I298,1),"")</f>
        <v>R</v>
      </c>
      <c r="I298" s="23">
        <v>170</v>
      </c>
      <c r="J298" s="3" t="str">
        <f>IFERROR(MID(VLOOKUP($B298,Seqs!$A:$B,2,0),K298,1),"")</f>
        <v>H</v>
      </c>
      <c r="K298" s="23">
        <v>173</v>
      </c>
      <c r="L298" s="3" t="str">
        <f>IFERROR(MID(VLOOKUP($B298,Seqs!$A:$B,2,0),M298,1),"")</f>
        <v>C</v>
      </c>
      <c r="M298" s="23">
        <v>174</v>
      </c>
      <c r="N298" s="3" t="str">
        <f>IFERROR(MID(VLOOKUP($B298,Seqs!$A:$B,2,0),O298,1),"")</f>
        <v>L</v>
      </c>
      <c r="O298" s="3">
        <v>201</v>
      </c>
      <c r="P298" s="3" t="str">
        <f>IFERROR(MID(VLOOKUP($B298,Seqs!$A:$B,2,0),Q298,1),"")</f>
        <v/>
      </c>
      <c r="Q298" s="3" t="s">
        <v>23</v>
      </c>
      <c r="R298" s="3" t="str">
        <f>IFERROR(MID(VLOOKUP($B298,Seqs!$A:$B,2,0),S298,1),"")</f>
        <v/>
      </c>
      <c r="S298" s="3" t="s">
        <v>23</v>
      </c>
      <c r="T298" s="3" t="str">
        <f>IFERROR(MID(VLOOKUP($B298,Seqs!$A:$B,2,0),U298,1),"")</f>
        <v>L</v>
      </c>
      <c r="U298" s="3">
        <v>224</v>
      </c>
      <c r="V298" s="3" t="str">
        <f>IFERROR(MID(VLOOKUP($B298,Seqs!$A:$B,2,0),W298,1),"")</f>
        <v>F</v>
      </c>
      <c r="W298" s="3">
        <v>257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E</v>
      </c>
      <c r="AC298" s="3">
        <v>262</v>
      </c>
      <c r="AD298" s="3" t="str">
        <f>IFERROR(MID(VLOOKUP($B298,Seqs!$A:$B,2,0),AE298,1),"")</f>
        <v>E</v>
      </c>
      <c r="AE298" s="3">
        <v>292</v>
      </c>
      <c r="AF298" s="3" t="str">
        <f>IFERROR(MID(VLOOKUP($B298,Seqs!$A:$B,2,0),AG298,1),"")</f>
        <v>C</v>
      </c>
      <c r="AG298" s="3">
        <v>296</v>
      </c>
      <c r="AH298" s="3" t="str">
        <f>IFERROR(MID(VLOOKUP($B298,Seqs!$A:$B,2,0),AI298,1),"")</f>
        <v>T</v>
      </c>
      <c r="AI298" s="3">
        <v>298</v>
      </c>
      <c r="AJ298" s="3" t="str">
        <f>IFERROR(MID(VLOOKUP($B298,Seqs!$A:$B,2,0),AK298,1),"")</f>
        <v>Y</v>
      </c>
      <c r="AK298" s="3">
        <v>305</v>
      </c>
      <c r="AL298" s="3" t="str">
        <f>IFERROR(MID(VLOOKUP($B298,Seqs!$A:$B,2,0),AM298,1),"")</f>
        <v>A</v>
      </c>
      <c r="AM298" s="3">
        <v>337</v>
      </c>
      <c r="AN298" s="3" t="str">
        <f>IFERROR(MID(VLOOKUP($B298,Seqs!$A:$B,2,0),AO298,1),"")</f>
        <v>D</v>
      </c>
      <c r="AO298" s="3">
        <v>344</v>
      </c>
      <c r="AP298" s="3" t="str">
        <f>IFERROR(MID(VLOOKUP($B298,Seqs!$A:$B,2,0),AQ298,1),"")</f>
        <v>F</v>
      </c>
      <c r="AQ298" s="3">
        <v>367</v>
      </c>
      <c r="AR298" s="3" t="str">
        <f>IFERROR(MID(VLOOKUP($B298,Seqs!$A:$B,2,0),AS298,1),"")</f>
        <v>R</v>
      </c>
      <c r="AS298" s="3">
        <v>380</v>
      </c>
      <c r="AT298" s="3" t="str">
        <f>IFERROR(MID(VLOOKUP($B298,Seqs!$A:$B,2,0),AU298,1),"")</f>
        <v>V</v>
      </c>
      <c r="AU298" s="3">
        <v>405</v>
      </c>
      <c r="AV298" s="3" t="str">
        <f>IFERROR(MID(VLOOKUP($B298,Seqs!$A:$B,2,0),AW298,1),"")</f>
        <v>N</v>
      </c>
      <c r="AW298" s="3">
        <v>406</v>
      </c>
      <c r="AX298" s="3" t="str">
        <f>IFERROR(MID(VLOOKUP($B298,Seqs!$A:$B,2,0),AY298,1),"")</f>
        <v>L</v>
      </c>
      <c r="AY298" s="3">
        <v>422</v>
      </c>
      <c r="AZ298" s="77" t="str">
        <f>VLOOKUP(B298,Classification!A:D,2,0)</f>
        <v>B1</v>
      </c>
      <c r="BA298" s="94" t="str">
        <f>VLOOKUP(B298,Classification!A:D,4,0)</f>
        <v>Glucagonreceptorfamily</v>
      </c>
      <c r="BB298" s="27" t="b">
        <f t="shared" si="1118"/>
        <v>1</v>
      </c>
      <c r="BC298" s="23">
        <f t="shared" si="1119"/>
        <v>236</v>
      </c>
      <c r="BD298" s="4" t="s">
        <v>23</v>
      </c>
      <c r="BE298" s="3" t="s">
        <v>1381</v>
      </c>
      <c r="BF298" s="119">
        <v>3</v>
      </c>
      <c r="BG298" s="49" t="s">
        <v>1</v>
      </c>
      <c r="BH298" s="49" t="s">
        <v>1</v>
      </c>
      <c r="BI298" s="1"/>
      <c r="BJ298" s="70" t="s">
        <v>1293</v>
      </c>
      <c r="BK298" s="57" t="s">
        <v>1293</v>
      </c>
      <c r="BL298" s="57" t="s">
        <v>1293</v>
      </c>
      <c r="BM298" s="57" t="s">
        <v>1293</v>
      </c>
      <c r="BN298" s="57" t="s">
        <v>1293</v>
      </c>
      <c r="BO298" s="57" t="s">
        <v>1293</v>
      </c>
      <c r="BP298" s="57" t="s">
        <v>1293</v>
      </c>
      <c r="BQ298" s="57" t="s">
        <v>1293</v>
      </c>
      <c r="BR298" s="57" t="s">
        <v>1293</v>
      </c>
      <c r="BS298" s="57" t="s">
        <v>1293</v>
      </c>
      <c r="BT298" s="57" t="s">
        <v>1293</v>
      </c>
      <c r="BU298" s="57" t="s">
        <v>1293</v>
      </c>
      <c r="BV298" s="70">
        <f t="shared" si="1120"/>
        <v>136</v>
      </c>
      <c r="BW298" s="71">
        <f t="shared" si="1121"/>
        <v>170</v>
      </c>
      <c r="BX298" s="72">
        <f t="shared" si="1122"/>
        <v>174</v>
      </c>
      <c r="BY298" s="71" t="str">
        <f t="shared" si="1123"/>
        <v>-</v>
      </c>
      <c r="BZ298" s="72">
        <f t="shared" si="1124"/>
        <v>224</v>
      </c>
      <c r="CA298" s="71" t="str">
        <f t="shared" si="1125"/>
        <v>-</v>
      </c>
      <c r="CB298" s="72">
        <f t="shared" si="1126"/>
        <v>262</v>
      </c>
      <c r="CC298" s="71">
        <f t="shared" si="1127"/>
        <v>296</v>
      </c>
      <c r="CD298" s="72">
        <f t="shared" si="1128"/>
        <v>305</v>
      </c>
      <c r="CE298" s="71">
        <f t="shared" si="1129"/>
        <v>344</v>
      </c>
      <c r="CF298" s="72">
        <f t="shared" si="1130"/>
        <v>380</v>
      </c>
      <c r="CG298" s="71">
        <f t="shared" si="1131"/>
        <v>406</v>
      </c>
      <c r="CH298" s="70">
        <f t="shared" si="1132"/>
        <v>169</v>
      </c>
      <c r="CI298" s="71">
        <f t="shared" si="1133"/>
        <v>173</v>
      </c>
      <c r="CJ298" s="72">
        <f t="shared" si="1134"/>
        <v>201</v>
      </c>
      <c r="CK298" s="72" t="str">
        <f t="shared" si="1135"/>
        <v>-</v>
      </c>
      <c r="CL298" s="72">
        <f t="shared" si="1136"/>
        <v>257</v>
      </c>
      <c r="CM298" s="72" t="str">
        <f t="shared" si="1137"/>
        <v>-</v>
      </c>
      <c r="CN298" s="72">
        <f t="shared" si="1138"/>
        <v>292</v>
      </c>
      <c r="CO298" s="72">
        <f t="shared" si="1139"/>
        <v>298</v>
      </c>
      <c r="CP298" s="72">
        <f t="shared" si="1140"/>
        <v>337</v>
      </c>
      <c r="CQ298" s="72">
        <f t="shared" si="1141"/>
        <v>367</v>
      </c>
      <c r="CR298" s="72">
        <f t="shared" si="1142"/>
        <v>405</v>
      </c>
      <c r="CS298" s="72">
        <f t="shared" si="1143"/>
        <v>422</v>
      </c>
      <c r="CT298" s="23">
        <f t="shared" si="1144"/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29" x14ac:dyDescent="0.2">
      <c r="A299" s="3" t="str">
        <f t="shared" si="1117"/>
        <v>glp1r_human_5NX2</v>
      </c>
      <c r="B299" s="3" t="s">
        <v>406</v>
      </c>
      <c r="C299" s="3" t="s">
        <v>1428</v>
      </c>
      <c r="D299" s="3" t="str">
        <f>IFERROR(MID(VLOOKUP($B299,Seqs!$A:$B,2,0),E299,1),"")</f>
        <v>E</v>
      </c>
      <c r="E299" s="3">
        <v>138</v>
      </c>
      <c r="F299" s="3" t="str">
        <f>IFERROR(MID(VLOOKUP($B299,Seqs!$A:$B,2,0),G299,1),"")</f>
        <v>F</v>
      </c>
      <c r="G299" s="3">
        <v>169</v>
      </c>
      <c r="H299" s="3" t="str">
        <f>IFERROR(MID(VLOOKUP($B299,Seqs!$A:$B,2,0),I299,1),"")</f>
        <v>R</v>
      </c>
      <c r="I299" s="23">
        <v>170</v>
      </c>
      <c r="J299" s="3" t="str">
        <f>IFERROR(MID(VLOOKUP($B299,Seqs!$A:$B,2,0),K299,1),"")</f>
        <v>H</v>
      </c>
      <c r="K299" s="23">
        <v>173</v>
      </c>
      <c r="L299" s="3" t="str">
        <f>IFERROR(MID(VLOOKUP($B299,Seqs!$A:$B,2,0),M299,1),"")</f>
        <v>C</v>
      </c>
      <c r="M299" s="23">
        <v>174</v>
      </c>
      <c r="N299" s="3" t="str">
        <f>IFERROR(MID(VLOOKUP($B299,Seqs!$A:$B,2,0),O299,1),"")</f>
        <v>S</v>
      </c>
      <c r="O299" s="3">
        <v>206</v>
      </c>
      <c r="P299" s="3" t="str">
        <f>IFERROR(MID(VLOOKUP($B299,Seqs!$A:$B,2,0),Q299,1),"")</f>
        <v/>
      </c>
      <c r="Q299" s="3" t="s">
        <v>23</v>
      </c>
      <c r="R299" s="3" t="str">
        <f>IFERROR(MID(VLOOKUP($B299,Seqs!$A:$B,2,0),S299,1),"")</f>
        <v/>
      </c>
      <c r="S299" s="3" t="s">
        <v>23</v>
      </c>
      <c r="T299" s="3" t="str">
        <f>IFERROR(MID(VLOOKUP($B299,Seqs!$A:$B,2,0),U299,1),"")</f>
        <v>L</v>
      </c>
      <c r="U299" s="3">
        <v>224</v>
      </c>
      <c r="V299" s="3" t="str">
        <f>IFERROR(MID(VLOOKUP($B299,Seqs!$A:$B,2,0),W299,1),"")</f>
        <v>F</v>
      </c>
      <c r="W299" s="3">
        <v>257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E</v>
      </c>
      <c r="AC299" s="3">
        <v>262</v>
      </c>
      <c r="AD299" s="3" t="str">
        <f>IFERROR(MID(VLOOKUP($B299,Seqs!$A:$B,2,0),AE299,1),"")</f>
        <v>Y</v>
      </c>
      <c r="AE299" s="3">
        <v>291</v>
      </c>
      <c r="AF299" s="3" t="str">
        <f>IFERROR(MID(VLOOKUP($B299,Seqs!$A:$B,2,0),AG299,1),"")</f>
        <v>C</v>
      </c>
      <c r="AG299" s="3">
        <v>296</v>
      </c>
      <c r="AH299" s="3" t="str">
        <f>IFERROR(MID(VLOOKUP($B299,Seqs!$A:$B,2,0),AI299,1),"")</f>
        <v>T</v>
      </c>
      <c r="AI299" s="3">
        <v>298</v>
      </c>
      <c r="AJ299" s="3" t="str">
        <f>IFERROR(MID(VLOOKUP($B299,Seqs!$A:$B,2,0),AK299,1),"")</f>
        <v>N</v>
      </c>
      <c r="AK299" s="3">
        <v>302</v>
      </c>
      <c r="AL299" s="3" t="str">
        <f>IFERROR(MID(VLOOKUP($B299,Seqs!$A:$B,2,0),AM299,1),"")</f>
        <v>L</v>
      </c>
      <c r="AM299" s="3">
        <v>335</v>
      </c>
      <c r="AN299" s="3" t="str">
        <f>IFERROR(MID(VLOOKUP($B299,Seqs!$A:$B,2,0),AO299,1),"")</f>
        <v>M</v>
      </c>
      <c r="AO299" s="3">
        <v>340</v>
      </c>
      <c r="AP299" s="3" t="str">
        <f>IFERROR(MID(VLOOKUP($B299,Seqs!$A:$B,2,0),AQ299,1),"")</f>
        <v>F</v>
      </c>
      <c r="AQ299" s="3">
        <v>369</v>
      </c>
      <c r="AR299" s="3" t="str">
        <f>IFERROR(MID(VLOOKUP($B299,Seqs!$A:$B,2,0),AS299,1),"")</f>
        <v>G</v>
      </c>
      <c r="AS299" s="3">
        <v>377</v>
      </c>
      <c r="AT299" s="3" t="str">
        <f>IFERROR(MID(VLOOKUP($B299,Seqs!$A:$B,2,0),AU299,1),"")</f>
        <v>V</v>
      </c>
      <c r="AU299" s="3">
        <v>405</v>
      </c>
      <c r="AV299" s="3" t="str">
        <f>IFERROR(MID(VLOOKUP($B299,Seqs!$A:$B,2,0),AW299,1),"")</f>
        <v>N</v>
      </c>
      <c r="AW299" s="3">
        <v>406</v>
      </c>
      <c r="AX299" s="3" t="str">
        <f>IFERROR(MID(VLOOKUP($B299,Seqs!$A:$B,2,0),AY299,1),"")</f>
        <v>S</v>
      </c>
      <c r="AY299" s="3">
        <v>416</v>
      </c>
      <c r="AZ299" s="77" t="str">
        <f>VLOOKUP(B299,Classification!A:D,2,0)</f>
        <v>B1</v>
      </c>
      <c r="BA299" s="94" t="str">
        <f>VLOOKUP(B299,Classification!A:D,4,0)</f>
        <v>Glucagonreceptorfamily</v>
      </c>
      <c r="BB299" s="27" t="b">
        <f t="shared" si="1118"/>
        <v>1</v>
      </c>
      <c r="BC299" s="23">
        <f t="shared" si="1119"/>
        <v>242</v>
      </c>
      <c r="BD299" s="4" t="s">
        <v>1440</v>
      </c>
      <c r="BE299" s="3" t="s">
        <v>1439</v>
      </c>
      <c r="BF299" s="119">
        <v>3.7</v>
      </c>
      <c r="BG299" s="49" t="s">
        <v>1</v>
      </c>
      <c r="BH299" s="49" t="s">
        <v>1</v>
      </c>
      <c r="BI299" s="1"/>
      <c r="BJ299" s="70" t="s">
        <v>1293</v>
      </c>
      <c r="BK299" s="57" t="s">
        <v>1293</v>
      </c>
      <c r="BL299" s="57" t="s">
        <v>1293</v>
      </c>
      <c r="BM299" s="57" t="s">
        <v>1293</v>
      </c>
      <c r="BN299" s="57" t="s">
        <v>1293</v>
      </c>
      <c r="BO299" s="57" t="s">
        <v>1293</v>
      </c>
      <c r="BP299" s="57" t="s">
        <v>1293</v>
      </c>
      <c r="BQ299" s="57" t="s">
        <v>1293</v>
      </c>
      <c r="BR299" s="57" t="s">
        <v>1293</v>
      </c>
      <c r="BS299" s="57" t="s">
        <v>1293</v>
      </c>
      <c r="BT299" s="57" t="s">
        <v>1293</v>
      </c>
      <c r="BU299" s="57" t="s">
        <v>1293</v>
      </c>
      <c r="BV299" s="70">
        <f t="shared" si="1120"/>
        <v>138</v>
      </c>
      <c r="BW299" s="71">
        <f t="shared" si="1121"/>
        <v>170</v>
      </c>
      <c r="BX299" s="72">
        <f t="shared" si="1122"/>
        <v>174</v>
      </c>
      <c r="BY299" s="71" t="str">
        <f t="shared" si="1123"/>
        <v>-</v>
      </c>
      <c r="BZ299" s="72">
        <f t="shared" si="1124"/>
        <v>224</v>
      </c>
      <c r="CA299" s="71" t="str">
        <f t="shared" si="1125"/>
        <v>-</v>
      </c>
      <c r="CB299" s="72">
        <f t="shared" si="1126"/>
        <v>262</v>
      </c>
      <c r="CC299" s="71">
        <f t="shared" si="1127"/>
        <v>296</v>
      </c>
      <c r="CD299" s="72">
        <f t="shared" si="1128"/>
        <v>302</v>
      </c>
      <c r="CE299" s="71">
        <f t="shared" si="1129"/>
        <v>340</v>
      </c>
      <c r="CF299" s="72">
        <f t="shared" si="1130"/>
        <v>377</v>
      </c>
      <c r="CG299" s="71">
        <f t="shared" si="1131"/>
        <v>406</v>
      </c>
      <c r="CH299" s="70">
        <f t="shared" si="1132"/>
        <v>169</v>
      </c>
      <c r="CI299" s="71">
        <f t="shared" si="1133"/>
        <v>173</v>
      </c>
      <c r="CJ299" s="72">
        <f t="shared" si="1134"/>
        <v>206</v>
      </c>
      <c r="CK299" s="72" t="str">
        <f t="shared" si="1135"/>
        <v>-</v>
      </c>
      <c r="CL299" s="72">
        <f t="shared" si="1136"/>
        <v>257</v>
      </c>
      <c r="CM299" s="72" t="str">
        <f t="shared" si="1137"/>
        <v>-</v>
      </c>
      <c r="CN299" s="72">
        <f t="shared" si="1138"/>
        <v>291</v>
      </c>
      <c r="CO299" s="72">
        <f t="shared" si="1139"/>
        <v>298</v>
      </c>
      <c r="CP299" s="72">
        <f t="shared" si="1140"/>
        <v>335</v>
      </c>
      <c r="CQ299" s="72">
        <f t="shared" si="1141"/>
        <v>369</v>
      </c>
      <c r="CR299" s="72">
        <f t="shared" si="1142"/>
        <v>405</v>
      </c>
      <c r="CS299" s="72">
        <f t="shared" si="1143"/>
        <v>416</v>
      </c>
      <c r="CT299" s="23">
        <f t="shared" si="1144"/>
        <v>1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29" x14ac:dyDescent="0.2">
      <c r="A300" s="3" t="str">
        <f t="shared" si="1117"/>
        <v>glp1r_human_6B3J</v>
      </c>
      <c r="B300" s="3" t="s">
        <v>406</v>
      </c>
      <c r="C300" s="3" t="s">
        <v>1486</v>
      </c>
      <c r="D300" s="3" t="str">
        <f>IFERROR(MID(VLOOKUP($B300,Seqs!$A:$B,2,0),E300,1),"")</f>
        <v>E</v>
      </c>
      <c r="E300" s="3">
        <v>138</v>
      </c>
      <c r="F300" s="3" t="str">
        <f>IFERROR(MID(VLOOKUP($B300,Seqs!$A:$B,2,0),G300,1),"")</f>
        <v>F</v>
      </c>
      <c r="G300" s="3">
        <v>169</v>
      </c>
      <c r="H300" s="3" t="str">
        <f>IFERROR(MID(VLOOKUP($B300,Seqs!$A:$B,2,0),I300,1),"")</f>
        <v/>
      </c>
      <c r="I300" s="23" t="s">
        <v>23</v>
      </c>
      <c r="J300" s="3" t="str">
        <f>IFERROR(MID(VLOOKUP($B300,Seqs!$A:$B,2,0),K300,1),"")</f>
        <v/>
      </c>
      <c r="K300" s="23" t="s">
        <v>23</v>
      </c>
      <c r="L300" s="3" t="str">
        <f>IFERROR(MID(VLOOKUP($B300,Seqs!$A:$B,2,0),M300,1),"")</f>
        <v>C</v>
      </c>
      <c r="M300" s="23">
        <v>174</v>
      </c>
      <c r="N300" s="3" t="str">
        <f>IFERROR(MID(VLOOKUP($B300,Seqs!$A:$B,2,0),O300,1),"")</f>
        <v>Y</v>
      </c>
      <c r="O300" s="3">
        <v>205</v>
      </c>
      <c r="P300" s="3" t="str">
        <f>IFERROR(MID(VLOOKUP($B300,Seqs!$A:$B,2,0),Q300,1),"")</f>
        <v/>
      </c>
      <c r="Q300" s="3" t="s">
        <v>23</v>
      </c>
      <c r="R300" s="3" t="str">
        <f>IFERROR(MID(VLOOKUP($B300,Seqs!$A:$B,2,0),S300,1),"")</f>
        <v/>
      </c>
      <c r="S300" s="3" t="s">
        <v>23</v>
      </c>
      <c r="T300" s="3" t="str">
        <f>IFERROR(MID(VLOOKUP($B300,Seqs!$A:$B,2,0),U300,1),"")</f>
        <v>S</v>
      </c>
      <c r="U300" s="3">
        <v>225</v>
      </c>
      <c r="V300" s="3" t="str">
        <f>IFERROR(MID(VLOOKUP($B300,Seqs!$A:$B,2,0),W300,1),"")</f>
        <v>F</v>
      </c>
      <c r="W300" s="3">
        <v>257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S</v>
      </c>
      <c r="AC300" s="3">
        <v>261</v>
      </c>
      <c r="AD300" s="3" t="str">
        <f>IFERROR(MID(VLOOKUP($B300,Seqs!$A:$B,2,0),AE300,1),"")</f>
        <v>E</v>
      </c>
      <c r="AE300" s="3">
        <v>292</v>
      </c>
      <c r="AF300" s="3" t="str">
        <f>IFERROR(MID(VLOOKUP($B300,Seqs!$A:$B,2,0),AG300,1),"")</f>
        <v>C</v>
      </c>
      <c r="AG300" s="3">
        <v>296</v>
      </c>
      <c r="AH300" s="3" t="str">
        <f>IFERROR(MID(VLOOKUP($B300,Seqs!$A:$B,2,0),AI300,1),"")</f>
        <v>T</v>
      </c>
      <c r="AI300" s="3">
        <v>298</v>
      </c>
      <c r="AJ300" s="3" t="str">
        <f>IFERROR(MID(VLOOKUP($B300,Seqs!$A:$B,2,0),AK300,1),"")</f>
        <v>N</v>
      </c>
      <c r="AK300" s="3">
        <v>302</v>
      </c>
      <c r="AL300" s="3" t="str">
        <f>IFERROR(MID(VLOOKUP($B300,Seqs!$A:$B,2,0),AM300,1),"")</f>
        <v>A</v>
      </c>
      <c r="AM300" s="3">
        <v>337</v>
      </c>
      <c r="AN300" s="3" t="str">
        <f>IFERROR(MID(VLOOKUP($B300,Seqs!$A:$B,2,0),AO300,1),"")</f>
        <v>D</v>
      </c>
      <c r="AO300" s="3">
        <v>344</v>
      </c>
      <c r="AP300" s="3" t="str">
        <f>IFERROR(MID(VLOOKUP($B300,Seqs!$A:$B,2,0),AQ300,1),"")</f>
        <v>F</v>
      </c>
      <c r="AQ300" s="3">
        <v>369</v>
      </c>
      <c r="AR300" s="3" t="str">
        <f>IFERROR(MID(VLOOKUP($B300,Seqs!$A:$B,2,0),AS300,1),"")</f>
        <v>R</v>
      </c>
      <c r="AS300" s="3">
        <v>380</v>
      </c>
      <c r="AT300" s="3" t="str">
        <f>IFERROR(MID(VLOOKUP($B300,Seqs!$A:$B,2,0),AU300,1),"")</f>
        <v>V</v>
      </c>
      <c r="AU300" s="3">
        <v>405</v>
      </c>
      <c r="AV300" s="3" t="str">
        <f>IFERROR(MID(VLOOKUP($B300,Seqs!$A:$B,2,0),AW300,1),"")</f>
        <v>N</v>
      </c>
      <c r="AW300" s="3">
        <v>406</v>
      </c>
      <c r="AX300" s="3" t="str">
        <f>IFERROR(MID(VLOOKUP($B300,Seqs!$A:$B,2,0),AY300,1),"")</f>
        <v>E</v>
      </c>
      <c r="AY300" s="3">
        <v>423</v>
      </c>
      <c r="AZ300" s="77" t="str">
        <f>VLOOKUP(B300,Classification!A:D,2,0)</f>
        <v>B1</v>
      </c>
      <c r="BA300" s="94" t="str">
        <f>VLOOKUP(B300,Classification!A:D,4,0)</f>
        <v>Glucagonreceptorfamily</v>
      </c>
      <c r="BB300" s="27" t="b">
        <f t="shared" si="1118"/>
        <v>1</v>
      </c>
      <c r="BC300" s="23">
        <f t="shared" si="1119"/>
        <v>241</v>
      </c>
      <c r="BD300" s="4" t="s">
        <v>1382</v>
      </c>
      <c r="BE300" s="3" t="s">
        <v>1297</v>
      </c>
      <c r="BF300" s="119">
        <v>3.3</v>
      </c>
      <c r="BG300" s="49" t="s">
        <v>1433</v>
      </c>
      <c r="BH300" s="49" t="s">
        <v>1433</v>
      </c>
      <c r="BI300" s="1"/>
      <c r="BJ300" s="70" t="s">
        <v>1293</v>
      </c>
      <c r="BK300" s="57" t="s">
        <v>1293</v>
      </c>
      <c r="BL300" s="57" t="s">
        <v>1293</v>
      </c>
      <c r="BM300" s="57" t="s">
        <v>1293</v>
      </c>
      <c r="BN300" s="57" t="s">
        <v>1293</v>
      </c>
      <c r="BO300" s="57" t="s">
        <v>1293</v>
      </c>
      <c r="BP300" s="57" t="s">
        <v>1293</v>
      </c>
      <c r="BQ300" s="57" t="s">
        <v>1293</v>
      </c>
      <c r="BR300" s="57" t="s">
        <v>1293</v>
      </c>
      <c r="BS300" s="57" t="s">
        <v>1293</v>
      </c>
      <c r="BT300" s="57" t="s">
        <v>1293</v>
      </c>
      <c r="BU300" s="57" t="s">
        <v>1293</v>
      </c>
      <c r="BV300" s="70">
        <f t="shared" si="1120"/>
        <v>138</v>
      </c>
      <c r="BW300" s="71" t="str">
        <f t="shared" si="1121"/>
        <v>-</v>
      </c>
      <c r="BX300" s="72">
        <f t="shared" si="1122"/>
        <v>174</v>
      </c>
      <c r="BY300" s="71" t="str">
        <f t="shared" si="1123"/>
        <v>-</v>
      </c>
      <c r="BZ300" s="72">
        <f t="shared" si="1124"/>
        <v>225</v>
      </c>
      <c r="CA300" s="71" t="str">
        <f t="shared" si="1125"/>
        <v>-</v>
      </c>
      <c r="CB300" s="72">
        <f t="shared" si="1126"/>
        <v>261</v>
      </c>
      <c r="CC300" s="71">
        <f t="shared" si="1127"/>
        <v>296</v>
      </c>
      <c r="CD300" s="72">
        <f t="shared" si="1128"/>
        <v>302</v>
      </c>
      <c r="CE300" s="71">
        <f t="shared" si="1129"/>
        <v>344</v>
      </c>
      <c r="CF300" s="72">
        <f t="shared" si="1130"/>
        <v>380</v>
      </c>
      <c r="CG300" s="71">
        <f t="shared" si="1131"/>
        <v>406</v>
      </c>
      <c r="CH300" s="70">
        <f t="shared" si="1132"/>
        <v>169</v>
      </c>
      <c r="CI300" s="71" t="str">
        <f t="shared" si="1133"/>
        <v>-</v>
      </c>
      <c r="CJ300" s="72">
        <f t="shared" si="1134"/>
        <v>205</v>
      </c>
      <c r="CK300" s="72" t="str">
        <f t="shared" si="1135"/>
        <v>-</v>
      </c>
      <c r="CL300" s="72">
        <f t="shared" si="1136"/>
        <v>257</v>
      </c>
      <c r="CM300" s="72" t="str">
        <f t="shared" si="1137"/>
        <v>-</v>
      </c>
      <c r="CN300" s="72">
        <f t="shared" si="1138"/>
        <v>292</v>
      </c>
      <c r="CO300" s="72">
        <f t="shared" si="1139"/>
        <v>298</v>
      </c>
      <c r="CP300" s="72">
        <f t="shared" si="1140"/>
        <v>337</v>
      </c>
      <c r="CQ300" s="72">
        <f t="shared" si="1141"/>
        <v>369</v>
      </c>
      <c r="CR300" s="72">
        <f t="shared" si="1142"/>
        <v>405</v>
      </c>
      <c r="CS300" s="72">
        <f t="shared" si="1143"/>
        <v>423</v>
      </c>
      <c r="CT300" s="23" t="e">
        <f t="shared" si="1144"/>
        <v>#VALUE!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3" t="str">
        <f t="shared" si="1117"/>
        <v>g1sgd4_rabit__wt</v>
      </c>
      <c r="B301" s="3" t="s">
        <v>1430</v>
      </c>
      <c r="C301" s="3" t="s">
        <v>100</v>
      </c>
      <c r="D301" s="3" t="str">
        <f>IFERROR(MID(VLOOKUP($B301,Seqs!$A:$B,2,0),E301,1),"")</f>
        <v>P</v>
      </c>
      <c r="E301" s="3">
        <v>137</v>
      </c>
      <c r="F301" s="3" t="str">
        <f>IFERROR(MID(VLOOKUP($B301,Seqs!$A:$B,2,0),G301,1),"")</f>
        <v>F</v>
      </c>
      <c r="G301" s="3">
        <v>169</v>
      </c>
      <c r="H301" s="3" t="str">
        <f>IFERROR(MID(VLOOKUP($B301,Seqs!$A:$B,2,0),I301,1),"")</f>
        <v>R</v>
      </c>
      <c r="I301" s="23">
        <v>170</v>
      </c>
      <c r="J301" s="3" t="str">
        <f>IFERROR(MID(VLOOKUP($B301,Seqs!$A:$B,2,0),K301,1),"")</f>
        <v>H</v>
      </c>
      <c r="K301" s="23">
        <v>173</v>
      </c>
      <c r="L301" s="3" t="str">
        <f>IFERROR(MID(VLOOKUP($B301,Seqs!$A:$B,2,0),M301,1),"")</f>
        <v>C</v>
      </c>
      <c r="M301" s="23">
        <v>174</v>
      </c>
      <c r="N301" s="3" t="str">
        <f>IFERROR(MID(VLOOKUP($B301,Seqs!$A:$B,2,0),O301,1),"")</f>
        <v>Q</v>
      </c>
      <c r="O301" s="3">
        <v>211</v>
      </c>
      <c r="P301" s="3" t="str">
        <f>IFERROR(MID(VLOOKUP($B301,Seqs!$A:$B,2,0),Q301,1),"")</f>
        <v/>
      </c>
      <c r="Q301" s="3" t="s">
        <v>23</v>
      </c>
      <c r="R301" s="3" t="str">
        <f>IFERROR(MID(VLOOKUP($B301,Seqs!$A:$B,2,0),S301,1),"")</f>
        <v/>
      </c>
      <c r="S301" s="3" t="s">
        <v>23</v>
      </c>
      <c r="T301" s="3" t="str">
        <f>IFERROR(MID(VLOOKUP($B301,Seqs!$A:$B,2,0),U301,1),"")</f>
        <v>L</v>
      </c>
      <c r="U301" s="3">
        <v>224</v>
      </c>
      <c r="V301" s="3" t="str">
        <f>IFERROR(MID(VLOOKUP($B301,Seqs!$A:$B,2,0),W301,1),"")</f>
        <v>F</v>
      </c>
      <c r="W301" s="3">
        <v>257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S</v>
      </c>
      <c r="AC301" s="3">
        <v>261</v>
      </c>
      <c r="AD301" s="3" t="str">
        <f>IFERROR(MID(VLOOKUP($B301,Seqs!$A:$B,2,0),AE301,1),"")</f>
        <v>E</v>
      </c>
      <c r="AE301" s="3">
        <v>292</v>
      </c>
      <c r="AF301" s="3" t="str">
        <f>IFERROR(MID(VLOOKUP($B301,Seqs!$A:$B,2,0),AG301,1),"")</f>
        <v>C</v>
      </c>
      <c r="AG301" s="3">
        <v>296</v>
      </c>
      <c r="AH301" s="3" t="str">
        <f>IFERROR(MID(VLOOKUP($B301,Seqs!$A:$B,2,0),AI301,1),"")</f>
        <v>T</v>
      </c>
      <c r="AI301" s="3">
        <v>298</v>
      </c>
      <c r="AJ301" s="3" t="str">
        <f>IFERROR(MID(VLOOKUP($B301,Seqs!$A:$B,2,0),AK301,1),"")</f>
        <v>Y</v>
      </c>
      <c r="AK301" s="3">
        <v>305</v>
      </c>
      <c r="AL301" s="3" t="str">
        <f>IFERROR(MID(VLOOKUP($B301,Seqs!$A:$B,2,0),AM301,1),"")</f>
        <v>A</v>
      </c>
      <c r="AM301" s="3">
        <v>337</v>
      </c>
      <c r="AN301" s="3" t="str">
        <f>IFERROR(MID(VLOOKUP($B301,Seqs!$A:$B,2,0),AO301,1),"")</f>
        <v>K</v>
      </c>
      <c r="AO301" s="3">
        <v>346</v>
      </c>
      <c r="AP301" s="3" t="str">
        <f>IFERROR(MID(VLOOKUP($B301,Seqs!$A:$B,2,0),AQ301,1),"")</f>
        <v>F</v>
      </c>
      <c r="AQ301" s="3">
        <v>369</v>
      </c>
      <c r="AR301" s="3" t="str">
        <f>IFERROR(MID(VLOOKUP($B301,Seqs!$A:$B,2,0),AS301,1),"")</f>
        <v>L</v>
      </c>
      <c r="AS301" s="3">
        <v>379</v>
      </c>
      <c r="AT301" s="3" t="str">
        <f>IFERROR(MID(VLOOKUP($B301,Seqs!$A:$B,2,0),AU301,1),"")</f>
        <v>V</v>
      </c>
      <c r="AU301" s="3">
        <v>405</v>
      </c>
      <c r="AV301" s="3" t="str">
        <f>IFERROR(MID(VLOOKUP($B301,Seqs!$A:$B,2,0),AW301,1),"")</f>
        <v>N</v>
      </c>
      <c r="AW301" s="3">
        <v>406</v>
      </c>
      <c r="AX301" s="3" t="str">
        <f>IFERROR(MID(VLOOKUP($B301,Seqs!$A:$B,2,0),AY301,1),"")</f>
        <v>S</v>
      </c>
      <c r="AY301" s="3">
        <v>431</v>
      </c>
      <c r="AZ301" s="77" t="str">
        <f>VLOOKUP(B301,Classification!A:D,2,0)</f>
        <v>B1</v>
      </c>
      <c r="BA301" s="94" t="str">
        <f>VLOOKUP(B301,Classification!A:D,4,0)</f>
        <v>Glucagonreceptorfamily</v>
      </c>
      <c r="BB301" s="27" t="b">
        <f t="shared" si="1118"/>
        <v>1</v>
      </c>
      <c r="BC301" s="23">
        <f t="shared" si="1119"/>
        <v>256</v>
      </c>
      <c r="BD301" s="4" t="s">
        <v>23</v>
      </c>
      <c r="BE301" s="3" t="s">
        <v>23</v>
      </c>
      <c r="BF301" s="119" t="s">
        <v>23</v>
      </c>
      <c r="BI301" s="1"/>
      <c r="BJ301" s="70" t="s">
        <v>1293</v>
      </c>
      <c r="BK301" s="57" t="s">
        <v>1293</v>
      </c>
      <c r="BL301" s="57" t="s">
        <v>1293</v>
      </c>
      <c r="BM301" s="57" t="s">
        <v>1293</v>
      </c>
      <c r="BN301" s="57" t="s">
        <v>1293</v>
      </c>
      <c r="BO301" s="57" t="s">
        <v>1293</v>
      </c>
      <c r="BP301" s="57" t="s">
        <v>1293</v>
      </c>
      <c r="BQ301" s="57" t="s">
        <v>1293</v>
      </c>
      <c r="BR301" s="57" t="s">
        <v>1293</v>
      </c>
      <c r="BS301" s="57" t="s">
        <v>1293</v>
      </c>
      <c r="BT301" s="57" t="s">
        <v>1293</v>
      </c>
      <c r="BU301" s="57" t="s">
        <v>1293</v>
      </c>
      <c r="BV301" s="70">
        <f t="shared" si="1120"/>
        <v>137</v>
      </c>
      <c r="BW301" s="71">
        <f t="shared" si="1121"/>
        <v>170</v>
      </c>
      <c r="BX301" s="72">
        <f t="shared" si="1122"/>
        <v>174</v>
      </c>
      <c r="BY301" s="71" t="str">
        <f t="shared" si="1123"/>
        <v>-</v>
      </c>
      <c r="BZ301" s="72">
        <f t="shared" si="1124"/>
        <v>224</v>
      </c>
      <c r="CA301" s="71" t="str">
        <f t="shared" si="1125"/>
        <v>-</v>
      </c>
      <c r="CB301" s="72">
        <f t="shared" si="1126"/>
        <v>261</v>
      </c>
      <c r="CC301" s="71">
        <f t="shared" si="1127"/>
        <v>296</v>
      </c>
      <c r="CD301" s="72">
        <f t="shared" si="1128"/>
        <v>305</v>
      </c>
      <c r="CE301" s="71">
        <f t="shared" si="1129"/>
        <v>346</v>
      </c>
      <c r="CF301" s="72">
        <f t="shared" si="1130"/>
        <v>379</v>
      </c>
      <c r="CG301" s="71">
        <f t="shared" si="1131"/>
        <v>406</v>
      </c>
      <c r="CH301" s="70">
        <f t="shared" si="1132"/>
        <v>169</v>
      </c>
      <c r="CI301" s="71">
        <f t="shared" si="1133"/>
        <v>173</v>
      </c>
      <c r="CJ301" s="72">
        <f t="shared" si="1134"/>
        <v>211</v>
      </c>
      <c r="CK301" s="72" t="str">
        <f t="shared" si="1135"/>
        <v>-</v>
      </c>
      <c r="CL301" s="72">
        <f t="shared" si="1136"/>
        <v>257</v>
      </c>
      <c r="CM301" s="72" t="str">
        <f t="shared" si="1137"/>
        <v>-</v>
      </c>
      <c r="CN301" s="72">
        <f t="shared" si="1138"/>
        <v>292</v>
      </c>
      <c r="CO301" s="72">
        <f t="shared" si="1139"/>
        <v>298</v>
      </c>
      <c r="CP301" s="72">
        <f t="shared" si="1140"/>
        <v>337</v>
      </c>
      <c r="CQ301" s="72">
        <f t="shared" si="1141"/>
        <v>369</v>
      </c>
      <c r="CR301" s="72">
        <f t="shared" si="1142"/>
        <v>405</v>
      </c>
      <c r="CS301" s="72">
        <f t="shared" si="1143"/>
        <v>431</v>
      </c>
      <c r="CT301" s="23">
        <f t="shared" si="1144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3" t="str">
        <f t="shared" si="1117"/>
        <v>g1sgd4_rabit_5VAI</v>
      </c>
      <c r="B302" s="3" t="s">
        <v>1430</v>
      </c>
      <c r="C302" s="3" t="s">
        <v>1432</v>
      </c>
      <c r="D302" s="3" t="str">
        <f>IFERROR(MID(VLOOKUP($B302,Seqs!$A:$B,2,0),E302,1),"")</f>
        <v>P</v>
      </c>
      <c r="E302" s="3">
        <v>137</v>
      </c>
      <c r="F302" s="3" t="str">
        <f>IFERROR(MID(VLOOKUP($B302,Seqs!$A:$B,2,0),G302,1),"")</f>
        <v>G</v>
      </c>
      <c r="G302" s="3">
        <v>168</v>
      </c>
      <c r="H302" s="3" t="str">
        <f>IFERROR(MID(VLOOKUP($B302,Seqs!$A:$B,2,0),I302,1),"")</f>
        <v>R</v>
      </c>
      <c r="I302" s="23">
        <v>170</v>
      </c>
      <c r="J302" s="3" t="str">
        <f>IFERROR(MID(VLOOKUP($B302,Seqs!$A:$B,2,0),K302,1),"")</f>
        <v>H</v>
      </c>
      <c r="K302" s="23">
        <v>173</v>
      </c>
      <c r="L302" s="3" t="str">
        <f>IFERROR(MID(VLOOKUP($B302,Seqs!$A:$B,2,0),M302,1),"")</f>
        <v>C</v>
      </c>
      <c r="M302" s="23">
        <v>174</v>
      </c>
      <c r="N302" s="3" t="str">
        <f>IFERROR(MID(VLOOKUP($B302,Seqs!$A:$B,2,0),O302,1),"")</f>
        <v>Q</v>
      </c>
      <c r="O302" s="3">
        <v>211</v>
      </c>
      <c r="P302" s="3" t="str">
        <f>IFERROR(MID(VLOOKUP($B302,Seqs!$A:$B,2,0),Q302,1),"")</f>
        <v/>
      </c>
      <c r="Q302" s="3" t="s">
        <v>23</v>
      </c>
      <c r="R302" s="3" t="str">
        <f>IFERROR(MID(VLOOKUP($B302,Seqs!$A:$B,2,0),S302,1),"")</f>
        <v/>
      </c>
      <c r="S302" s="3" t="s">
        <v>23</v>
      </c>
      <c r="T302" s="3" t="str">
        <f>IFERROR(MID(VLOOKUP($B302,Seqs!$A:$B,2,0),U302,1),"")</f>
        <v>L</v>
      </c>
      <c r="U302" s="3">
        <v>224</v>
      </c>
      <c r="V302" s="3" t="str">
        <f>IFERROR(MID(VLOOKUP($B302,Seqs!$A:$B,2,0),W302,1),"")</f>
        <v>F</v>
      </c>
      <c r="W302" s="3">
        <v>257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S</v>
      </c>
      <c r="AC302" s="3">
        <v>261</v>
      </c>
      <c r="AD302" s="3" t="str">
        <f>IFERROR(MID(VLOOKUP($B302,Seqs!$A:$B,2,0),AE302,1),"")</f>
        <v>E</v>
      </c>
      <c r="AE302" s="3">
        <v>292</v>
      </c>
      <c r="AF302" s="3" t="str">
        <f>IFERROR(MID(VLOOKUP($B302,Seqs!$A:$B,2,0),AG302,1),"")</f>
        <v>C</v>
      </c>
      <c r="AG302" s="3">
        <v>296</v>
      </c>
      <c r="AH302" s="3" t="str">
        <f>IFERROR(MID(VLOOKUP($B302,Seqs!$A:$B,2,0),AI302,1),"")</f>
        <v>T</v>
      </c>
      <c r="AI302" s="3">
        <v>298</v>
      </c>
      <c r="AJ302" s="3" t="str">
        <f>IFERROR(MID(VLOOKUP($B302,Seqs!$A:$B,2,0),AK302,1),"")</f>
        <v>Y</v>
      </c>
      <c r="AK302" s="3">
        <v>305</v>
      </c>
      <c r="AL302" s="3" t="str">
        <f>IFERROR(MID(VLOOKUP($B302,Seqs!$A:$B,2,0),AM302,1),"")</f>
        <v>A</v>
      </c>
      <c r="AM302" s="3">
        <v>337</v>
      </c>
      <c r="AN302" s="3" t="str">
        <f>IFERROR(MID(VLOOKUP($B302,Seqs!$A:$B,2,0),AO302,1),"")</f>
        <v>K</v>
      </c>
      <c r="AO302" s="3">
        <v>346</v>
      </c>
      <c r="AP302" s="3" t="str">
        <f>IFERROR(MID(VLOOKUP($B302,Seqs!$A:$B,2,0),AQ302,1),"")</f>
        <v>F</v>
      </c>
      <c r="AQ302" s="3">
        <v>369</v>
      </c>
      <c r="AR302" s="3" t="str">
        <f>IFERROR(MID(VLOOKUP($B302,Seqs!$A:$B,2,0),AS302,1),"")</f>
        <v>L</v>
      </c>
      <c r="AS302" s="3">
        <v>379</v>
      </c>
      <c r="AT302" s="3" t="str">
        <f>IFERROR(MID(VLOOKUP($B302,Seqs!$A:$B,2,0),AU302,1),"")</f>
        <v>V</v>
      </c>
      <c r="AU302" s="3">
        <v>405</v>
      </c>
      <c r="AV302" s="3" t="str">
        <f>IFERROR(MID(VLOOKUP($B302,Seqs!$A:$B,2,0),AW302,1),"")</f>
        <v>N</v>
      </c>
      <c r="AW302" s="3">
        <v>406</v>
      </c>
      <c r="AX302" s="3" t="str">
        <f>IFERROR(MID(VLOOKUP($B302,Seqs!$A:$B,2,0),AY302,1),"")</f>
        <v>R</v>
      </c>
      <c r="AY302" s="3">
        <v>421</v>
      </c>
      <c r="AZ302" s="77" t="str">
        <f>VLOOKUP(B302,Classification!A:D,2,0)</f>
        <v>B1</v>
      </c>
      <c r="BA302" s="94" t="str">
        <f>VLOOKUP(B302,Classification!A:D,4,0)</f>
        <v>Glucagonreceptorfamily</v>
      </c>
      <c r="BB302" s="27" t="b">
        <f t="shared" si="1118"/>
        <v>1</v>
      </c>
      <c r="BC302" s="23">
        <f t="shared" si="1119"/>
        <v>245</v>
      </c>
      <c r="BD302" s="4" t="s">
        <v>1382</v>
      </c>
      <c r="BE302" s="3" t="s">
        <v>1297</v>
      </c>
      <c r="BF302" s="119">
        <v>4.0999999999999996</v>
      </c>
      <c r="BG302" s="49" t="s">
        <v>1433</v>
      </c>
      <c r="BH302" s="49" t="s">
        <v>1433</v>
      </c>
      <c r="BI302" s="1"/>
      <c r="BJ302" s="70" t="s">
        <v>1293</v>
      </c>
      <c r="BK302" s="57" t="s">
        <v>1293</v>
      </c>
      <c r="BL302" s="57" t="s">
        <v>1293</v>
      </c>
      <c r="BM302" s="57" t="s">
        <v>1293</v>
      </c>
      <c r="BN302" s="57" t="s">
        <v>1293</v>
      </c>
      <c r="BO302" s="57" t="s">
        <v>1293</v>
      </c>
      <c r="BP302" s="57" t="s">
        <v>1293</v>
      </c>
      <c r="BQ302" s="57" t="s">
        <v>1293</v>
      </c>
      <c r="BR302" s="57" t="s">
        <v>1293</v>
      </c>
      <c r="BS302" s="57" t="s">
        <v>1293</v>
      </c>
      <c r="BT302" s="57" t="s">
        <v>1293</v>
      </c>
      <c r="BU302" s="57" t="s">
        <v>1293</v>
      </c>
      <c r="BV302" s="70">
        <f t="shared" si="1120"/>
        <v>137</v>
      </c>
      <c r="BW302" s="71">
        <f t="shared" si="1121"/>
        <v>170</v>
      </c>
      <c r="BX302" s="72">
        <f t="shared" si="1122"/>
        <v>174</v>
      </c>
      <c r="BY302" s="71" t="str">
        <f t="shared" si="1123"/>
        <v>-</v>
      </c>
      <c r="BZ302" s="72">
        <f t="shared" si="1124"/>
        <v>224</v>
      </c>
      <c r="CA302" s="71" t="str">
        <f t="shared" si="1125"/>
        <v>-</v>
      </c>
      <c r="CB302" s="72">
        <f t="shared" si="1126"/>
        <v>261</v>
      </c>
      <c r="CC302" s="71">
        <f t="shared" si="1127"/>
        <v>296</v>
      </c>
      <c r="CD302" s="72">
        <f t="shared" si="1128"/>
        <v>305</v>
      </c>
      <c r="CE302" s="71">
        <f t="shared" si="1129"/>
        <v>346</v>
      </c>
      <c r="CF302" s="72">
        <f t="shared" si="1130"/>
        <v>379</v>
      </c>
      <c r="CG302" s="71">
        <f t="shared" si="1131"/>
        <v>406</v>
      </c>
      <c r="CH302" s="70">
        <f t="shared" si="1132"/>
        <v>168</v>
      </c>
      <c r="CI302" s="71">
        <f t="shared" si="1133"/>
        <v>173</v>
      </c>
      <c r="CJ302" s="72">
        <f t="shared" si="1134"/>
        <v>211</v>
      </c>
      <c r="CK302" s="72" t="str">
        <f t="shared" si="1135"/>
        <v>-</v>
      </c>
      <c r="CL302" s="72">
        <f t="shared" si="1136"/>
        <v>257</v>
      </c>
      <c r="CM302" s="72" t="str">
        <f t="shared" si="1137"/>
        <v>-</v>
      </c>
      <c r="CN302" s="72">
        <f t="shared" si="1138"/>
        <v>292</v>
      </c>
      <c r="CO302" s="72">
        <f t="shared" si="1139"/>
        <v>298</v>
      </c>
      <c r="CP302" s="72">
        <f t="shared" si="1140"/>
        <v>337</v>
      </c>
      <c r="CQ302" s="72">
        <f t="shared" si="1141"/>
        <v>369</v>
      </c>
      <c r="CR302" s="72">
        <f t="shared" si="1142"/>
        <v>405</v>
      </c>
      <c r="CS302" s="72">
        <f t="shared" si="1143"/>
        <v>421</v>
      </c>
      <c r="CT302" s="23">
        <f t="shared" si="1144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s="12" customFormat="1" x14ac:dyDescent="0.2">
      <c r="A303" s="9" t="str">
        <f t="shared" ref="A303" si="1145">CONCATENATE(B303,"_",C303)</f>
        <v>pth1r_human__wt</v>
      </c>
      <c r="B303" s="9" t="s">
        <v>409</v>
      </c>
      <c r="C303" s="9" t="s">
        <v>100</v>
      </c>
      <c r="D303" s="9" t="str">
        <f>IFERROR(MID(VLOOKUP($B303,Seqs!$A:$B,2,0),E303,1),"")</f>
        <v>R</v>
      </c>
      <c r="E303" s="9">
        <v>179</v>
      </c>
      <c r="F303" s="9" t="str">
        <f>IFERROR(MID(VLOOKUP($B303,Seqs!$A:$B,2,0),G303,1),"")</f>
        <v>F</v>
      </c>
      <c r="G303" s="9">
        <v>212</v>
      </c>
      <c r="H303" s="9" t="str">
        <f>IFERROR(MID(VLOOKUP($B303,Seqs!$A:$B,2,0),I303,1),"")</f>
        <v>R</v>
      </c>
      <c r="I303" s="109">
        <v>213</v>
      </c>
      <c r="J303" s="9" t="str">
        <f>IFERROR(MID(VLOOKUP($B303,Seqs!$A:$B,2,0),K303,1),"")</f>
        <v>H</v>
      </c>
      <c r="K303" s="109">
        <v>216</v>
      </c>
      <c r="L303" s="9" t="str">
        <f>IFERROR(MID(VLOOKUP($B303,Seqs!$A:$B,2,0),M303,1),"")</f>
        <v>C</v>
      </c>
      <c r="M303" s="109">
        <v>217</v>
      </c>
      <c r="N303" s="9" t="str">
        <f>IFERROR(MID(VLOOKUP($B303,Seqs!$A:$B,2,0),O303,1),"")</f>
        <v>T</v>
      </c>
      <c r="O303" s="9">
        <v>249</v>
      </c>
      <c r="P303" s="9" t="str">
        <f>IFERROR(MID(VLOOKUP($B303,Seqs!$A:$B,2,0),Q303,1),"")</f>
        <v/>
      </c>
      <c r="Q303" s="9" t="s">
        <v>23</v>
      </c>
      <c r="R303" s="9" t="str">
        <f>IFERROR(MID(VLOOKUP($B303,Seqs!$A:$B,2,0),S303,1),"")</f>
        <v/>
      </c>
      <c r="S303" s="9" t="s">
        <v>23</v>
      </c>
      <c r="T303" s="9" t="str">
        <f>IFERROR(MID(VLOOKUP($B303,Seqs!$A:$B,2,0),U303,1),"")</f>
        <v>G</v>
      </c>
      <c r="U303" s="9">
        <v>277</v>
      </c>
      <c r="V303" s="9" t="str">
        <f>IFERROR(MID(VLOOKUP($B303,Seqs!$A:$B,2,0),W303,1),"")</f>
        <v>M</v>
      </c>
      <c r="W303" s="9">
        <v>312</v>
      </c>
      <c r="X303" s="9" t="str">
        <f>IFERROR(MID(VLOOKUP($B303,Seqs!$A:$B,2,0),Y303,1),"")</f>
        <v/>
      </c>
      <c r="Y303" s="9" t="s">
        <v>23</v>
      </c>
      <c r="Z303" s="9" t="str">
        <f>IFERROR(MID(VLOOKUP($B303,Seqs!$A:$B,2,0),AA303,1),"")</f>
        <v/>
      </c>
      <c r="AA303" s="9" t="s">
        <v>23</v>
      </c>
      <c r="AB303" s="9" t="str">
        <f>IFERROR(MID(VLOOKUP($B303,Seqs!$A:$B,2,0),AC303,1),"")</f>
        <v>S</v>
      </c>
      <c r="AC303" s="9">
        <v>316</v>
      </c>
      <c r="AD303" s="9" t="str">
        <f>IFERROR(MID(VLOOKUP($B303,Seqs!$A:$B,2,0),AE303,1),"")</f>
        <v>A</v>
      </c>
      <c r="AE303" s="9">
        <v>347</v>
      </c>
      <c r="AF303" s="9" t="str">
        <f>IFERROR(MID(VLOOKUP($B303,Seqs!$A:$B,2,0),AG303,1),"")</f>
        <v>C</v>
      </c>
      <c r="AG303" s="9">
        <v>351</v>
      </c>
      <c r="AH303" s="9" t="str">
        <f>IFERROR(MID(VLOOKUP($B303,Seqs!$A:$B,2,0),AI303,1),"")</f>
        <v>D</v>
      </c>
      <c r="AI303" s="9">
        <v>353</v>
      </c>
      <c r="AJ303" s="9" t="str">
        <f>IFERROR(MID(VLOOKUP($B303,Seqs!$A:$B,2,0),AK303,1),"")</f>
        <v>N</v>
      </c>
      <c r="AK303" s="9">
        <v>358</v>
      </c>
      <c r="AL303" s="9" t="str">
        <f>IFERROR(MID(VLOOKUP($B303,Seqs!$A:$B,2,0),AM303,1),"")</f>
        <v>L</v>
      </c>
      <c r="AM303" s="9">
        <v>389</v>
      </c>
      <c r="AN303" s="9" t="str">
        <f>IFERROR(MID(VLOOKUP($B303,Seqs!$A:$B,2,0),AO303,1),"")</f>
        <v>D</v>
      </c>
      <c r="AO303" s="9">
        <v>398</v>
      </c>
      <c r="AP303" s="9" t="str">
        <f>IFERROR(MID(VLOOKUP($B303,Seqs!$A:$B,2,0),AQ303,1),"")</f>
        <v>T</v>
      </c>
      <c r="AQ303" s="9">
        <v>427</v>
      </c>
      <c r="AR303" s="9" t="str">
        <f>IFERROR(MID(VLOOKUP($B303,Seqs!$A:$B,2,0),AS303,1),"")</f>
        <v>G</v>
      </c>
      <c r="AS303" s="9">
        <v>434</v>
      </c>
      <c r="AT303" s="9" t="str">
        <f>IFERROR(MID(VLOOKUP($B303,Seqs!$A:$B,2,0),AU303,1),"")</f>
        <v>C</v>
      </c>
      <c r="AU303" s="9">
        <v>462</v>
      </c>
      <c r="AV303" s="9" t="str">
        <f>IFERROR(MID(VLOOKUP($B303,Seqs!$A:$B,2,0),AW303,1),"")</f>
        <v>N</v>
      </c>
      <c r="AW303" s="9">
        <v>463</v>
      </c>
      <c r="AX303" s="9" t="str">
        <f>IFERROR(MID(VLOOKUP($B303,Seqs!$A:$B,2,0),AY303,1),"")</f>
        <v>R</v>
      </c>
      <c r="AY303" s="9">
        <v>488</v>
      </c>
      <c r="AZ303" s="110" t="str">
        <f>VLOOKUP(B303,Classification!A:D,2,0)</f>
        <v>B1</v>
      </c>
      <c r="BA303" s="98" t="str">
        <f>VLOOKUP(B303,Classification!A:D,4,0)</f>
        <v>Parathyroidhormone</v>
      </c>
      <c r="BB303" s="36" t="b">
        <f t="shared" ref="BB303" si="1146"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109">
        <f t="shared" ref="BC303" si="1147">_xlfn.AGGREGATE(9,6,CH303:CS303)-_xlfn.AGGREGATE(9,6,BV303:CG303)+12</f>
        <v>261</v>
      </c>
      <c r="BD303" s="11" t="s">
        <v>23</v>
      </c>
      <c r="BE303" s="9" t="s">
        <v>23</v>
      </c>
      <c r="BF303" s="120" t="s">
        <v>23</v>
      </c>
      <c r="BG303" s="51" t="s">
        <v>23</v>
      </c>
      <c r="BH303" s="51" t="s">
        <v>23</v>
      </c>
      <c r="BJ303" s="111" t="s">
        <v>1293</v>
      </c>
      <c r="BK303" s="112" t="s">
        <v>1293</v>
      </c>
      <c r="BL303" s="112" t="s">
        <v>1293</v>
      </c>
      <c r="BM303" s="112" t="s">
        <v>1293</v>
      </c>
      <c r="BN303" s="112" t="s">
        <v>1293</v>
      </c>
      <c r="BO303" s="112" t="s">
        <v>1293</v>
      </c>
      <c r="BP303" s="112" t="s">
        <v>1293</v>
      </c>
      <c r="BQ303" s="112" t="s">
        <v>1293</v>
      </c>
      <c r="BR303" s="112" t="s">
        <v>1293</v>
      </c>
      <c r="BS303" s="112" t="s">
        <v>1293</v>
      </c>
      <c r="BT303" s="112" t="s">
        <v>1293</v>
      </c>
      <c r="BU303" s="112" t="s">
        <v>1293</v>
      </c>
      <c r="BV303" s="111">
        <f t="shared" ref="BV303" si="1148">E303</f>
        <v>179</v>
      </c>
      <c r="BW303" s="113">
        <f t="shared" ref="BW303" si="1149">I303</f>
        <v>213</v>
      </c>
      <c r="BX303" s="114">
        <f t="shared" ref="BX303" si="1150">M303</f>
        <v>217</v>
      </c>
      <c r="BY303" s="113" t="str">
        <f t="shared" ref="BY303" si="1151">Q303</f>
        <v>-</v>
      </c>
      <c r="BZ303" s="114">
        <f t="shared" ref="BZ303" si="1152">U303</f>
        <v>277</v>
      </c>
      <c r="CA303" s="113" t="str">
        <f t="shared" ref="CA303" si="1153">Y303</f>
        <v>-</v>
      </c>
      <c r="CB303" s="114">
        <f t="shared" ref="CB303" si="1154">AC303</f>
        <v>316</v>
      </c>
      <c r="CC303" s="113">
        <f t="shared" ref="CC303" si="1155">AG303</f>
        <v>351</v>
      </c>
      <c r="CD303" s="114">
        <f t="shared" ref="CD303" si="1156">AK303</f>
        <v>358</v>
      </c>
      <c r="CE303" s="113">
        <f t="shared" ref="CE303" si="1157">AO303</f>
        <v>398</v>
      </c>
      <c r="CF303" s="114">
        <f t="shared" ref="CF303" si="1158">AS303</f>
        <v>434</v>
      </c>
      <c r="CG303" s="113">
        <f t="shared" ref="CG303" si="1159">AW303</f>
        <v>463</v>
      </c>
      <c r="CH303" s="111">
        <f t="shared" ref="CH303" si="1160">G303</f>
        <v>212</v>
      </c>
      <c r="CI303" s="113">
        <f t="shared" ref="CI303" si="1161">K303</f>
        <v>216</v>
      </c>
      <c r="CJ303" s="114">
        <f t="shared" ref="CJ303" si="1162">O303</f>
        <v>249</v>
      </c>
      <c r="CK303" s="114" t="str">
        <f t="shared" ref="CK303" si="1163">S303</f>
        <v>-</v>
      </c>
      <c r="CL303" s="114">
        <f t="shared" ref="CL303" si="1164">W303</f>
        <v>312</v>
      </c>
      <c r="CM303" s="114" t="str">
        <f t="shared" ref="CM303" si="1165">AA303</f>
        <v>-</v>
      </c>
      <c r="CN303" s="114">
        <f t="shared" ref="CN303" si="1166">AE303</f>
        <v>347</v>
      </c>
      <c r="CO303" s="114">
        <f t="shared" ref="CO303" si="1167">AI303</f>
        <v>353</v>
      </c>
      <c r="CP303" s="114">
        <f t="shared" ref="CP303" si="1168">AM303</f>
        <v>389</v>
      </c>
      <c r="CQ303" s="114">
        <f t="shared" ref="CQ303" si="1169">AQ303</f>
        <v>427</v>
      </c>
      <c r="CR303" s="114">
        <f t="shared" ref="CR303" si="1170">AU303</f>
        <v>462</v>
      </c>
      <c r="CS303" s="114">
        <f t="shared" ref="CS303" si="1171">AY303</f>
        <v>488</v>
      </c>
      <c r="CT303" s="109">
        <f t="shared" ref="CT303" si="1172">M303-K303</f>
        <v>1</v>
      </c>
    </row>
    <row r="304" spans="1:1029" s="12" customFormat="1" x14ac:dyDescent="0.2">
      <c r="A304" s="9" t="str">
        <f t="shared" ref="A304" si="1173">CONCATENATE(B304,"_",C304)</f>
        <v>pth1r_human_6FJ3</v>
      </c>
      <c r="B304" s="9" t="s">
        <v>409</v>
      </c>
      <c r="C304" s="9" t="s">
        <v>1548</v>
      </c>
      <c r="D304" s="9" t="str">
        <f>IFERROR(MID(VLOOKUP($B304,Seqs!$A:$B,2,0),E304,1),"")</f>
        <v>R</v>
      </c>
      <c r="E304" s="9">
        <v>179</v>
      </c>
      <c r="F304" s="9" t="str">
        <f>IFERROR(MID(VLOOKUP($B304,Seqs!$A:$B,2,0),G304,1),"")</f>
        <v>F</v>
      </c>
      <c r="G304" s="9">
        <v>212</v>
      </c>
      <c r="H304" s="9" t="str">
        <f>IFERROR(MID(VLOOKUP($B304,Seqs!$A:$B,2,0),I304,1),"")</f>
        <v>R</v>
      </c>
      <c r="I304" s="109">
        <v>213</v>
      </c>
      <c r="J304" s="9" t="str">
        <f>IFERROR(MID(VLOOKUP($B304,Seqs!$A:$B,2,0),K304,1),"")</f>
        <v>H</v>
      </c>
      <c r="K304" s="109">
        <v>216</v>
      </c>
      <c r="L304" s="9" t="str">
        <f>IFERROR(MID(VLOOKUP($B304,Seqs!$A:$B,2,0),M304,1),"")</f>
        <v>C</v>
      </c>
      <c r="M304" s="109">
        <v>217</v>
      </c>
      <c r="N304" s="9" t="str">
        <f>IFERROR(MID(VLOOKUP($B304,Seqs!$A:$B,2,0),O304,1),"")</f>
        <v>Y</v>
      </c>
      <c r="O304" s="9">
        <v>245</v>
      </c>
      <c r="P304" s="9" t="str">
        <f>IFERROR(MID(VLOOKUP($B304,Seqs!$A:$B,2,0),Q304,1),"")</f>
        <v/>
      </c>
      <c r="Q304" s="9" t="s">
        <v>23</v>
      </c>
      <c r="R304" s="9" t="str">
        <f>IFERROR(MID(VLOOKUP($B304,Seqs!$A:$B,2,0),S304,1),"")</f>
        <v/>
      </c>
      <c r="S304" s="9" t="s">
        <v>23</v>
      </c>
      <c r="T304" s="9" t="str">
        <f>IFERROR(MID(VLOOKUP($B304,Seqs!$A:$B,2,0),U304,1),"")</f>
        <v>Y</v>
      </c>
      <c r="U304" s="9">
        <v>278</v>
      </c>
      <c r="V304" s="9" t="str">
        <f>IFERROR(MID(VLOOKUP($B304,Seqs!$A:$B,2,0),W304,1),"")</f>
        <v>M</v>
      </c>
      <c r="W304" s="9">
        <v>312</v>
      </c>
      <c r="X304" s="9" t="str">
        <f>IFERROR(MID(VLOOKUP($B304,Seqs!$A:$B,2,0),Y304,1),"")</f>
        <v/>
      </c>
      <c r="Y304" s="9" t="s">
        <v>23</v>
      </c>
      <c r="Z304" s="9" t="str">
        <f>IFERROR(MID(VLOOKUP($B304,Seqs!$A:$B,2,0),AA304,1),"")</f>
        <v/>
      </c>
      <c r="AA304" s="9" t="s">
        <v>23</v>
      </c>
      <c r="AB304" s="9" t="str">
        <f>IFERROR(MID(VLOOKUP($B304,Seqs!$A:$B,2,0),AC304,1),"")</f>
        <v>S</v>
      </c>
      <c r="AC304" s="9">
        <v>316</v>
      </c>
      <c r="AD304" s="9" t="str">
        <f>IFERROR(MID(VLOOKUP($B304,Seqs!$A:$B,2,0),AE304,1),"")</f>
        <v>A</v>
      </c>
      <c r="AE304" s="9">
        <v>347</v>
      </c>
      <c r="AF304" s="9" t="str">
        <f>IFERROR(MID(VLOOKUP($B304,Seqs!$A:$B,2,0),AG304,1),"")</f>
        <v>C</v>
      </c>
      <c r="AG304" s="9">
        <v>351</v>
      </c>
      <c r="AH304" s="9" t="str">
        <f>IFERROR(MID(VLOOKUP($B304,Seqs!$A:$B,2,0),AI304,1),"")</f>
        <v>D</v>
      </c>
      <c r="AI304" s="9">
        <v>353</v>
      </c>
      <c r="AJ304" s="9" t="str">
        <f>IFERROR(MID(VLOOKUP($B304,Seqs!$A:$B,2,0),AK304,1),"")</f>
        <v>N</v>
      </c>
      <c r="AK304" s="9">
        <v>358</v>
      </c>
      <c r="AL304" s="9" t="str">
        <f>IFERROR(MID(VLOOKUP($B304,Seqs!$A:$B,2,0),AM304,1),"")</f>
        <v>R</v>
      </c>
      <c r="AM304" s="9">
        <v>383</v>
      </c>
      <c r="AN304" s="9" t="str">
        <f>IFERROR(MID(VLOOKUP($B304,Seqs!$A:$B,2,0),AO304,1),"")</f>
        <v>D</v>
      </c>
      <c r="AO304" s="9">
        <v>398</v>
      </c>
      <c r="AP304" s="9" t="str">
        <f>IFERROR(MID(VLOOKUP($B304,Seqs!$A:$B,2,0),AQ304,1),"")</f>
        <v>T</v>
      </c>
      <c r="AQ304" s="9">
        <v>427</v>
      </c>
      <c r="AR304" s="9" t="str">
        <f>IFERROR(MID(VLOOKUP($B304,Seqs!$A:$B,2,0),AS304,1),"")</f>
        <v>G</v>
      </c>
      <c r="AS304" s="9">
        <v>434</v>
      </c>
      <c r="AT304" s="9" t="str">
        <f>IFERROR(MID(VLOOKUP($B304,Seqs!$A:$B,2,0),AU304,1),"")</f>
        <v>C</v>
      </c>
      <c r="AU304" s="9">
        <v>462</v>
      </c>
      <c r="AV304" s="9" t="str">
        <f>IFERROR(MID(VLOOKUP($B304,Seqs!$A:$B,2,0),AW304,1),"")</f>
        <v>N</v>
      </c>
      <c r="AW304" s="9">
        <v>463</v>
      </c>
      <c r="AX304" s="9" t="str">
        <f>IFERROR(MID(VLOOKUP($B304,Seqs!$A:$B,2,0),AY304,1),"")</f>
        <v>W</v>
      </c>
      <c r="AY304" s="9">
        <v>477</v>
      </c>
      <c r="AZ304" s="110" t="str">
        <f>VLOOKUP(B304,Classification!A:D,2,0)</f>
        <v>B1</v>
      </c>
      <c r="BA304" s="98" t="str">
        <f>VLOOKUP(B304,Classification!A:D,4,0)</f>
        <v>Parathyroidhormone</v>
      </c>
      <c r="BB304" s="36" t="b">
        <f t="shared" ref="BB304" si="1174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109">
        <f t="shared" ref="BC304" si="1175">_xlfn.AGGREGATE(9,6,CH304:CS304)-_xlfn.AGGREGATE(9,6,BV304:CG304)+12</f>
        <v>239</v>
      </c>
      <c r="BD304" s="11" t="s">
        <v>1383</v>
      </c>
      <c r="BE304" s="9" t="s">
        <v>1381</v>
      </c>
      <c r="BF304" s="120">
        <v>2.5</v>
      </c>
      <c r="BG304" s="51" t="s">
        <v>1</v>
      </c>
      <c r="BH304" s="51" t="s">
        <v>1</v>
      </c>
      <c r="BJ304" s="111" t="s">
        <v>1293</v>
      </c>
      <c r="BK304" s="112" t="s">
        <v>1293</v>
      </c>
      <c r="BL304" s="112" t="s">
        <v>1293</v>
      </c>
      <c r="BM304" s="112" t="s">
        <v>1293</v>
      </c>
      <c r="BN304" s="112" t="s">
        <v>1293</v>
      </c>
      <c r="BO304" s="112" t="s">
        <v>1293</v>
      </c>
      <c r="BP304" s="112" t="s">
        <v>1293</v>
      </c>
      <c r="BQ304" s="112" t="s">
        <v>1293</v>
      </c>
      <c r="BR304" s="112" t="s">
        <v>1293</v>
      </c>
      <c r="BS304" s="112" t="s">
        <v>1293</v>
      </c>
      <c r="BT304" s="112" t="s">
        <v>1293</v>
      </c>
      <c r="BU304" s="112" t="s">
        <v>1293</v>
      </c>
      <c r="BV304" s="111">
        <f t="shared" ref="BV304" si="1176">E304</f>
        <v>179</v>
      </c>
      <c r="BW304" s="113">
        <f t="shared" ref="BW304" si="1177">I304</f>
        <v>213</v>
      </c>
      <c r="BX304" s="114">
        <f t="shared" ref="BX304" si="1178">M304</f>
        <v>217</v>
      </c>
      <c r="BY304" s="113" t="str">
        <f t="shared" ref="BY304" si="1179">Q304</f>
        <v>-</v>
      </c>
      <c r="BZ304" s="114">
        <f t="shared" ref="BZ304" si="1180">U304</f>
        <v>278</v>
      </c>
      <c r="CA304" s="113" t="str">
        <f t="shared" ref="CA304" si="1181">Y304</f>
        <v>-</v>
      </c>
      <c r="CB304" s="114">
        <f t="shared" ref="CB304" si="1182">AC304</f>
        <v>316</v>
      </c>
      <c r="CC304" s="113">
        <f t="shared" ref="CC304" si="1183">AG304</f>
        <v>351</v>
      </c>
      <c r="CD304" s="114">
        <f t="shared" ref="CD304" si="1184">AK304</f>
        <v>358</v>
      </c>
      <c r="CE304" s="113">
        <f t="shared" ref="CE304" si="1185">AO304</f>
        <v>398</v>
      </c>
      <c r="CF304" s="114">
        <f t="shared" ref="CF304" si="1186">AS304</f>
        <v>434</v>
      </c>
      <c r="CG304" s="113">
        <f t="shared" ref="CG304" si="1187">AW304</f>
        <v>463</v>
      </c>
      <c r="CH304" s="111">
        <f t="shared" ref="CH304" si="1188">G304</f>
        <v>212</v>
      </c>
      <c r="CI304" s="113">
        <f t="shared" ref="CI304" si="1189">K304</f>
        <v>216</v>
      </c>
      <c r="CJ304" s="114">
        <f t="shared" ref="CJ304" si="1190">O304</f>
        <v>245</v>
      </c>
      <c r="CK304" s="114" t="str">
        <f t="shared" ref="CK304" si="1191">S304</f>
        <v>-</v>
      </c>
      <c r="CL304" s="114">
        <f t="shared" ref="CL304" si="1192">W304</f>
        <v>312</v>
      </c>
      <c r="CM304" s="114" t="str">
        <f t="shared" ref="CM304" si="1193">AA304</f>
        <v>-</v>
      </c>
      <c r="CN304" s="114">
        <f t="shared" ref="CN304" si="1194">AE304</f>
        <v>347</v>
      </c>
      <c r="CO304" s="114">
        <f t="shared" ref="CO304" si="1195">AI304</f>
        <v>353</v>
      </c>
      <c r="CP304" s="114">
        <f t="shared" ref="CP304" si="1196">AM304</f>
        <v>383</v>
      </c>
      <c r="CQ304" s="114">
        <f t="shared" ref="CQ304" si="1197">AQ304</f>
        <v>427</v>
      </c>
      <c r="CR304" s="114">
        <f t="shared" ref="CR304" si="1198">AU304</f>
        <v>462</v>
      </c>
      <c r="CS304" s="114">
        <f t="shared" ref="CS304" si="1199">AY304</f>
        <v>477</v>
      </c>
      <c r="CT304" s="109">
        <f t="shared" ref="CT304" si="1200">M304-K304</f>
        <v>1</v>
      </c>
    </row>
    <row r="305" spans="1:1030" x14ac:dyDescent="0.2">
      <c r="A305" s="3" t="str">
        <f t="shared" si="1115"/>
        <v>grm1_human__wt</v>
      </c>
      <c r="B305" s="3" t="s">
        <v>40</v>
      </c>
      <c r="C305" s="3" t="s">
        <v>100</v>
      </c>
      <c r="D305" s="3" t="str">
        <f>IFERROR(MID(VLOOKUP($B305,Seqs!$A:$B,2,0),E305,1),"")</f>
        <v>I</v>
      </c>
      <c r="E305" s="3">
        <v>591</v>
      </c>
      <c r="F305" s="3" t="str">
        <f>IFERROR(MID(VLOOKUP($B305,Seqs!$A:$B,2,0),G305,1),"")</f>
        <v>Y</v>
      </c>
      <c r="G305" s="3">
        <v>617</v>
      </c>
      <c r="H305" s="3" t="str">
        <f>IFERROR(MID(VLOOKUP($B305,Seqs!$A:$B,2,0),I305,1),"")</f>
        <v>T</v>
      </c>
      <c r="I305" s="23">
        <v>620</v>
      </c>
      <c r="J305" s="3" t="str">
        <f>IFERROR(MID(VLOOKUP($B305,Seqs!$A:$B,2,0),K305,1),"")</f>
        <v>S</v>
      </c>
      <c r="K305" s="23">
        <v>626</v>
      </c>
      <c r="L305" s="3" t="str">
        <f>IFERROR(MID(VLOOKUP($B305,Seqs!$A:$B,2,0),M305,1),"")</f>
        <v>S</v>
      </c>
      <c r="M305" s="3">
        <v>627</v>
      </c>
      <c r="N305" s="3" t="str">
        <f>IFERROR(MID(VLOOKUP($B305,Seqs!$A:$B,2,0),O305,1),"")</f>
        <v>I</v>
      </c>
      <c r="O305" s="3">
        <v>649</v>
      </c>
      <c r="P305" s="3" t="str">
        <f>IFERROR(MID(VLOOKUP($B305,Seqs!$A:$B,2,0),Q305,1),"")</f>
        <v/>
      </c>
      <c r="Q305" s="3" t="s">
        <v>23</v>
      </c>
      <c r="R305" s="3" t="str">
        <f>IFERROR(MID(VLOOKUP($B305,Seqs!$A:$B,2,0),S305,1),"")</f>
        <v/>
      </c>
      <c r="S305" s="3" t="s">
        <v>23</v>
      </c>
      <c r="T305" s="3" t="str">
        <f>IFERROR(MID(VLOOKUP($B305,Seqs!$A:$B,2,0),U305,1),"")</f>
        <v>T</v>
      </c>
      <c r="U305" s="3">
        <v>654</v>
      </c>
      <c r="V305" s="3" t="str">
        <f>IFERROR(MID(VLOOKUP($B305,Seqs!$A:$B,2,0),W305,1),"")</f>
        <v>L</v>
      </c>
      <c r="W305" s="3">
        <v>686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S</v>
      </c>
      <c r="AC305" s="9">
        <v>702</v>
      </c>
      <c r="AD305" s="3" t="str">
        <f>IFERROR(MID(VLOOKUP($B305,Seqs!$A:$B,2,0),AE305,1),"")</f>
        <v>E</v>
      </c>
      <c r="AE305" s="3">
        <v>728</v>
      </c>
      <c r="AF305" s="3" t="str">
        <f>IFERROR(MID(VLOOKUP($B305,Seqs!$A:$B,2,0),AG305,1),"")</f>
        <v>C</v>
      </c>
      <c r="AG305" s="3">
        <v>746</v>
      </c>
      <c r="AH305" s="3" t="str">
        <f>IFERROR(MID(VLOOKUP($B305,Seqs!$A:$B,2,0),AI305,1),"")</f>
        <v>T</v>
      </c>
      <c r="AI305" s="3">
        <v>748</v>
      </c>
      <c r="AJ305" s="3" t="str">
        <f>IFERROR(MID(VLOOKUP($B305,Seqs!$A:$B,2,0),AK305,1),"")</f>
        <v>S</v>
      </c>
      <c r="AK305" s="105">
        <v>749</v>
      </c>
      <c r="AL305" s="3" t="str">
        <f>IFERROR(MID(VLOOKUP($B305,Seqs!$A:$B,2,0),AM305,1),"")</f>
        <v>T</v>
      </c>
      <c r="AM305" s="3">
        <v>774</v>
      </c>
      <c r="AN305" s="3" t="str">
        <f>IFERROR(MID(VLOOKUP($B305,Seqs!$A:$B,2,0),AO305,1),"")</f>
        <v>E</v>
      </c>
      <c r="AO305" s="3">
        <v>783</v>
      </c>
      <c r="AP305" s="3" t="str">
        <f>IFERROR(MID(VLOOKUP($B305,Seqs!$A:$B,2,0),AQ305,1),"")</f>
        <v>G</v>
      </c>
      <c r="AQ305" s="3">
        <v>807</v>
      </c>
      <c r="AR305" s="3" t="str">
        <f>IFERROR(MID(VLOOKUP($B305,Seqs!$A:$B,2,0),AS305,1),"")</f>
        <v>Y</v>
      </c>
      <c r="AS305" s="105">
        <v>810</v>
      </c>
      <c r="AT305" s="3" t="str">
        <f>IFERROR(MID(VLOOKUP($B305,Seqs!$A:$B,2,0),AU305,1),"")</f>
        <v>K</v>
      </c>
      <c r="AU305" s="3">
        <v>841</v>
      </c>
      <c r="AV305" s="3" t="str">
        <f>IFERROR(MID(VLOOKUP($B305,Seqs!$A:$B,2,0),AW305,1),"")</f>
        <v>P</v>
      </c>
      <c r="AW305" s="3">
        <v>842</v>
      </c>
      <c r="AX305" s="3" t="str">
        <f>IFERROR(MID(VLOOKUP($B305,Seqs!$A:$B,2,0),AY305,1),"")</f>
        <v>S</v>
      </c>
      <c r="AY305" s="3">
        <v>853</v>
      </c>
      <c r="AZ305" s="77" t="str">
        <f>VLOOKUP(B305,Classification!A:D,2,0)</f>
        <v>C</v>
      </c>
      <c r="BA305" s="94" t="str">
        <f>VLOOKUP(B305,Classification!A:D,4,0)</f>
        <v>Metabotropicglutamate</v>
      </c>
      <c r="BB305" s="27" t="b">
        <f t="shared" si="1116"/>
        <v>1</v>
      </c>
      <c r="BC305" s="23">
        <f t="shared" si="1089"/>
        <v>217</v>
      </c>
      <c r="BD305" s="56" t="s">
        <v>1379</v>
      </c>
      <c r="BE305" s="3" t="s">
        <v>23</v>
      </c>
      <c r="BF305" s="119" t="s">
        <v>23</v>
      </c>
      <c r="BG305" s="49" t="s">
        <v>1379</v>
      </c>
      <c r="BH305" s="49" t="s">
        <v>1384</v>
      </c>
      <c r="BI305" s="3" t="s">
        <v>1164</v>
      </c>
      <c r="BJ305" s="70" t="s">
        <v>1293</v>
      </c>
      <c r="BK305" s="57" t="s">
        <v>1293</v>
      </c>
      <c r="BL305" s="57" t="s">
        <v>1293</v>
      </c>
      <c r="BM305" s="57" t="s">
        <v>1293</v>
      </c>
      <c r="BN305" s="57" t="s">
        <v>1293</v>
      </c>
      <c r="BO305" s="57" t="s">
        <v>1293</v>
      </c>
      <c r="BP305" s="57" t="s">
        <v>1293</v>
      </c>
      <c r="BQ305" s="57" t="s">
        <v>1293</v>
      </c>
      <c r="BR305" s="57" t="s">
        <v>1293</v>
      </c>
      <c r="BS305" s="57" t="s">
        <v>1293</v>
      </c>
      <c r="BT305" s="57" t="s">
        <v>1293</v>
      </c>
      <c r="BU305" s="57" t="s">
        <v>1293</v>
      </c>
      <c r="BV305" s="70">
        <f t="shared" si="1090"/>
        <v>591</v>
      </c>
      <c r="BW305" s="71">
        <f t="shared" si="1091"/>
        <v>620</v>
      </c>
      <c r="BX305" s="72">
        <f t="shared" si="1092"/>
        <v>627</v>
      </c>
      <c r="BY305" s="71" t="str">
        <f t="shared" si="1093"/>
        <v>-</v>
      </c>
      <c r="BZ305" s="72">
        <f t="shared" si="1094"/>
        <v>654</v>
      </c>
      <c r="CA305" s="71" t="str">
        <f t="shared" si="1095"/>
        <v>-</v>
      </c>
      <c r="CB305" s="72">
        <f t="shared" si="1096"/>
        <v>702</v>
      </c>
      <c r="CC305" s="71">
        <f t="shared" si="1097"/>
        <v>746</v>
      </c>
      <c r="CD305" s="72">
        <f t="shared" si="1098"/>
        <v>749</v>
      </c>
      <c r="CE305" s="71">
        <f t="shared" si="1099"/>
        <v>783</v>
      </c>
      <c r="CF305" s="72">
        <f t="shared" si="1100"/>
        <v>810</v>
      </c>
      <c r="CG305" s="71">
        <f t="shared" si="1101"/>
        <v>842</v>
      </c>
      <c r="CH305" s="70">
        <f t="shared" si="1102"/>
        <v>617</v>
      </c>
      <c r="CI305" s="71">
        <f t="shared" si="1103"/>
        <v>626</v>
      </c>
      <c r="CJ305" s="72">
        <f t="shared" si="1104"/>
        <v>649</v>
      </c>
      <c r="CK305" s="72" t="str">
        <f t="shared" si="1105"/>
        <v>-</v>
      </c>
      <c r="CL305" s="72">
        <f t="shared" si="1106"/>
        <v>686</v>
      </c>
      <c r="CM305" s="72" t="str">
        <f t="shared" si="1107"/>
        <v>-</v>
      </c>
      <c r="CN305" s="72">
        <f t="shared" si="1108"/>
        <v>728</v>
      </c>
      <c r="CO305" s="72">
        <f t="shared" si="1109"/>
        <v>748</v>
      </c>
      <c r="CP305" s="72">
        <f t="shared" si="1110"/>
        <v>774</v>
      </c>
      <c r="CQ305" s="72">
        <f t="shared" si="1111"/>
        <v>807</v>
      </c>
      <c r="CR305" s="72">
        <f t="shared" si="1112"/>
        <v>841</v>
      </c>
      <c r="CS305" s="72">
        <f t="shared" si="1113"/>
        <v>853</v>
      </c>
      <c r="CT305" s="23">
        <f t="shared" si="1114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1115"/>
        <v>grm1_human_4OR2</v>
      </c>
      <c r="B306" s="3" t="s">
        <v>40</v>
      </c>
      <c r="C306" s="3" t="s">
        <v>96</v>
      </c>
      <c r="D306" s="3" t="str">
        <f>IFERROR(MID(VLOOKUP($B306,Seqs!$A:$B,2,0),E306,1),"")</f>
        <v>I</v>
      </c>
      <c r="E306" s="3">
        <v>591</v>
      </c>
      <c r="F306" s="3" t="str">
        <f>IFERROR(MID(VLOOKUP($B306,Seqs!$A:$B,2,0),G306,1),"")</f>
        <v>Y</v>
      </c>
      <c r="G306" s="3">
        <v>617</v>
      </c>
      <c r="H306" s="3" t="str">
        <f>IFERROR(MID(VLOOKUP($B306,Seqs!$A:$B,2,0),I306,1),"")</f>
        <v>T</v>
      </c>
      <c r="I306" s="23">
        <v>620</v>
      </c>
      <c r="J306" s="3" t="str">
        <f>IFERROR(MID(VLOOKUP($B306,Seqs!$A:$B,2,0),K306,1),"")</f>
        <v>S</v>
      </c>
      <c r="K306" s="23">
        <v>626</v>
      </c>
      <c r="L306" s="3" t="str">
        <f>IFERROR(MID(VLOOKUP($B306,Seqs!$A:$B,2,0),M306,1),"")</f>
        <v>S</v>
      </c>
      <c r="M306" s="3">
        <v>627</v>
      </c>
      <c r="N306" s="3" t="str">
        <f>IFERROR(MID(VLOOKUP($B306,Seqs!$A:$B,2,0),O306,1),"")</f>
        <v>I</v>
      </c>
      <c r="O306" s="3">
        <v>649</v>
      </c>
      <c r="P306" s="3" t="str">
        <f>IFERROR(MID(VLOOKUP($B306,Seqs!$A:$B,2,0),Q306,1),"")</f>
        <v/>
      </c>
      <c r="Q306" s="3" t="s">
        <v>23</v>
      </c>
      <c r="R306" s="3" t="str">
        <f>IFERROR(MID(VLOOKUP($B306,Seqs!$A:$B,2,0),S306,1),"")</f>
        <v/>
      </c>
      <c r="S306" s="3" t="s">
        <v>23</v>
      </c>
      <c r="T306" s="3" t="str">
        <f>IFERROR(MID(VLOOKUP($B306,Seqs!$A:$B,2,0),U306,1),"")</f>
        <v>T</v>
      </c>
      <c r="U306" s="3">
        <v>654</v>
      </c>
      <c r="V306" s="3" t="str">
        <f>IFERROR(MID(VLOOKUP($B306,Seqs!$A:$B,2,0),W306,1),"")</f>
        <v>L</v>
      </c>
      <c r="W306" s="3">
        <v>686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S</v>
      </c>
      <c r="AC306" s="9">
        <v>702</v>
      </c>
      <c r="AD306" s="3" t="str">
        <f>IFERROR(MID(VLOOKUP($B306,Seqs!$A:$B,2,0),AE306,1),"")</f>
        <v>E</v>
      </c>
      <c r="AE306" s="3">
        <v>728</v>
      </c>
      <c r="AF306" s="3" t="str">
        <f>IFERROR(MID(VLOOKUP($B306,Seqs!$A:$B,2,0),AG306,1),"")</f>
        <v>C</v>
      </c>
      <c r="AG306" s="3">
        <v>746</v>
      </c>
      <c r="AH306" s="3" t="str">
        <f>IFERROR(MID(VLOOKUP($B306,Seqs!$A:$B,2,0),AI306,1),"")</f>
        <v>T</v>
      </c>
      <c r="AI306" s="3">
        <v>748</v>
      </c>
      <c r="AJ306" s="3" t="str">
        <f>IFERROR(MID(VLOOKUP($B306,Seqs!$A:$B,2,0),AK306,1),"")</f>
        <v>S</v>
      </c>
      <c r="AK306" s="105">
        <v>749</v>
      </c>
      <c r="AL306" s="3" t="str">
        <f>IFERROR(MID(VLOOKUP($B306,Seqs!$A:$B,2,0),AM306,1),"")</f>
        <v>T</v>
      </c>
      <c r="AM306" s="3">
        <v>774</v>
      </c>
      <c r="AN306" s="3" t="str">
        <f>IFERROR(MID(VLOOKUP($B306,Seqs!$A:$B,2,0),AO306,1),"")</f>
        <v>E</v>
      </c>
      <c r="AO306" s="3">
        <v>783</v>
      </c>
      <c r="AP306" s="3" t="str">
        <f>IFERROR(MID(VLOOKUP($B306,Seqs!$A:$B,2,0),AQ306,1),"")</f>
        <v>G</v>
      </c>
      <c r="AQ306" s="3">
        <v>807</v>
      </c>
      <c r="AR306" s="3" t="str">
        <f>IFERROR(MID(VLOOKUP($B306,Seqs!$A:$B,2,0),AS306,1),"")</f>
        <v>Y</v>
      </c>
      <c r="AS306" s="105">
        <v>810</v>
      </c>
      <c r="AT306" s="3" t="str">
        <f>IFERROR(MID(VLOOKUP($B306,Seqs!$A:$B,2,0),AU306,1),"")</f>
        <v>K</v>
      </c>
      <c r="AU306" s="3">
        <v>841</v>
      </c>
      <c r="AV306" s="3" t="str">
        <f>IFERROR(MID(VLOOKUP($B306,Seqs!$A:$B,2,0),AW306,1),"")</f>
        <v/>
      </c>
      <c r="AW306" s="3" t="s">
        <v>23</v>
      </c>
      <c r="AX306" s="3" t="str">
        <f>IFERROR(MID(VLOOKUP($B306,Seqs!$A:$B,2,0),AY306,1),"")</f>
        <v/>
      </c>
      <c r="AY306" s="3" t="s">
        <v>23</v>
      </c>
      <c r="AZ306" s="77" t="str">
        <f>VLOOKUP(B306,Classification!A:D,2,0)</f>
        <v>C</v>
      </c>
      <c r="BA306" s="94" t="str">
        <f>VLOOKUP(B306,Classification!A:D,4,0)</f>
        <v>Metabotropicglutamate</v>
      </c>
      <c r="BB306" s="27" t="b">
        <f t="shared" si="1116"/>
        <v>1</v>
      </c>
      <c r="BC306" s="23">
        <f t="shared" si="1089"/>
        <v>206</v>
      </c>
      <c r="BD306" s="2" t="s">
        <v>1383</v>
      </c>
      <c r="BE306" s="3" t="s">
        <v>1381</v>
      </c>
      <c r="BF306" s="119">
        <v>2.8</v>
      </c>
      <c r="BG306" s="49" t="s">
        <v>1384</v>
      </c>
      <c r="BH306" s="49" t="s">
        <v>1384</v>
      </c>
      <c r="BJ306" s="70" t="s">
        <v>1293</v>
      </c>
      <c r="BK306" s="57" t="s">
        <v>1293</v>
      </c>
      <c r="BL306" s="57" t="s">
        <v>1293</v>
      </c>
      <c r="BM306" s="57" t="s">
        <v>1293</v>
      </c>
      <c r="BN306" s="57" t="s">
        <v>1293</v>
      </c>
      <c r="BO306" s="57" t="s">
        <v>1293</v>
      </c>
      <c r="BP306" s="57" t="s">
        <v>1293</v>
      </c>
      <c r="BQ306" s="57" t="s">
        <v>1293</v>
      </c>
      <c r="BR306" s="57" t="s">
        <v>1293</v>
      </c>
      <c r="BS306" s="57" t="s">
        <v>1293</v>
      </c>
      <c r="BT306" s="57" t="s">
        <v>1293</v>
      </c>
      <c r="BU306" s="57" t="s">
        <v>1293</v>
      </c>
      <c r="BV306" s="70">
        <f t="shared" si="1090"/>
        <v>591</v>
      </c>
      <c r="BW306" s="71">
        <f t="shared" si="1091"/>
        <v>620</v>
      </c>
      <c r="BX306" s="72">
        <f t="shared" si="1092"/>
        <v>627</v>
      </c>
      <c r="BY306" s="71" t="str">
        <f t="shared" si="1093"/>
        <v>-</v>
      </c>
      <c r="BZ306" s="72">
        <f t="shared" si="1094"/>
        <v>654</v>
      </c>
      <c r="CA306" s="71" t="str">
        <f t="shared" si="1095"/>
        <v>-</v>
      </c>
      <c r="CB306" s="72">
        <f t="shared" si="1096"/>
        <v>702</v>
      </c>
      <c r="CC306" s="71">
        <f t="shared" si="1097"/>
        <v>746</v>
      </c>
      <c r="CD306" s="72">
        <f t="shared" si="1098"/>
        <v>749</v>
      </c>
      <c r="CE306" s="71">
        <f t="shared" si="1099"/>
        <v>783</v>
      </c>
      <c r="CF306" s="72">
        <f t="shared" si="1100"/>
        <v>810</v>
      </c>
      <c r="CG306" s="71" t="str">
        <f t="shared" si="1101"/>
        <v>-</v>
      </c>
      <c r="CH306" s="70">
        <f t="shared" si="1102"/>
        <v>617</v>
      </c>
      <c r="CI306" s="71">
        <f t="shared" si="1103"/>
        <v>626</v>
      </c>
      <c r="CJ306" s="72">
        <f t="shared" si="1104"/>
        <v>649</v>
      </c>
      <c r="CK306" s="72" t="str">
        <f t="shared" si="1105"/>
        <v>-</v>
      </c>
      <c r="CL306" s="72">
        <f t="shared" si="1106"/>
        <v>686</v>
      </c>
      <c r="CM306" s="72" t="str">
        <f t="shared" si="1107"/>
        <v>-</v>
      </c>
      <c r="CN306" s="72">
        <f t="shared" si="1108"/>
        <v>728</v>
      </c>
      <c r="CO306" s="72">
        <f t="shared" si="1109"/>
        <v>748</v>
      </c>
      <c r="CP306" s="72">
        <f t="shared" si="1110"/>
        <v>774</v>
      </c>
      <c r="CQ306" s="72">
        <f t="shared" si="1111"/>
        <v>807</v>
      </c>
      <c r="CR306" s="72">
        <f t="shared" si="1112"/>
        <v>841</v>
      </c>
      <c r="CS306" s="72" t="str">
        <f t="shared" si="1113"/>
        <v>-</v>
      </c>
      <c r="CT306" s="23">
        <f t="shared" si="1114"/>
        <v>1</v>
      </c>
    </row>
    <row r="307" spans="1:1030" x14ac:dyDescent="0.2">
      <c r="A307" s="3" t="str">
        <f t="shared" si="1115"/>
        <v>grm5_human__wt</v>
      </c>
      <c r="B307" s="3" t="s">
        <v>41</v>
      </c>
      <c r="C307" s="3" t="s">
        <v>100</v>
      </c>
      <c r="D307" s="3" t="str">
        <f>IFERROR(MID(VLOOKUP($B307,Seqs!$A:$B,2,0),E307,1),"")</f>
        <v>P</v>
      </c>
      <c r="E307" s="3">
        <v>578</v>
      </c>
      <c r="F307" s="3" t="str">
        <f>IFERROR(MID(VLOOKUP($B307,Seqs!$A:$B,2,0),G307,1),"")</f>
        <v>Y</v>
      </c>
      <c r="G307" s="3">
        <v>604</v>
      </c>
      <c r="H307" s="3" t="str">
        <f>IFERROR(MID(VLOOKUP($B307,Seqs!$A:$B,2,0),I307,1),"")</f>
        <v>T</v>
      </c>
      <c r="I307" s="23">
        <v>607</v>
      </c>
      <c r="J307" s="3" t="str">
        <f>IFERROR(MID(VLOOKUP($B307,Seqs!$A:$B,2,0),K307,1),"")</f>
        <v>S</v>
      </c>
      <c r="K307" s="23">
        <v>613</v>
      </c>
      <c r="L307" s="3" t="str">
        <f>IFERROR(MID(VLOOKUP($B307,Seqs!$A:$B,2,0),M307,1),"")</f>
        <v>S</v>
      </c>
      <c r="M307" s="3">
        <v>614</v>
      </c>
      <c r="N307" s="3" t="str">
        <f>IFERROR(MID(VLOOKUP($B307,Seqs!$A:$B,2,0),O307,1),"")</f>
        <v>I</v>
      </c>
      <c r="O307" s="3">
        <v>636</v>
      </c>
      <c r="P307" s="3" t="str">
        <f>IFERROR(MID(VLOOKUP($B307,Seqs!$A:$B,2,0),Q307,1),"")</f>
        <v/>
      </c>
      <c r="Q307" s="3" t="s">
        <v>23</v>
      </c>
      <c r="R307" s="3" t="str">
        <f>IFERROR(MID(VLOOKUP($B307,Seqs!$A:$B,2,0),S307,1),"")</f>
        <v/>
      </c>
      <c r="S307" s="3" t="s">
        <v>23</v>
      </c>
      <c r="T307" s="3" t="str">
        <f>IFERROR(MID(VLOOKUP($B307,Seqs!$A:$B,2,0),U307,1),"")</f>
        <v>Q</v>
      </c>
      <c r="U307" s="3">
        <v>641</v>
      </c>
      <c r="V307" s="3" t="str">
        <f>IFERROR(MID(VLOOKUP($B307,Seqs!$A:$B,2,0),W307,1),"")</f>
        <v>L</v>
      </c>
      <c r="W307" s="3">
        <v>673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S</v>
      </c>
      <c r="AC307" s="9">
        <v>689</v>
      </c>
      <c r="AD307" s="3" t="str">
        <f>IFERROR(MID(VLOOKUP($B307,Seqs!$A:$B,2,0),AE307,1),"")</f>
        <v>E</v>
      </c>
      <c r="AE307" s="3">
        <v>715</v>
      </c>
      <c r="AF307" s="3" t="str">
        <f>IFERROR(MID(VLOOKUP($B307,Seqs!$A:$B,2,0),AG307,1),"")</f>
        <v>C</v>
      </c>
      <c r="AG307" s="3">
        <v>733</v>
      </c>
      <c r="AH307" s="3" t="str">
        <f>IFERROR(MID(VLOOKUP($B307,Seqs!$A:$B,2,0),AI307,1),"")</f>
        <v>T</v>
      </c>
      <c r="AI307" s="3">
        <v>735</v>
      </c>
      <c r="AJ307" s="3" t="str">
        <f>IFERROR(MID(VLOOKUP($B307,Seqs!$A:$B,2,0),AK307,1),"")</f>
        <v>T</v>
      </c>
      <c r="AK307" s="105">
        <v>736</v>
      </c>
      <c r="AL307" s="3" t="str">
        <f>IFERROR(MID(VLOOKUP($B307,Seqs!$A:$B,2,0),AM307,1),"")</f>
        <v>T</v>
      </c>
      <c r="AM307" s="3">
        <v>761</v>
      </c>
      <c r="AN307" s="3" t="str">
        <f>IFERROR(MID(VLOOKUP($B307,Seqs!$A:$B,2,0),AO307,1),"")</f>
        <v>E</v>
      </c>
      <c r="AO307" s="3">
        <v>770</v>
      </c>
      <c r="AP307" s="3" t="str">
        <f>IFERROR(MID(VLOOKUP($B307,Seqs!$A:$B,2,0),AQ307,1),"")</f>
        <v>G</v>
      </c>
      <c r="AQ307" s="3">
        <v>794</v>
      </c>
      <c r="AR307" s="3" t="str">
        <f>IFERROR(MID(VLOOKUP($B307,Seqs!$A:$B,2,0),AS307,1),"")</f>
        <v>Y</v>
      </c>
      <c r="AS307" s="105">
        <v>797</v>
      </c>
      <c r="AT307" s="3" t="str">
        <f>IFERROR(MID(VLOOKUP($B307,Seqs!$A:$B,2,0),AU307,1),"")</f>
        <v>K</v>
      </c>
      <c r="AU307" s="3">
        <v>828</v>
      </c>
      <c r="AV307" s="3" t="str">
        <f>IFERROR(MID(VLOOKUP($B307,Seqs!$A:$B,2,0),AW307,1),"")</f>
        <v>P</v>
      </c>
      <c r="AW307" s="3">
        <v>829</v>
      </c>
      <c r="AX307" s="3" t="str">
        <f>IFERROR(MID(VLOOKUP($B307,Seqs!$A:$B,2,0),AY307,1),"")</f>
        <v>S</v>
      </c>
      <c r="AY307" s="3">
        <v>840</v>
      </c>
      <c r="AZ307" s="77" t="str">
        <f>VLOOKUP(B307,Classification!A:D,2,0)</f>
        <v>C</v>
      </c>
      <c r="BA307" s="94" t="str">
        <f>VLOOKUP(B307,Classification!A:D,4,0)</f>
        <v>Metabotropicglutamate</v>
      </c>
      <c r="BB307" s="27" t="b">
        <f t="shared" si="1116"/>
        <v>1</v>
      </c>
      <c r="BC307" s="23">
        <f t="shared" si="1089"/>
        <v>217</v>
      </c>
      <c r="BD307" s="56" t="s">
        <v>1379</v>
      </c>
      <c r="BE307" s="3" t="s">
        <v>23</v>
      </c>
      <c r="BF307" s="119" t="s">
        <v>23</v>
      </c>
      <c r="BG307" s="49" t="s">
        <v>1379</v>
      </c>
      <c r="BH307" s="49" t="s">
        <v>1384</v>
      </c>
      <c r="BJ307" s="70" t="s">
        <v>1293</v>
      </c>
      <c r="BK307" s="57" t="s">
        <v>1293</v>
      </c>
      <c r="BL307" s="57" t="s">
        <v>1293</v>
      </c>
      <c r="BM307" s="57" t="s">
        <v>1293</v>
      </c>
      <c r="BN307" s="57" t="s">
        <v>1293</v>
      </c>
      <c r="BO307" s="57" t="s">
        <v>1293</v>
      </c>
      <c r="BP307" s="57" t="s">
        <v>1293</v>
      </c>
      <c r="BQ307" s="57" t="s">
        <v>1293</v>
      </c>
      <c r="BR307" s="57" t="s">
        <v>1293</v>
      </c>
      <c r="BS307" s="57" t="s">
        <v>1293</v>
      </c>
      <c r="BT307" s="57" t="s">
        <v>1293</v>
      </c>
      <c r="BU307" s="57" t="s">
        <v>1293</v>
      </c>
      <c r="BV307" s="70">
        <f t="shared" si="1090"/>
        <v>578</v>
      </c>
      <c r="BW307" s="71">
        <f t="shared" si="1091"/>
        <v>607</v>
      </c>
      <c r="BX307" s="72">
        <f t="shared" si="1092"/>
        <v>614</v>
      </c>
      <c r="BY307" s="71" t="str">
        <f t="shared" si="1093"/>
        <v>-</v>
      </c>
      <c r="BZ307" s="72">
        <f t="shared" si="1094"/>
        <v>641</v>
      </c>
      <c r="CA307" s="71" t="str">
        <f t="shared" si="1095"/>
        <v>-</v>
      </c>
      <c r="CB307" s="72">
        <f t="shared" si="1096"/>
        <v>689</v>
      </c>
      <c r="CC307" s="71">
        <f t="shared" si="1097"/>
        <v>733</v>
      </c>
      <c r="CD307" s="72">
        <f t="shared" si="1098"/>
        <v>736</v>
      </c>
      <c r="CE307" s="71">
        <f t="shared" si="1099"/>
        <v>770</v>
      </c>
      <c r="CF307" s="72">
        <f t="shared" si="1100"/>
        <v>797</v>
      </c>
      <c r="CG307" s="71">
        <f t="shared" si="1101"/>
        <v>829</v>
      </c>
      <c r="CH307" s="70">
        <f t="shared" si="1102"/>
        <v>604</v>
      </c>
      <c r="CI307" s="71">
        <f t="shared" si="1103"/>
        <v>613</v>
      </c>
      <c r="CJ307" s="72">
        <f t="shared" si="1104"/>
        <v>636</v>
      </c>
      <c r="CK307" s="72" t="str">
        <f t="shared" si="1105"/>
        <v>-</v>
      </c>
      <c r="CL307" s="72">
        <f t="shared" si="1106"/>
        <v>673</v>
      </c>
      <c r="CM307" s="72" t="str">
        <f t="shared" si="1107"/>
        <v>-</v>
      </c>
      <c r="CN307" s="72">
        <f t="shared" si="1108"/>
        <v>715</v>
      </c>
      <c r="CO307" s="72">
        <f t="shared" si="1109"/>
        <v>735</v>
      </c>
      <c r="CP307" s="72">
        <f t="shared" si="1110"/>
        <v>761</v>
      </c>
      <c r="CQ307" s="72">
        <f t="shared" si="1111"/>
        <v>794</v>
      </c>
      <c r="CR307" s="72">
        <f t="shared" si="1112"/>
        <v>828</v>
      </c>
      <c r="CS307" s="72">
        <f t="shared" si="1113"/>
        <v>840</v>
      </c>
      <c r="CT307" s="23">
        <f t="shared" si="1114"/>
        <v>1</v>
      </c>
    </row>
    <row r="308" spans="1:1030" x14ac:dyDescent="0.2">
      <c r="A308" s="3" t="str">
        <f t="shared" si="1115"/>
        <v>grm5_human_4OO9</v>
      </c>
      <c r="B308" s="3" t="s">
        <v>41</v>
      </c>
      <c r="C308" s="3" t="s">
        <v>57</v>
      </c>
      <c r="D308" s="3" t="str">
        <f>IFERROR(MID(VLOOKUP($B308,Seqs!$A:$B,2,0),E308,1),"")</f>
        <v>P</v>
      </c>
      <c r="E308" s="3">
        <v>578</v>
      </c>
      <c r="F308" s="3" t="str">
        <f>IFERROR(MID(VLOOKUP($B308,Seqs!$A:$B,2,0),G308,1),"")</f>
        <v>Y</v>
      </c>
      <c r="G308" s="3">
        <v>604</v>
      </c>
      <c r="H308" s="3" t="str">
        <f>IFERROR(MID(VLOOKUP($B308,Seqs!$A:$B,2,0),I308,1),"")</f>
        <v>T</v>
      </c>
      <c r="I308" s="23">
        <v>607</v>
      </c>
      <c r="J308" s="3" t="str">
        <f>IFERROR(MID(VLOOKUP($B308,Seqs!$A:$B,2,0),K308,1),"")</f>
        <v>S</v>
      </c>
      <c r="K308" s="23">
        <v>613</v>
      </c>
      <c r="L308" s="3" t="str">
        <f>IFERROR(MID(VLOOKUP($B308,Seqs!$A:$B,2,0),M308,1),"")</f>
        <v>S</v>
      </c>
      <c r="M308" s="3">
        <v>614</v>
      </c>
      <c r="N308" s="3" t="str">
        <f>IFERROR(MID(VLOOKUP($B308,Seqs!$A:$B,2,0),O308,1),"")</f>
        <v>I</v>
      </c>
      <c r="O308" s="3">
        <v>636</v>
      </c>
      <c r="P308" s="3" t="str">
        <f>IFERROR(MID(VLOOKUP($B308,Seqs!$A:$B,2,0),Q308,1),"")</f>
        <v/>
      </c>
      <c r="Q308" s="3" t="s">
        <v>23</v>
      </c>
      <c r="R308" s="3" t="str">
        <f>IFERROR(MID(VLOOKUP($B308,Seqs!$A:$B,2,0),S308,1),"")</f>
        <v/>
      </c>
      <c r="S308" s="3" t="s">
        <v>23</v>
      </c>
      <c r="T308" s="3" t="str">
        <f>IFERROR(MID(VLOOKUP($B308,Seqs!$A:$B,2,0),U308,1),"")</f>
        <v>Q</v>
      </c>
      <c r="U308" s="3">
        <v>641</v>
      </c>
      <c r="V308" s="3" t="str">
        <f>IFERROR(MID(VLOOKUP($B308,Seqs!$A:$B,2,0),W308,1),"")</f>
        <v>K</v>
      </c>
      <c r="W308" s="3">
        <v>678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S</v>
      </c>
      <c r="AC308" s="9">
        <v>689</v>
      </c>
      <c r="AD308" s="3" t="str">
        <f>IFERROR(MID(VLOOKUP($B308,Seqs!$A:$B,2,0),AE308,1),"")</f>
        <v>E</v>
      </c>
      <c r="AE308" s="3">
        <v>715</v>
      </c>
      <c r="AF308" s="3" t="str">
        <f>IFERROR(MID(VLOOKUP($B308,Seqs!$A:$B,2,0),AG308,1),"")</f>
        <v>C</v>
      </c>
      <c r="AG308" s="3">
        <v>733</v>
      </c>
      <c r="AH308" s="3" t="str">
        <f>IFERROR(MID(VLOOKUP($B308,Seqs!$A:$B,2,0),AI308,1),"")</f>
        <v>T</v>
      </c>
      <c r="AI308" s="3">
        <v>735</v>
      </c>
      <c r="AJ308" s="3" t="str">
        <f>IFERROR(MID(VLOOKUP($B308,Seqs!$A:$B,2,0),AK308,1),"")</f>
        <v>N</v>
      </c>
      <c r="AK308" s="3">
        <v>737</v>
      </c>
      <c r="AL308" s="3" t="str">
        <f>IFERROR(MID(VLOOKUP($B308,Seqs!$A:$B,2,0),AM308,1),"")</f>
        <v>T</v>
      </c>
      <c r="AM308" s="3">
        <v>761</v>
      </c>
      <c r="AN308" s="3" t="str">
        <f>IFERROR(MID(VLOOKUP($B308,Seqs!$A:$B,2,0),AO308,1),"")</f>
        <v>E</v>
      </c>
      <c r="AO308" s="3">
        <v>770</v>
      </c>
      <c r="AP308" s="3" t="str">
        <f>IFERROR(MID(VLOOKUP($B308,Seqs!$A:$B,2,0),AQ308,1),"")</f>
        <v>G</v>
      </c>
      <c r="AQ308" s="3">
        <v>794</v>
      </c>
      <c r="AR308" s="3" t="str">
        <f>IFERROR(MID(VLOOKUP($B308,Seqs!$A:$B,2,0),AS308,1),"")</f>
        <v>Y</v>
      </c>
      <c r="AS308" s="105">
        <v>797</v>
      </c>
      <c r="AT308" s="3" t="str">
        <f>IFERROR(MID(VLOOKUP($B308,Seqs!$A:$B,2,0),AU308,1),"")</f>
        <v>K</v>
      </c>
      <c r="AU308" s="3">
        <v>828</v>
      </c>
      <c r="AV308" s="3" t="str">
        <f>IFERROR(MID(VLOOKUP($B308,Seqs!$A:$B,2,0),AW308,1),"")</f>
        <v>P</v>
      </c>
      <c r="AW308" s="3">
        <v>829</v>
      </c>
      <c r="AX308" s="3" t="str">
        <f>IFERROR(MID(VLOOKUP($B308,Seqs!$A:$B,2,0),AY308,1),"")</f>
        <v>N</v>
      </c>
      <c r="AY308" s="3">
        <v>832</v>
      </c>
      <c r="AZ308" s="77" t="str">
        <f>VLOOKUP(B308,Classification!A:D,2,0)</f>
        <v>C</v>
      </c>
      <c r="BA308" s="94" t="str">
        <f>VLOOKUP(B308,Classification!A:D,4,0)</f>
        <v>Metabotropicglutamate</v>
      </c>
      <c r="BB308" s="27" t="b">
        <f t="shared" si="1116"/>
        <v>1</v>
      </c>
      <c r="BC308" s="23">
        <f t="shared" si="1089"/>
        <v>213</v>
      </c>
      <c r="BD308" s="106" t="s">
        <v>1383</v>
      </c>
      <c r="BE308" s="3" t="s">
        <v>1381</v>
      </c>
      <c r="BF308" s="119">
        <v>2.6</v>
      </c>
      <c r="BG308" s="49" t="s">
        <v>1384</v>
      </c>
      <c r="BH308" s="49" t="s">
        <v>1384</v>
      </c>
      <c r="BJ308" s="70" t="s">
        <v>1293</v>
      </c>
      <c r="BK308" s="57" t="s">
        <v>1293</v>
      </c>
      <c r="BL308" s="57" t="s">
        <v>1293</v>
      </c>
      <c r="BM308" s="57" t="s">
        <v>1293</v>
      </c>
      <c r="BN308" s="57" t="s">
        <v>1293</v>
      </c>
      <c r="BO308" s="57" t="s">
        <v>1293</v>
      </c>
      <c r="BP308" s="57" t="s">
        <v>1293</v>
      </c>
      <c r="BQ308" s="57" t="s">
        <v>1293</v>
      </c>
      <c r="BR308" s="57" t="s">
        <v>1293</v>
      </c>
      <c r="BS308" s="57" t="s">
        <v>1293</v>
      </c>
      <c r="BT308" s="57" t="s">
        <v>1293</v>
      </c>
      <c r="BU308" s="57" t="s">
        <v>1293</v>
      </c>
      <c r="BV308" s="70">
        <f t="shared" si="1090"/>
        <v>578</v>
      </c>
      <c r="BW308" s="71">
        <f t="shared" si="1091"/>
        <v>607</v>
      </c>
      <c r="BX308" s="72">
        <f t="shared" si="1092"/>
        <v>614</v>
      </c>
      <c r="BY308" s="71" t="str">
        <f t="shared" si="1093"/>
        <v>-</v>
      </c>
      <c r="BZ308" s="72">
        <f t="shared" si="1094"/>
        <v>641</v>
      </c>
      <c r="CA308" s="71" t="str">
        <f t="shared" si="1095"/>
        <v>-</v>
      </c>
      <c r="CB308" s="72">
        <f t="shared" si="1096"/>
        <v>689</v>
      </c>
      <c r="CC308" s="71">
        <f t="shared" si="1097"/>
        <v>733</v>
      </c>
      <c r="CD308" s="72">
        <f t="shared" si="1098"/>
        <v>737</v>
      </c>
      <c r="CE308" s="71">
        <f t="shared" si="1099"/>
        <v>770</v>
      </c>
      <c r="CF308" s="72">
        <f t="shared" si="1100"/>
        <v>797</v>
      </c>
      <c r="CG308" s="71">
        <f t="shared" si="1101"/>
        <v>829</v>
      </c>
      <c r="CH308" s="70">
        <f t="shared" si="1102"/>
        <v>604</v>
      </c>
      <c r="CI308" s="71">
        <f t="shared" si="1103"/>
        <v>613</v>
      </c>
      <c r="CJ308" s="72">
        <f t="shared" si="1104"/>
        <v>636</v>
      </c>
      <c r="CK308" s="72" t="str">
        <f t="shared" si="1105"/>
        <v>-</v>
      </c>
      <c r="CL308" s="72">
        <f t="shared" si="1106"/>
        <v>678</v>
      </c>
      <c r="CM308" s="72" t="str">
        <f t="shared" si="1107"/>
        <v>-</v>
      </c>
      <c r="CN308" s="72">
        <f t="shared" si="1108"/>
        <v>715</v>
      </c>
      <c r="CO308" s="72">
        <f t="shared" si="1109"/>
        <v>735</v>
      </c>
      <c r="CP308" s="72">
        <f t="shared" si="1110"/>
        <v>761</v>
      </c>
      <c r="CQ308" s="72">
        <f t="shared" si="1111"/>
        <v>794</v>
      </c>
      <c r="CR308" s="72">
        <f t="shared" si="1112"/>
        <v>828</v>
      </c>
      <c r="CS308" s="72">
        <f t="shared" si="1113"/>
        <v>832</v>
      </c>
      <c r="CT308" s="23">
        <f t="shared" si="1114"/>
        <v>1</v>
      </c>
    </row>
    <row r="309" spans="1:1030" x14ac:dyDescent="0.2">
      <c r="A309" s="3" t="str">
        <f t="shared" si="1115"/>
        <v>grm5_human_5CGC</v>
      </c>
      <c r="B309" s="3" t="s">
        <v>41</v>
      </c>
      <c r="C309" s="3" t="s">
        <v>58</v>
      </c>
      <c r="D309" s="3" t="str">
        <f>IFERROR(MID(VLOOKUP($B309,Seqs!$A:$B,2,0),E309,1),"")</f>
        <v>P</v>
      </c>
      <c r="E309" s="3">
        <v>578</v>
      </c>
      <c r="F309" s="3" t="str">
        <f>IFERROR(MID(VLOOKUP($B309,Seqs!$A:$B,2,0),G309,1),"")</f>
        <v>Y</v>
      </c>
      <c r="G309" s="3">
        <v>604</v>
      </c>
      <c r="H309" s="3" t="str">
        <f>IFERROR(MID(VLOOKUP($B309,Seqs!$A:$B,2,0),I309,1),"")</f>
        <v>T</v>
      </c>
      <c r="I309" s="23">
        <v>607</v>
      </c>
      <c r="J309" s="3" t="str">
        <f>IFERROR(MID(VLOOKUP($B309,Seqs!$A:$B,2,0),K309,1),"")</f>
        <v>S</v>
      </c>
      <c r="K309" s="23">
        <v>613</v>
      </c>
      <c r="L309" s="3" t="str">
        <f>IFERROR(MID(VLOOKUP($B309,Seqs!$A:$B,2,0),M309,1),"")</f>
        <v>S</v>
      </c>
      <c r="M309" s="3">
        <v>614</v>
      </c>
      <c r="N309" s="3" t="str">
        <f>IFERROR(MID(VLOOKUP($B309,Seqs!$A:$B,2,0),O309,1),"")</f>
        <v>I</v>
      </c>
      <c r="O309" s="3">
        <v>636</v>
      </c>
      <c r="P309" s="3" t="str">
        <f>IFERROR(MID(VLOOKUP($B309,Seqs!$A:$B,2,0),Q309,1),"")</f>
        <v/>
      </c>
      <c r="Q309" s="3" t="s">
        <v>23</v>
      </c>
      <c r="R309" s="3" t="str">
        <f>IFERROR(MID(VLOOKUP($B309,Seqs!$A:$B,2,0),S309,1),"")</f>
        <v/>
      </c>
      <c r="S309" s="3" t="s">
        <v>23</v>
      </c>
      <c r="T309" s="3" t="str">
        <f>IFERROR(MID(VLOOKUP($B309,Seqs!$A:$B,2,0),U309,1),"")</f>
        <v>Q</v>
      </c>
      <c r="U309" s="3">
        <v>641</v>
      </c>
      <c r="V309" s="3" t="str">
        <f>IFERROR(MID(VLOOKUP($B309,Seqs!$A:$B,2,0),W309,1),"")</f>
        <v>K</v>
      </c>
      <c r="W309" s="3">
        <v>678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S</v>
      </c>
      <c r="AC309" s="9">
        <v>689</v>
      </c>
      <c r="AD309" s="3" t="str">
        <f>IFERROR(MID(VLOOKUP($B309,Seqs!$A:$B,2,0),AE309,1),"")</f>
        <v>E</v>
      </c>
      <c r="AE309" s="3">
        <v>715</v>
      </c>
      <c r="AF309" s="3" t="str">
        <f>IFERROR(MID(VLOOKUP($B309,Seqs!$A:$B,2,0),AG309,1),"")</f>
        <v>C</v>
      </c>
      <c r="AG309" s="3">
        <v>733</v>
      </c>
      <c r="AH309" s="3" t="str">
        <f>IFERROR(MID(VLOOKUP($B309,Seqs!$A:$B,2,0),AI309,1),"")</f>
        <v>T</v>
      </c>
      <c r="AI309" s="3">
        <v>735</v>
      </c>
      <c r="AJ309" s="3" t="str">
        <f>IFERROR(MID(VLOOKUP($B309,Seqs!$A:$B,2,0),AK309,1),"")</f>
        <v>N</v>
      </c>
      <c r="AK309" s="3">
        <v>737</v>
      </c>
      <c r="AL309" s="3" t="str">
        <f>IFERROR(MID(VLOOKUP($B309,Seqs!$A:$B,2,0),AM309,1),"")</f>
        <v>T</v>
      </c>
      <c r="AM309" s="3">
        <v>761</v>
      </c>
      <c r="AN309" s="3" t="str">
        <f>IFERROR(MID(VLOOKUP($B309,Seqs!$A:$B,2,0),AO309,1),"")</f>
        <v>E</v>
      </c>
      <c r="AO309" s="3">
        <v>770</v>
      </c>
      <c r="AP309" s="3" t="str">
        <f>IFERROR(MID(VLOOKUP($B309,Seqs!$A:$B,2,0),AQ309,1),"")</f>
        <v>G</v>
      </c>
      <c r="AQ309" s="3">
        <v>794</v>
      </c>
      <c r="AR309" s="3" t="str">
        <f>IFERROR(MID(VLOOKUP($B309,Seqs!$A:$B,2,0),AS309,1),"")</f>
        <v>Y</v>
      </c>
      <c r="AS309" s="105">
        <v>797</v>
      </c>
      <c r="AT309" s="3" t="str">
        <f>IFERROR(MID(VLOOKUP($B309,Seqs!$A:$B,2,0),AU309,1),"")</f>
        <v>K</v>
      </c>
      <c r="AU309" s="3">
        <v>828</v>
      </c>
      <c r="AV309" s="3" t="str">
        <f>IFERROR(MID(VLOOKUP($B309,Seqs!$A:$B,2,0),AW309,1),"")</f>
        <v>P</v>
      </c>
      <c r="AW309" s="3">
        <v>829</v>
      </c>
      <c r="AX309" s="3" t="str">
        <f>IFERROR(MID(VLOOKUP($B309,Seqs!$A:$B,2,0),AY309,1),"")</f>
        <v>N</v>
      </c>
      <c r="AY309" s="3">
        <v>832</v>
      </c>
      <c r="AZ309" s="77" t="str">
        <f>VLOOKUP(B309,Classification!A:D,2,0)</f>
        <v>C</v>
      </c>
      <c r="BA309" s="94" t="str">
        <f>VLOOKUP(B309,Classification!A:D,4,0)</f>
        <v>Metabotropicglutamate</v>
      </c>
      <c r="BB309" s="27" t="b">
        <f t="shared" si="1116"/>
        <v>1</v>
      </c>
      <c r="BC309" s="23">
        <f t="shared" si="1089"/>
        <v>213</v>
      </c>
      <c r="BD309" s="4" t="s">
        <v>23</v>
      </c>
      <c r="BE309" s="3" t="s">
        <v>1381</v>
      </c>
      <c r="BF309" s="119">
        <v>3.1</v>
      </c>
      <c r="BG309" s="49" t="s">
        <v>1384</v>
      </c>
      <c r="BH309" s="49" t="s">
        <v>1384</v>
      </c>
      <c r="BJ309" s="70" t="s">
        <v>1293</v>
      </c>
      <c r="BK309" s="57" t="s">
        <v>1293</v>
      </c>
      <c r="BL309" s="57" t="s">
        <v>1293</v>
      </c>
      <c r="BM309" s="57" t="s">
        <v>1293</v>
      </c>
      <c r="BN309" s="57" t="s">
        <v>1293</v>
      </c>
      <c r="BO309" s="57" t="s">
        <v>1293</v>
      </c>
      <c r="BP309" s="57" t="s">
        <v>1293</v>
      </c>
      <c r="BQ309" s="57" t="s">
        <v>1293</v>
      </c>
      <c r="BR309" s="57" t="s">
        <v>1293</v>
      </c>
      <c r="BS309" s="57" t="s">
        <v>1293</v>
      </c>
      <c r="BT309" s="57" t="s">
        <v>1293</v>
      </c>
      <c r="BU309" s="57" t="s">
        <v>1293</v>
      </c>
      <c r="BV309" s="70">
        <f t="shared" si="1090"/>
        <v>578</v>
      </c>
      <c r="BW309" s="71">
        <f t="shared" si="1091"/>
        <v>607</v>
      </c>
      <c r="BX309" s="72">
        <f t="shared" si="1092"/>
        <v>614</v>
      </c>
      <c r="BY309" s="71" t="str">
        <f t="shared" si="1093"/>
        <v>-</v>
      </c>
      <c r="BZ309" s="72">
        <f t="shared" si="1094"/>
        <v>641</v>
      </c>
      <c r="CA309" s="71" t="str">
        <f t="shared" si="1095"/>
        <v>-</v>
      </c>
      <c r="CB309" s="72">
        <f t="shared" si="1096"/>
        <v>689</v>
      </c>
      <c r="CC309" s="71">
        <f t="shared" si="1097"/>
        <v>733</v>
      </c>
      <c r="CD309" s="72">
        <f t="shared" si="1098"/>
        <v>737</v>
      </c>
      <c r="CE309" s="71">
        <f t="shared" si="1099"/>
        <v>770</v>
      </c>
      <c r="CF309" s="72">
        <f t="shared" si="1100"/>
        <v>797</v>
      </c>
      <c r="CG309" s="71">
        <f t="shared" si="1101"/>
        <v>829</v>
      </c>
      <c r="CH309" s="70">
        <f t="shared" si="1102"/>
        <v>604</v>
      </c>
      <c r="CI309" s="71">
        <f t="shared" si="1103"/>
        <v>613</v>
      </c>
      <c r="CJ309" s="72">
        <f t="shared" si="1104"/>
        <v>636</v>
      </c>
      <c r="CK309" s="72" t="str">
        <f t="shared" si="1105"/>
        <v>-</v>
      </c>
      <c r="CL309" s="72">
        <f t="shared" si="1106"/>
        <v>678</v>
      </c>
      <c r="CM309" s="72" t="str">
        <f t="shared" si="1107"/>
        <v>-</v>
      </c>
      <c r="CN309" s="72">
        <f t="shared" si="1108"/>
        <v>715</v>
      </c>
      <c r="CO309" s="72">
        <f t="shared" si="1109"/>
        <v>735</v>
      </c>
      <c r="CP309" s="72">
        <f t="shared" si="1110"/>
        <v>761</v>
      </c>
      <c r="CQ309" s="72">
        <f t="shared" si="1111"/>
        <v>794</v>
      </c>
      <c r="CR309" s="72">
        <f t="shared" si="1112"/>
        <v>828</v>
      </c>
      <c r="CS309" s="72">
        <f t="shared" si="1113"/>
        <v>832</v>
      </c>
      <c r="CT309" s="23">
        <f t="shared" si="1114"/>
        <v>1</v>
      </c>
    </row>
    <row r="310" spans="1:1030" x14ac:dyDescent="0.2">
      <c r="A310" s="3" t="str">
        <f t="shared" si="1115"/>
        <v>grm5_human_5CGD</v>
      </c>
      <c r="B310" s="3" t="s">
        <v>41</v>
      </c>
      <c r="C310" s="3" t="s">
        <v>59</v>
      </c>
      <c r="D310" s="3" t="str">
        <f>IFERROR(MID(VLOOKUP($B310,Seqs!$A:$B,2,0),E310,1),"")</f>
        <v>P</v>
      </c>
      <c r="E310" s="3">
        <v>578</v>
      </c>
      <c r="F310" s="3" t="str">
        <f>IFERROR(MID(VLOOKUP($B310,Seqs!$A:$B,2,0),G310,1),"")</f>
        <v>Y</v>
      </c>
      <c r="G310" s="3">
        <v>604</v>
      </c>
      <c r="H310" s="3" t="str">
        <f>IFERROR(MID(VLOOKUP($B310,Seqs!$A:$B,2,0),I310,1),"")</f>
        <v>T</v>
      </c>
      <c r="I310" s="23">
        <v>607</v>
      </c>
      <c r="J310" s="3" t="str">
        <f>IFERROR(MID(VLOOKUP($B310,Seqs!$A:$B,2,0),K310,1),"")</f>
        <v>S</v>
      </c>
      <c r="K310" s="23">
        <v>613</v>
      </c>
      <c r="L310" s="3" t="str">
        <f>IFERROR(MID(VLOOKUP($B310,Seqs!$A:$B,2,0),M310,1),"")</f>
        <v>S</v>
      </c>
      <c r="M310" s="3">
        <v>614</v>
      </c>
      <c r="N310" s="3" t="str">
        <f>IFERROR(MID(VLOOKUP($B310,Seqs!$A:$B,2,0),O310,1),"")</f>
        <v>I</v>
      </c>
      <c r="O310" s="3">
        <v>636</v>
      </c>
      <c r="P310" s="3" t="str">
        <f>IFERROR(MID(VLOOKUP($B310,Seqs!$A:$B,2,0),Q310,1),"")</f>
        <v/>
      </c>
      <c r="Q310" s="3" t="s">
        <v>23</v>
      </c>
      <c r="R310" s="3" t="str">
        <f>IFERROR(MID(VLOOKUP($B310,Seqs!$A:$B,2,0),S310,1),"")</f>
        <v/>
      </c>
      <c r="S310" s="3" t="s">
        <v>23</v>
      </c>
      <c r="T310" s="3" t="str">
        <f>IFERROR(MID(VLOOKUP($B310,Seqs!$A:$B,2,0),U310,1),"")</f>
        <v>Q</v>
      </c>
      <c r="U310" s="3">
        <v>641</v>
      </c>
      <c r="V310" s="3" t="str">
        <f>IFERROR(MID(VLOOKUP($B310,Seqs!$A:$B,2,0),W310,1),"")</f>
        <v>K</v>
      </c>
      <c r="W310" s="3">
        <v>678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S</v>
      </c>
      <c r="AC310" s="9">
        <v>689</v>
      </c>
      <c r="AD310" s="3" t="str">
        <f>IFERROR(MID(VLOOKUP($B310,Seqs!$A:$B,2,0),AE310,1),"")</f>
        <v>E</v>
      </c>
      <c r="AE310" s="3">
        <v>715</v>
      </c>
      <c r="AF310" s="3" t="str">
        <f>IFERROR(MID(VLOOKUP($B310,Seqs!$A:$B,2,0),AG310,1),"")</f>
        <v>C</v>
      </c>
      <c r="AG310" s="3">
        <v>733</v>
      </c>
      <c r="AH310" s="3" t="str">
        <f>IFERROR(MID(VLOOKUP($B310,Seqs!$A:$B,2,0),AI310,1),"")</f>
        <v>T</v>
      </c>
      <c r="AI310" s="3">
        <v>735</v>
      </c>
      <c r="AJ310" s="3" t="str">
        <f>IFERROR(MID(VLOOKUP($B310,Seqs!$A:$B,2,0),AK310,1),"")</f>
        <v>N</v>
      </c>
      <c r="AK310" s="3">
        <v>737</v>
      </c>
      <c r="AL310" s="3" t="str">
        <f>IFERROR(MID(VLOOKUP($B310,Seqs!$A:$B,2,0),AM310,1),"")</f>
        <v>T</v>
      </c>
      <c r="AM310" s="3">
        <v>761</v>
      </c>
      <c r="AN310" s="3" t="str">
        <f>IFERROR(MID(VLOOKUP($B310,Seqs!$A:$B,2,0),AO310,1),"")</f>
        <v>E</v>
      </c>
      <c r="AO310" s="3">
        <v>770</v>
      </c>
      <c r="AP310" s="3" t="str">
        <f>IFERROR(MID(VLOOKUP($B310,Seqs!$A:$B,2,0),AQ310,1),"")</f>
        <v>G</v>
      </c>
      <c r="AQ310" s="3">
        <v>794</v>
      </c>
      <c r="AR310" s="3" t="str">
        <f>IFERROR(MID(VLOOKUP($B310,Seqs!$A:$B,2,0),AS310,1),"")</f>
        <v>Y</v>
      </c>
      <c r="AS310" s="105">
        <v>797</v>
      </c>
      <c r="AT310" s="3" t="str">
        <f>IFERROR(MID(VLOOKUP($B310,Seqs!$A:$B,2,0),AU310,1),"")</f>
        <v>K</v>
      </c>
      <c r="AU310" s="3">
        <v>828</v>
      </c>
      <c r="AV310" s="3" t="str">
        <f>IFERROR(MID(VLOOKUP($B310,Seqs!$A:$B,2,0),AW310,1),"")</f>
        <v>P</v>
      </c>
      <c r="AW310" s="3">
        <v>829</v>
      </c>
      <c r="AX310" s="3" t="str">
        <f>IFERROR(MID(VLOOKUP($B310,Seqs!$A:$B,2,0),AY310,1),"")</f>
        <v>R</v>
      </c>
      <c r="AY310" s="3">
        <v>831</v>
      </c>
      <c r="AZ310" s="77" t="str">
        <f>VLOOKUP(B310,Classification!A:D,2,0)</f>
        <v>C</v>
      </c>
      <c r="BA310" s="94" t="str">
        <f>VLOOKUP(B310,Classification!A:D,4,0)</f>
        <v>Metabotropicglutamate</v>
      </c>
      <c r="BB310" s="27" t="b">
        <f t="shared" si="1116"/>
        <v>1</v>
      </c>
      <c r="BC310" s="23">
        <f t="shared" si="1089"/>
        <v>212</v>
      </c>
      <c r="BD310" s="4" t="s">
        <v>23</v>
      </c>
      <c r="BE310" s="3" t="s">
        <v>1381</v>
      </c>
      <c r="BF310" s="119">
        <v>2.6</v>
      </c>
      <c r="BG310" s="49" t="s">
        <v>1384</v>
      </c>
      <c r="BH310" s="49" t="s">
        <v>1384</v>
      </c>
      <c r="BJ310" s="70" t="s">
        <v>1293</v>
      </c>
      <c r="BK310" s="57" t="s">
        <v>1293</v>
      </c>
      <c r="BL310" s="57" t="s">
        <v>1293</v>
      </c>
      <c r="BM310" s="57" t="s">
        <v>1293</v>
      </c>
      <c r="BN310" s="57" t="s">
        <v>1293</v>
      </c>
      <c r="BO310" s="57" t="s">
        <v>1293</v>
      </c>
      <c r="BP310" s="57" t="s">
        <v>1293</v>
      </c>
      <c r="BQ310" s="57" t="s">
        <v>1293</v>
      </c>
      <c r="BR310" s="57" t="s">
        <v>1293</v>
      </c>
      <c r="BS310" s="57" t="s">
        <v>1293</v>
      </c>
      <c r="BT310" s="57" t="s">
        <v>1293</v>
      </c>
      <c r="BU310" s="57" t="s">
        <v>1293</v>
      </c>
      <c r="BV310" s="70">
        <f t="shared" si="1090"/>
        <v>578</v>
      </c>
      <c r="BW310" s="71">
        <f t="shared" si="1091"/>
        <v>607</v>
      </c>
      <c r="BX310" s="72">
        <f t="shared" si="1092"/>
        <v>614</v>
      </c>
      <c r="BY310" s="71" t="str">
        <f t="shared" si="1093"/>
        <v>-</v>
      </c>
      <c r="BZ310" s="72">
        <f t="shared" si="1094"/>
        <v>641</v>
      </c>
      <c r="CA310" s="71" t="str">
        <f t="shared" si="1095"/>
        <v>-</v>
      </c>
      <c r="CB310" s="72">
        <f t="shared" si="1096"/>
        <v>689</v>
      </c>
      <c r="CC310" s="71">
        <f t="shared" si="1097"/>
        <v>733</v>
      </c>
      <c r="CD310" s="72">
        <f t="shared" si="1098"/>
        <v>737</v>
      </c>
      <c r="CE310" s="71">
        <f t="shared" si="1099"/>
        <v>770</v>
      </c>
      <c r="CF310" s="72">
        <f t="shared" si="1100"/>
        <v>797</v>
      </c>
      <c r="CG310" s="71">
        <f t="shared" si="1101"/>
        <v>829</v>
      </c>
      <c r="CH310" s="70">
        <f t="shared" si="1102"/>
        <v>604</v>
      </c>
      <c r="CI310" s="71">
        <f t="shared" si="1103"/>
        <v>613</v>
      </c>
      <c r="CJ310" s="72">
        <f t="shared" si="1104"/>
        <v>636</v>
      </c>
      <c r="CK310" s="72" t="str">
        <f t="shared" si="1105"/>
        <v>-</v>
      </c>
      <c r="CL310" s="72">
        <f t="shared" si="1106"/>
        <v>678</v>
      </c>
      <c r="CM310" s="72" t="str">
        <f t="shared" si="1107"/>
        <v>-</v>
      </c>
      <c r="CN310" s="72">
        <f t="shared" si="1108"/>
        <v>715</v>
      </c>
      <c r="CO310" s="72">
        <f t="shared" si="1109"/>
        <v>735</v>
      </c>
      <c r="CP310" s="72">
        <f t="shared" si="1110"/>
        <v>761</v>
      </c>
      <c r="CQ310" s="72">
        <f t="shared" si="1111"/>
        <v>794</v>
      </c>
      <c r="CR310" s="72">
        <f t="shared" si="1112"/>
        <v>828</v>
      </c>
      <c r="CS310" s="72">
        <f t="shared" si="1113"/>
        <v>831</v>
      </c>
      <c r="CT310" s="23">
        <f t="shared" si="1114"/>
        <v>1</v>
      </c>
      <c r="AMP310" s="3"/>
    </row>
    <row r="311" spans="1:1030" s="12" customFormat="1" x14ac:dyDescent="0.2">
      <c r="A311" s="9" t="str">
        <f>CONCATENATE(B311,"_",C311)</f>
        <v>grm5_human_6FFH</v>
      </c>
      <c r="B311" s="9" t="s">
        <v>41</v>
      </c>
      <c r="C311" s="9" t="s">
        <v>1487</v>
      </c>
      <c r="D311" s="9" t="str">
        <f>IFERROR(MID(VLOOKUP($B311,Seqs!$A:$B,2,0),E311,1),"")</f>
        <v>P</v>
      </c>
      <c r="E311" s="9">
        <v>578</v>
      </c>
      <c r="F311" s="9" t="str">
        <f>IFERROR(MID(VLOOKUP($B311,Seqs!$A:$B,2,0),G311,1),"")</f>
        <v>Y</v>
      </c>
      <c r="G311" s="9">
        <v>604</v>
      </c>
      <c r="H311" s="9" t="str">
        <f>IFERROR(MID(VLOOKUP($B311,Seqs!$A:$B,2,0),I311,1),"")</f>
        <v>T</v>
      </c>
      <c r="I311" s="109">
        <v>607</v>
      </c>
      <c r="J311" s="9" t="str">
        <f>IFERROR(MID(VLOOKUP($B311,Seqs!$A:$B,2,0),K311,1),"")</f>
        <v>S</v>
      </c>
      <c r="K311" s="109">
        <v>613</v>
      </c>
      <c r="L311" s="9" t="str">
        <f>IFERROR(MID(VLOOKUP($B311,Seqs!$A:$B,2,0),M311,1),"")</f>
        <v>S</v>
      </c>
      <c r="M311" s="9">
        <v>614</v>
      </c>
      <c r="N311" s="9" t="str">
        <f>IFERROR(MID(VLOOKUP($B311,Seqs!$A:$B,2,0),O311,1),"")</f>
        <v>I</v>
      </c>
      <c r="O311" s="9">
        <v>636</v>
      </c>
      <c r="P311" s="9" t="str">
        <f>IFERROR(MID(VLOOKUP($B311,Seqs!$A:$B,2,0),Q311,1),"")</f>
        <v/>
      </c>
      <c r="Q311" s="9" t="s">
        <v>23</v>
      </c>
      <c r="R311" s="9" t="str">
        <f>IFERROR(MID(VLOOKUP($B311,Seqs!$A:$B,2,0),S311,1),"")</f>
        <v/>
      </c>
      <c r="S311" s="9" t="s">
        <v>23</v>
      </c>
      <c r="T311" s="9" t="str">
        <f>IFERROR(MID(VLOOKUP($B311,Seqs!$A:$B,2,0),U311,1),"")</f>
        <v>Q</v>
      </c>
      <c r="U311" s="9">
        <v>641</v>
      </c>
      <c r="V311" s="9" t="str">
        <f>IFERROR(MID(VLOOKUP($B311,Seqs!$A:$B,2,0),W311,1),"")</f>
        <v>K</v>
      </c>
      <c r="W311" s="9">
        <v>678</v>
      </c>
      <c r="X311" s="9" t="str">
        <f>IFERROR(MID(VLOOKUP($B311,Seqs!$A:$B,2,0),Y311,1),"")</f>
        <v/>
      </c>
      <c r="Y311" s="9" t="s">
        <v>23</v>
      </c>
      <c r="Z311" s="9" t="str">
        <f>IFERROR(MID(VLOOKUP($B311,Seqs!$A:$B,2,0),AA311,1),"")</f>
        <v/>
      </c>
      <c r="AA311" s="9" t="s">
        <v>23</v>
      </c>
      <c r="AB311" s="9" t="str">
        <f>IFERROR(MID(VLOOKUP($B311,Seqs!$A:$B,2,0),AC311,1),"")</f>
        <v>S</v>
      </c>
      <c r="AC311" s="9">
        <v>689</v>
      </c>
      <c r="AD311" s="9" t="str">
        <f>IFERROR(MID(VLOOKUP($B311,Seqs!$A:$B,2,0),AE311,1),"")</f>
        <v>E</v>
      </c>
      <c r="AE311" s="9">
        <v>715</v>
      </c>
      <c r="AF311" s="9" t="str">
        <f>IFERROR(MID(VLOOKUP($B311,Seqs!$A:$B,2,0),AG311,1),"")</f>
        <v>C</v>
      </c>
      <c r="AG311" s="9">
        <v>733</v>
      </c>
      <c r="AH311" s="9" t="str">
        <f>IFERROR(MID(VLOOKUP($B311,Seqs!$A:$B,2,0),AI311,1),"")</f>
        <v>T</v>
      </c>
      <c r="AI311" s="9">
        <v>735</v>
      </c>
      <c r="AJ311" s="9" t="str">
        <f>IFERROR(MID(VLOOKUP($B311,Seqs!$A:$B,2,0),AK311,1),"")</f>
        <v>T</v>
      </c>
      <c r="AK311" s="105">
        <v>736</v>
      </c>
      <c r="AL311" s="9" t="str">
        <f>IFERROR(MID(VLOOKUP($B311,Seqs!$A:$B,2,0),AM311,1),"")</f>
        <v>T</v>
      </c>
      <c r="AM311" s="9">
        <v>761</v>
      </c>
      <c r="AN311" s="9" t="str">
        <f>IFERROR(MID(VLOOKUP($B311,Seqs!$A:$B,2,0),AO311,1),"")</f>
        <v>E</v>
      </c>
      <c r="AO311" s="9">
        <v>770</v>
      </c>
      <c r="AP311" s="9" t="str">
        <f>IFERROR(MID(VLOOKUP($B311,Seqs!$A:$B,2,0),AQ311,1),"")</f>
        <v>G</v>
      </c>
      <c r="AQ311" s="9">
        <v>794</v>
      </c>
      <c r="AR311" s="9" t="str">
        <f>IFERROR(MID(VLOOKUP($B311,Seqs!$A:$B,2,0),AS311,1),"")</f>
        <v>Y</v>
      </c>
      <c r="AS311" s="105">
        <v>797</v>
      </c>
      <c r="AT311" s="9" t="str">
        <f>IFERROR(MID(VLOOKUP($B311,Seqs!$A:$B,2,0),AU311,1),"")</f>
        <v>K</v>
      </c>
      <c r="AU311" s="9">
        <v>828</v>
      </c>
      <c r="AV311" s="9" t="str">
        <f>IFERROR(MID(VLOOKUP($B311,Seqs!$A:$B,2,0),AW311,1),"")</f>
        <v>P</v>
      </c>
      <c r="AW311" s="9">
        <v>829</v>
      </c>
      <c r="AX311" s="9" t="str">
        <f>IFERROR(MID(VLOOKUP($B311,Seqs!$A:$B,2,0),AY311,1),"")</f>
        <v>N</v>
      </c>
      <c r="AY311" s="9">
        <v>832</v>
      </c>
      <c r="AZ311" s="110" t="str">
        <f>VLOOKUP(B311,Classification!A:D,2,0)</f>
        <v>C</v>
      </c>
      <c r="BA311" s="98" t="str">
        <f>VLOOKUP(B311,Classification!A:D,4,0)</f>
        <v>Metabotropicglutamate</v>
      </c>
      <c r="BB311" s="36" t="b">
        <f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109">
        <f>_xlfn.AGGREGATE(9,6,CH311:CS311)-_xlfn.AGGREGATE(9,6,BV311:CG311)+12</f>
        <v>214</v>
      </c>
      <c r="BD311" s="11" t="s">
        <v>23</v>
      </c>
      <c r="BE311" s="9" t="s">
        <v>1381</v>
      </c>
      <c r="BF311" s="120">
        <v>2.65</v>
      </c>
      <c r="BG311" s="51" t="s">
        <v>1</v>
      </c>
      <c r="BH311" s="51" t="s">
        <v>1</v>
      </c>
      <c r="BI311" s="9"/>
      <c r="BJ311" s="111" t="s">
        <v>1293</v>
      </c>
      <c r="BK311" s="112" t="s">
        <v>1293</v>
      </c>
      <c r="BL311" s="112" t="s">
        <v>1293</v>
      </c>
      <c r="BM311" s="112" t="s">
        <v>1293</v>
      </c>
      <c r="BN311" s="112" t="s">
        <v>1293</v>
      </c>
      <c r="BO311" s="112" t="s">
        <v>1293</v>
      </c>
      <c r="BP311" s="112" t="s">
        <v>1293</v>
      </c>
      <c r="BQ311" s="112" t="s">
        <v>1293</v>
      </c>
      <c r="BR311" s="112" t="s">
        <v>1293</v>
      </c>
      <c r="BS311" s="112" t="s">
        <v>1293</v>
      </c>
      <c r="BT311" s="112" t="s">
        <v>1293</v>
      </c>
      <c r="BU311" s="112" t="s">
        <v>1293</v>
      </c>
      <c r="BV311" s="111">
        <f>E311</f>
        <v>578</v>
      </c>
      <c r="BW311" s="113">
        <f>I311</f>
        <v>607</v>
      </c>
      <c r="BX311" s="114">
        <f>M311</f>
        <v>614</v>
      </c>
      <c r="BY311" s="113" t="str">
        <f>Q311</f>
        <v>-</v>
      </c>
      <c r="BZ311" s="114">
        <f>U311</f>
        <v>641</v>
      </c>
      <c r="CA311" s="113" t="str">
        <f>Y311</f>
        <v>-</v>
      </c>
      <c r="CB311" s="114">
        <f>AC311</f>
        <v>689</v>
      </c>
      <c r="CC311" s="113">
        <f>AG311</f>
        <v>733</v>
      </c>
      <c r="CD311" s="114">
        <f>AK311</f>
        <v>736</v>
      </c>
      <c r="CE311" s="113">
        <f>AO311</f>
        <v>770</v>
      </c>
      <c r="CF311" s="114">
        <f>AS311</f>
        <v>797</v>
      </c>
      <c r="CG311" s="113">
        <f>AW311</f>
        <v>829</v>
      </c>
      <c r="CH311" s="111">
        <f>G311</f>
        <v>604</v>
      </c>
      <c r="CI311" s="113">
        <f>K311</f>
        <v>613</v>
      </c>
      <c r="CJ311" s="114">
        <f>O311</f>
        <v>636</v>
      </c>
      <c r="CK311" s="114" t="str">
        <f>S311</f>
        <v>-</v>
      </c>
      <c r="CL311" s="114">
        <f>W311</f>
        <v>678</v>
      </c>
      <c r="CM311" s="114" t="str">
        <f>AA311</f>
        <v>-</v>
      </c>
      <c r="CN311" s="114">
        <f>AE311</f>
        <v>715</v>
      </c>
      <c r="CO311" s="114">
        <f>AI311</f>
        <v>735</v>
      </c>
      <c r="CP311" s="114">
        <f>AM311</f>
        <v>761</v>
      </c>
      <c r="CQ311" s="114">
        <f>AQ311</f>
        <v>794</v>
      </c>
      <c r="CR311" s="114">
        <f>AU311</f>
        <v>828</v>
      </c>
      <c r="CS311" s="114">
        <f>AY311</f>
        <v>832</v>
      </c>
      <c r="CT311" s="109">
        <f>M311-K311</f>
        <v>1</v>
      </c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  <c r="TB311" s="9"/>
      <c r="TC311" s="9"/>
      <c r="TD311" s="9"/>
      <c r="TE311" s="9"/>
      <c r="TF311" s="9"/>
      <c r="TG311" s="9"/>
      <c r="TH311" s="9"/>
      <c r="TI311" s="9"/>
      <c r="TJ311" s="9"/>
      <c r="TK311" s="9"/>
      <c r="TL311" s="9"/>
      <c r="TM311" s="9"/>
      <c r="TN311" s="9"/>
      <c r="TO311" s="9"/>
      <c r="TP311" s="9"/>
      <c r="TQ311" s="9"/>
      <c r="TR311" s="9"/>
      <c r="TS311" s="9"/>
      <c r="TT311" s="9"/>
      <c r="TU311" s="9"/>
      <c r="TV311" s="9"/>
      <c r="TW311" s="9"/>
      <c r="TX311" s="9"/>
      <c r="TY311" s="9"/>
      <c r="TZ311" s="9"/>
      <c r="UA311" s="9"/>
      <c r="UB311" s="9"/>
      <c r="UC311" s="9"/>
      <c r="UD311" s="9"/>
      <c r="UE311" s="9"/>
      <c r="UF311" s="9"/>
      <c r="UG311" s="9"/>
      <c r="UH311" s="9"/>
      <c r="UI311" s="9"/>
      <c r="UJ311" s="9"/>
      <c r="UK311" s="9"/>
      <c r="UL311" s="9"/>
      <c r="UM311" s="9"/>
      <c r="UN311" s="9"/>
      <c r="UO311" s="9"/>
      <c r="UP311" s="9"/>
      <c r="UQ311" s="9"/>
      <c r="UR311" s="9"/>
      <c r="US311" s="9"/>
      <c r="UT311" s="9"/>
      <c r="UU311" s="9"/>
      <c r="UV311" s="9"/>
      <c r="UW311" s="9"/>
      <c r="UX311" s="9"/>
      <c r="UY311" s="9"/>
      <c r="UZ311" s="9"/>
      <c r="VA311" s="9"/>
      <c r="VB311" s="9"/>
      <c r="VC311" s="9"/>
      <c r="VD311" s="9"/>
      <c r="VE311" s="9"/>
      <c r="VF311" s="9"/>
      <c r="VG311" s="9"/>
      <c r="VH311" s="9"/>
      <c r="VI311" s="9"/>
      <c r="VJ311" s="9"/>
      <c r="VK311" s="9"/>
      <c r="VL311" s="9"/>
      <c r="VM311" s="9"/>
      <c r="VN311" s="9"/>
      <c r="VO311" s="9"/>
      <c r="VP311" s="9"/>
      <c r="VQ311" s="9"/>
      <c r="VR311" s="9"/>
      <c r="VS311" s="9"/>
      <c r="VT311" s="9"/>
      <c r="VU311" s="9"/>
      <c r="VV311" s="9"/>
      <c r="VW311" s="9"/>
      <c r="VX311" s="9"/>
      <c r="VY311" s="9"/>
      <c r="VZ311" s="9"/>
      <c r="WA311" s="9"/>
      <c r="WB311" s="9"/>
      <c r="WC311" s="9"/>
      <c r="WD311" s="9"/>
      <c r="WE311" s="9"/>
      <c r="WF311" s="9"/>
      <c r="WG311" s="9"/>
      <c r="WH311" s="9"/>
      <c r="WI311" s="9"/>
      <c r="WJ311" s="9"/>
      <c r="WK311" s="9"/>
      <c r="WL311" s="9"/>
      <c r="WM311" s="9"/>
      <c r="WN311" s="9"/>
      <c r="WO311" s="9"/>
      <c r="WP311" s="9"/>
      <c r="WQ311" s="9"/>
      <c r="WR311" s="9"/>
      <c r="WS311" s="9"/>
      <c r="WT311" s="9"/>
      <c r="WU311" s="9"/>
      <c r="WV311" s="9"/>
      <c r="WW311" s="9"/>
      <c r="WX311" s="9"/>
      <c r="WY311" s="9"/>
      <c r="WZ311" s="9"/>
      <c r="XA311" s="9"/>
      <c r="XB311" s="9"/>
      <c r="XC311" s="9"/>
      <c r="XD311" s="9"/>
      <c r="XE311" s="9"/>
      <c r="XF311" s="9"/>
      <c r="XG311" s="9"/>
      <c r="XH311" s="9"/>
      <c r="XI311" s="9"/>
      <c r="XJ311" s="9"/>
      <c r="XK311" s="9"/>
      <c r="XL311" s="9"/>
      <c r="XM311" s="9"/>
      <c r="XN311" s="9"/>
      <c r="XO311" s="9"/>
      <c r="XP311" s="9"/>
      <c r="XQ311" s="9"/>
      <c r="XR311" s="9"/>
      <c r="XS311" s="9"/>
      <c r="XT311" s="9"/>
      <c r="XU311" s="9"/>
      <c r="XV311" s="9"/>
      <c r="XW311" s="9"/>
      <c r="XX311" s="9"/>
      <c r="XY311" s="9"/>
      <c r="XZ311" s="9"/>
      <c r="YA311" s="9"/>
      <c r="YB311" s="9"/>
      <c r="YC311" s="9"/>
      <c r="YD311" s="9"/>
      <c r="YE311" s="9"/>
      <c r="YF311" s="9"/>
      <c r="YG311" s="9"/>
      <c r="YH311" s="9"/>
      <c r="YI311" s="9"/>
      <c r="YJ311" s="9"/>
      <c r="YK311" s="9"/>
      <c r="YL311" s="9"/>
      <c r="YM311" s="9"/>
      <c r="YN311" s="9"/>
      <c r="YO311" s="9"/>
      <c r="YP311" s="9"/>
      <c r="YQ311" s="9"/>
      <c r="YR311" s="9"/>
      <c r="YS311" s="9"/>
      <c r="YT311" s="9"/>
      <c r="YU311" s="9"/>
      <c r="YV311" s="9"/>
      <c r="YW311" s="9"/>
      <c r="YX311" s="9"/>
      <c r="YY311" s="9"/>
      <c r="YZ311" s="9"/>
      <c r="ZA311" s="9"/>
      <c r="ZB311" s="9"/>
      <c r="ZC311" s="9"/>
      <c r="ZD311" s="9"/>
      <c r="ZE311" s="9"/>
      <c r="ZF311" s="9"/>
      <c r="ZG311" s="9"/>
      <c r="ZH311" s="9"/>
      <c r="ZI311" s="9"/>
      <c r="ZJ311" s="9"/>
      <c r="ZK311" s="9"/>
      <c r="ZL311" s="9"/>
      <c r="ZM311" s="9"/>
      <c r="ZN311" s="9"/>
      <c r="ZO311" s="9"/>
      <c r="ZP311" s="9"/>
      <c r="ZQ311" s="9"/>
      <c r="ZR311" s="9"/>
      <c r="ZS311" s="9"/>
      <c r="ZT311" s="9"/>
      <c r="ZU311" s="9"/>
      <c r="ZV311" s="9"/>
      <c r="ZW311" s="9"/>
      <c r="ZX311" s="9"/>
      <c r="ZY311" s="9"/>
      <c r="ZZ311" s="9"/>
      <c r="AAA311" s="9"/>
      <c r="AAB311" s="9"/>
      <c r="AAC311" s="9"/>
      <c r="AAD311" s="9"/>
      <c r="AAE311" s="9"/>
      <c r="AAF311" s="9"/>
      <c r="AAG311" s="9"/>
      <c r="AAH311" s="9"/>
      <c r="AAI311" s="9"/>
      <c r="AAJ311" s="9"/>
      <c r="AAK311" s="9"/>
      <c r="AAL311" s="9"/>
      <c r="AAM311" s="9"/>
      <c r="AAN311" s="9"/>
      <c r="AAO311" s="9"/>
      <c r="AAP311" s="9"/>
      <c r="AAQ311" s="9"/>
      <c r="AAR311" s="9"/>
      <c r="AAS311" s="9"/>
      <c r="AAT311" s="9"/>
      <c r="AAU311" s="9"/>
      <c r="AAV311" s="9"/>
      <c r="AAW311" s="9"/>
      <c r="AAX311" s="9"/>
      <c r="AAY311" s="9"/>
      <c r="AAZ311" s="9"/>
      <c r="ABA311" s="9"/>
      <c r="ABB311" s="9"/>
      <c r="ABC311" s="9"/>
      <c r="ABD311" s="9"/>
      <c r="ABE311" s="9"/>
      <c r="ABF311" s="9"/>
      <c r="ABG311" s="9"/>
      <c r="ABH311" s="9"/>
      <c r="ABI311" s="9"/>
      <c r="ABJ311" s="9"/>
      <c r="ABK311" s="9"/>
      <c r="ABL311" s="9"/>
      <c r="ABM311" s="9"/>
      <c r="ABN311" s="9"/>
      <c r="ABO311" s="9"/>
      <c r="ABP311" s="9"/>
      <c r="ABQ311" s="9"/>
      <c r="ABR311" s="9"/>
      <c r="ABS311" s="9"/>
      <c r="ABT311" s="9"/>
      <c r="ABU311" s="9"/>
      <c r="ABV311" s="9"/>
      <c r="ABW311" s="9"/>
      <c r="ABX311" s="9"/>
      <c r="ABY311" s="9"/>
      <c r="ABZ311" s="9"/>
      <c r="ACA311" s="9"/>
      <c r="ACB311" s="9"/>
      <c r="ACC311" s="9"/>
      <c r="ACD311" s="9"/>
      <c r="ACE311" s="9"/>
      <c r="ACF311" s="9"/>
      <c r="ACG311" s="9"/>
      <c r="ACH311" s="9"/>
      <c r="ACI311" s="9"/>
      <c r="ACJ311" s="9"/>
      <c r="ACK311" s="9"/>
      <c r="ACL311" s="9"/>
      <c r="ACM311" s="9"/>
      <c r="ACN311" s="9"/>
      <c r="ACO311" s="9"/>
      <c r="ACP311" s="9"/>
      <c r="ACQ311" s="9"/>
      <c r="ACR311" s="9"/>
      <c r="ACS311" s="9"/>
      <c r="ACT311" s="9"/>
      <c r="ACU311" s="9"/>
      <c r="ACV311" s="9"/>
      <c r="ACW311" s="9"/>
      <c r="ACX311" s="9"/>
      <c r="ACY311" s="9"/>
      <c r="ACZ311" s="9"/>
      <c r="ADA311" s="9"/>
      <c r="ADB311" s="9"/>
      <c r="ADC311" s="9"/>
      <c r="ADD311" s="9"/>
      <c r="ADE311" s="9"/>
      <c r="ADF311" s="9"/>
      <c r="ADG311" s="9"/>
      <c r="ADH311" s="9"/>
      <c r="ADI311" s="9"/>
      <c r="ADJ311" s="9"/>
      <c r="ADK311" s="9"/>
      <c r="ADL311" s="9"/>
      <c r="ADM311" s="9"/>
      <c r="ADN311" s="9"/>
      <c r="ADO311" s="9"/>
      <c r="ADP311" s="9"/>
      <c r="ADQ311" s="9"/>
      <c r="ADR311" s="9"/>
      <c r="ADS311" s="9"/>
      <c r="ADT311" s="9"/>
      <c r="ADU311" s="9"/>
      <c r="ADV311" s="9"/>
      <c r="ADW311" s="9"/>
      <c r="ADX311" s="9"/>
      <c r="ADY311" s="9"/>
      <c r="ADZ311" s="9"/>
      <c r="AEA311" s="9"/>
      <c r="AEB311" s="9"/>
      <c r="AEC311" s="9"/>
      <c r="AED311" s="9"/>
      <c r="AEE311" s="9"/>
      <c r="AEF311" s="9"/>
      <c r="AEG311" s="9"/>
      <c r="AEH311" s="9"/>
      <c r="AEI311" s="9"/>
      <c r="AEJ311" s="9"/>
      <c r="AEK311" s="9"/>
      <c r="AEL311" s="9"/>
      <c r="AEM311" s="9"/>
      <c r="AEN311" s="9"/>
      <c r="AEO311" s="9"/>
      <c r="AEP311" s="9"/>
      <c r="AEQ311" s="9"/>
      <c r="AER311" s="9"/>
      <c r="AES311" s="9"/>
      <c r="AET311" s="9"/>
      <c r="AEU311" s="9"/>
      <c r="AEV311" s="9"/>
      <c r="AEW311" s="9"/>
      <c r="AEX311" s="9"/>
      <c r="AEY311" s="9"/>
      <c r="AEZ311" s="9"/>
      <c r="AFA311" s="9"/>
      <c r="AFB311" s="9"/>
      <c r="AFC311" s="9"/>
      <c r="AFD311" s="9"/>
      <c r="AFE311" s="9"/>
      <c r="AFF311" s="9"/>
      <c r="AFG311" s="9"/>
      <c r="AFH311" s="9"/>
      <c r="AFI311" s="9"/>
      <c r="AFJ311" s="9"/>
      <c r="AFK311" s="9"/>
      <c r="AFL311" s="9"/>
      <c r="AFM311" s="9"/>
      <c r="AFN311" s="9"/>
      <c r="AFO311" s="9"/>
      <c r="AFP311" s="9"/>
      <c r="AFQ311" s="9"/>
      <c r="AFR311" s="9"/>
      <c r="AFS311" s="9"/>
      <c r="AFT311" s="9"/>
      <c r="AFU311" s="9"/>
      <c r="AFV311" s="9"/>
      <c r="AFW311" s="9"/>
      <c r="AFX311" s="9"/>
      <c r="AFY311" s="9"/>
      <c r="AFZ311" s="9"/>
      <c r="AGA311" s="9"/>
      <c r="AGB311" s="9"/>
      <c r="AGC311" s="9"/>
      <c r="AGD311" s="9"/>
      <c r="AGE311" s="9"/>
      <c r="AGF311" s="9"/>
      <c r="AGG311" s="9"/>
      <c r="AGH311" s="9"/>
      <c r="AGI311" s="9"/>
      <c r="AGJ311" s="9"/>
      <c r="AGK311" s="9"/>
      <c r="AGL311" s="9"/>
      <c r="AGM311" s="9"/>
      <c r="AGN311" s="9"/>
      <c r="AGO311" s="9"/>
      <c r="AGP311" s="9"/>
      <c r="AGQ311" s="9"/>
      <c r="AGR311" s="9"/>
      <c r="AGS311" s="9"/>
      <c r="AGT311" s="9"/>
      <c r="AGU311" s="9"/>
      <c r="AGV311" s="9"/>
      <c r="AGW311" s="9"/>
      <c r="AGX311" s="9"/>
      <c r="AGY311" s="9"/>
      <c r="AGZ311" s="9"/>
      <c r="AHA311" s="9"/>
      <c r="AHB311" s="9"/>
      <c r="AHC311" s="9"/>
      <c r="AHD311" s="9"/>
      <c r="AHE311" s="9"/>
      <c r="AHF311" s="9"/>
      <c r="AHG311" s="9"/>
      <c r="AHH311" s="9"/>
      <c r="AHI311" s="9"/>
      <c r="AHJ311" s="9"/>
      <c r="AHK311" s="9"/>
      <c r="AHL311" s="9"/>
      <c r="AHM311" s="9"/>
      <c r="AHN311" s="9"/>
      <c r="AHO311" s="9"/>
      <c r="AHP311" s="9"/>
      <c r="AHQ311" s="9"/>
      <c r="AHR311" s="9"/>
      <c r="AHS311" s="9"/>
      <c r="AHT311" s="9"/>
      <c r="AHU311" s="9"/>
      <c r="AHV311" s="9"/>
      <c r="AHW311" s="9"/>
      <c r="AHX311" s="9"/>
      <c r="AHY311" s="9"/>
      <c r="AHZ311" s="9"/>
      <c r="AIA311" s="9"/>
      <c r="AIB311" s="9"/>
      <c r="AIC311" s="9"/>
      <c r="AID311" s="9"/>
      <c r="AIE311" s="9"/>
      <c r="AIF311" s="9"/>
      <c r="AIG311" s="9"/>
      <c r="AIH311" s="9"/>
      <c r="AII311" s="9"/>
      <c r="AIJ311" s="9"/>
      <c r="AIK311" s="9"/>
      <c r="AIL311" s="9"/>
      <c r="AIM311" s="9"/>
      <c r="AIN311" s="9"/>
      <c r="AIO311" s="9"/>
      <c r="AIP311" s="9"/>
      <c r="AIQ311" s="9"/>
      <c r="AIR311" s="9"/>
      <c r="AIS311" s="9"/>
      <c r="AIT311" s="9"/>
      <c r="AIU311" s="9"/>
      <c r="AIV311" s="9"/>
      <c r="AIW311" s="9"/>
      <c r="AIX311" s="9"/>
      <c r="AIY311" s="9"/>
      <c r="AIZ311" s="9"/>
      <c r="AJA311" s="9"/>
      <c r="AJB311" s="9"/>
      <c r="AJC311" s="9"/>
      <c r="AJD311" s="9"/>
      <c r="AJE311" s="9"/>
      <c r="AJF311" s="9"/>
      <c r="AJG311" s="9"/>
      <c r="AJH311" s="9"/>
      <c r="AJI311" s="9"/>
      <c r="AJJ311" s="9"/>
      <c r="AJK311" s="9"/>
      <c r="AJL311" s="9"/>
      <c r="AJM311" s="9"/>
      <c r="AJN311" s="9"/>
      <c r="AJO311" s="9"/>
      <c r="AJP311" s="9"/>
      <c r="AJQ311" s="9"/>
      <c r="AJR311" s="9"/>
      <c r="AJS311" s="9"/>
      <c r="AJT311" s="9"/>
      <c r="AJU311" s="9"/>
      <c r="AJV311" s="9"/>
      <c r="AJW311" s="9"/>
      <c r="AJX311" s="9"/>
      <c r="AJY311" s="9"/>
      <c r="AJZ311" s="9"/>
      <c r="AKA311" s="9"/>
      <c r="AKB311" s="9"/>
      <c r="AKC311" s="9"/>
      <c r="AKD311" s="9"/>
      <c r="AKE311" s="9"/>
      <c r="AKF311" s="9"/>
      <c r="AKG311" s="9"/>
      <c r="AKH311" s="9"/>
      <c r="AKI311" s="9"/>
      <c r="AKJ311" s="9"/>
      <c r="AKK311" s="9"/>
      <c r="AKL311" s="9"/>
      <c r="AKM311" s="9"/>
      <c r="AKN311" s="9"/>
      <c r="AKO311" s="9"/>
      <c r="AKP311" s="9"/>
      <c r="AKQ311" s="9"/>
      <c r="AKR311" s="9"/>
      <c r="AKS311" s="9"/>
      <c r="AKT311" s="9"/>
      <c r="AKU311" s="9"/>
      <c r="AKV311" s="9"/>
      <c r="AKW311" s="9"/>
      <c r="AKX311" s="9"/>
      <c r="AKY311" s="9"/>
      <c r="AKZ311" s="9"/>
      <c r="ALA311" s="9"/>
      <c r="ALB311" s="9"/>
      <c r="ALC311" s="9"/>
      <c r="ALD311" s="9"/>
      <c r="ALE311" s="9"/>
      <c r="ALF311" s="9"/>
      <c r="ALG311" s="9"/>
      <c r="ALH311" s="9"/>
      <c r="ALI311" s="9"/>
      <c r="ALJ311" s="9"/>
      <c r="ALK311" s="9"/>
      <c r="ALL311" s="9"/>
      <c r="ALM311" s="9"/>
      <c r="ALN311" s="9"/>
      <c r="ALO311" s="9"/>
      <c r="ALP311" s="9"/>
      <c r="ALQ311" s="9"/>
      <c r="ALR311" s="9"/>
      <c r="ALS311" s="9"/>
      <c r="ALT311" s="9"/>
      <c r="ALU311" s="9"/>
      <c r="ALV311" s="9"/>
      <c r="ALW311" s="9"/>
      <c r="ALX311" s="9"/>
      <c r="ALY311" s="9"/>
      <c r="ALZ311" s="9"/>
      <c r="AMA311" s="9"/>
      <c r="AMB311" s="9"/>
      <c r="AMC311" s="9"/>
      <c r="AMD311" s="9"/>
      <c r="AME311" s="9"/>
      <c r="AMF311" s="9"/>
      <c r="AMG311" s="9"/>
      <c r="AMH311" s="9"/>
      <c r="AMI311" s="9"/>
      <c r="AMJ311" s="9"/>
      <c r="AMK311" s="9"/>
      <c r="AML311" s="9"/>
      <c r="AMM311" s="9"/>
      <c r="AMN311" s="9"/>
      <c r="AMO311" s="9"/>
      <c r="AMP311" s="9"/>
    </row>
    <row r="312" spans="1:1030" s="12" customFormat="1" x14ac:dyDescent="0.2">
      <c r="A312" s="9" t="str">
        <f>CONCATENATE(B312,"_",C312)</f>
        <v>grm5_human_6FFI</v>
      </c>
      <c r="B312" s="9" t="s">
        <v>41</v>
      </c>
      <c r="C312" s="9" t="s">
        <v>1488</v>
      </c>
      <c r="D312" s="9" t="str">
        <f>IFERROR(MID(VLOOKUP($B312,Seqs!$A:$B,2,0),E312,1),"")</f>
        <v>P</v>
      </c>
      <c r="E312" s="9">
        <v>578</v>
      </c>
      <c r="F312" s="9" t="str">
        <f>IFERROR(MID(VLOOKUP($B312,Seqs!$A:$B,2,0),G312,1),"")</f>
        <v>Y</v>
      </c>
      <c r="G312" s="9">
        <v>604</v>
      </c>
      <c r="H312" s="9" t="str">
        <f>IFERROR(MID(VLOOKUP($B312,Seqs!$A:$B,2,0),I312,1),"")</f>
        <v>T</v>
      </c>
      <c r="I312" s="109">
        <v>607</v>
      </c>
      <c r="J312" s="9" t="str">
        <f>IFERROR(MID(VLOOKUP($B312,Seqs!$A:$B,2,0),K312,1),"")</f>
        <v>S</v>
      </c>
      <c r="K312" s="109">
        <v>613</v>
      </c>
      <c r="L312" s="9" t="str">
        <f>IFERROR(MID(VLOOKUP($B312,Seqs!$A:$B,2,0),M312,1),"")</f>
        <v>S</v>
      </c>
      <c r="M312" s="9">
        <v>614</v>
      </c>
      <c r="N312" s="9" t="str">
        <f>IFERROR(MID(VLOOKUP($B312,Seqs!$A:$B,2,0),O312,1),"")</f>
        <v>I</v>
      </c>
      <c r="O312" s="9">
        <v>636</v>
      </c>
      <c r="P312" s="9" t="str">
        <f>IFERROR(MID(VLOOKUP($B312,Seqs!$A:$B,2,0),Q312,1),"")</f>
        <v/>
      </c>
      <c r="Q312" s="9" t="s">
        <v>23</v>
      </c>
      <c r="R312" s="9" t="str">
        <f>IFERROR(MID(VLOOKUP($B312,Seqs!$A:$B,2,0),S312,1),"")</f>
        <v/>
      </c>
      <c r="S312" s="9" t="s">
        <v>23</v>
      </c>
      <c r="T312" s="9" t="str">
        <f>IFERROR(MID(VLOOKUP($B312,Seqs!$A:$B,2,0),U312,1),"")</f>
        <v>Q</v>
      </c>
      <c r="U312" s="9">
        <v>641</v>
      </c>
      <c r="V312" s="9" t="str">
        <f>IFERROR(MID(VLOOKUP($B312,Seqs!$A:$B,2,0),W312,1),"")</f>
        <v>K</v>
      </c>
      <c r="W312" s="9">
        <v>678</v>
      </c>
      <c r="X312" s="9" t="str">
        <f>IFERROR(MID(VLOOKUP($B312,Seqs!$A:$B,2,0),Y312,1),"")</f>
        <v/>
      </c>
      <c r="Y312" s="9" t="s">
        <v>23</v>
      </c>
      <c r="Z312" s="9" t="str">
        <f>IFERROR(MID(VLOOKUP($B312,Seqs!$A:$B,2,0),AA312,1),"")</f>
        <v/>
      </c>
      <c r="AA312" s="9" t="s">
        <v>23</v>
      </c>
      <c r="AB312" s="9" t="str">
        <f>IFERROR(MID(VLOOKUP($B312,Seqs!$A:$B,2,0),AC312,1),"")</f>
        <v>S</v>
      </c>
      <c r="AC312" s="9">
        <v>689</v>
      </c>
      <c r="AD312" s="9" t="str">
        <f>IFERROR(MID(VLOOKUP($B312,Seqs!$A:$B,2,0),AE312,1),"")</f>
        <v>E</v>
      </c>
      <c r="AE312" s="9">
        <v>715</v>
      </c>
      <c r="AF312" s="9" t="str">
        <f>IFERROR(MID(VLOOKUP($B312,Seqs!$A:$B,2,0),AG312,1),"")</f>
        <v>C</v>
      </c>
      <c r="AG312" s="9">
        <v>733</v>
      </c>
      <c r="AH312" s="9" t="str">
        <f>IFERROR(MID(VLOOKUP($B312,Seqs!$A:$B,2,0),AI312,1),"")</f>
        <v>T</v>
      </c>
      <c r="AI312" s="9">
        <v>735</v>
      </c>
      <c r="AJ312" s="9" t="str">
        <f>IFERROR(MID(VLOOKUP($B312,Seqs!$A:$B,2,0),AK312,1),"")</f>
        <v>T</v>
      </c>
      <c r="AK312" s="105">
        <v>736</v>
      </c>
      <c r="AL312" s="9" t="str">
        <f>IFERROR(MID(VLOOKUP($B312,Seqs!$A:$B,2,0),AM312,1),"")</f>
        <v>T</v>
      </c>
      <c r="AM312" s="9">
        <v>761</v>
      </c>
      <c r="AN312" s="9" t="str">
        <f>IFERROR(MID(VLOOKUP($B312,Seqs!$A:$B,2,0),AO312,1),"")</f>
        <v>E</v>
      </c>
      <c r="AO312" s="9">
        <v>770</v>
      </c>
      <c r="AP312" s="9" t="str">
        <f>IFERROR(MID(VLOOKUP($B312,Seqs!$A:$B,2,0),AQ312,1),"")</f>
        <v>G</v>
      </c>
      <c r="AQ312" s="9">
        <v>794</v>
      </c>
      <c r="AR312" s="9" t="str">
        <f>IFERROR(MID(VLOOKUP($B312,Seqs!$A:$B,2,0),AS312,1),"")</f>
        <v>Y</v>
      </c>
      <c r="AS312" s="105">
        <v>797</v>
      </c>
      <c r="AT312" s="9" t="str">
        <f>IFERROR(MID(VLOOKUP($B312,Seqs!$A:$B,2,0),AU312,1),"")</f>
        <v>K</v>
      </c>
      <c r="AU312" s="9">
        <v>828</v>
      </c>
      <c r="AV312" s="9" t="str">
        <f>IFERROR(MID(VLOOKUP($B312,Seqs!$A:$B,2,0),AW312,1),"")</f>
        <v>P</v>
      </c>
      <c r="AW312" s="9">
        <v>829</v>
      </c>
      <c r="AX312" s="9" t="str">
        <f>IFERROR(MID(VLOOKUP($B312,Seqs!$A:$B,2,0),AY312,1),"")</f>
        <v>N</v>
      </c>
      <c r="AY312" s="9">
        <v>832</v>
      </c>
      <c r="AZ312" s="110" t="str">
        <f>VLOOKUP(B312,Classification!A:D,2,0)</f>
        <v>C</v>
      </c>
      <c r="BA312" s="98" t="str">
        <f>VLOOKUP(B312,Classification!A:D,4,0)</f>
        <v>Metabotropicglutamate</v>
      </c>
      <c r="BB312" s="36" t="b">
        <f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109">
        <f>_xlfn.AGGREGATE(9,6,CH312:CS312)-_xlfn.AGGREGATE(9,6,BV312:CG312)+12</f>
        <v>214</v>
      </c>
      <c r="BD312" s="11" t="s">
        <v>23</v>
      </c>
      <c r="BE312" s="9" t="s">
        <v>1381</v>
      </c>
      <c r="BF312" s="120">
        <v>2.2000000000000002</v>
      </c>
      <c r="BG312" s="51" t="s">
        <v>1</v>
      </c>
      <c r="BH312" s="51" t="s">
        <v>1</v>
      </c>
      <c r="BI312" s="9"/>
      <c r="BJ312" s="111" t="s">
        <v>1293</v>
      </c>
      <c r="BK312" s="112" t="s">
        <v>1293</v>
      </c>
      <c r="BL312" s="112" t="s">
        <v>1293</v>
      </c>
      <c r="BM312" s="112" t="s">
        <v>1293</v>
      </c>
      <c r="BN312" s="112" t="s">
        <v>1293</v>
      </c>
      <c r="BO312" s="112" t="s">
        <v>1293</v>
      </c>
      <c r="BP312" s="112" t="s">
        <v>1293</v>
      </c>
      <c r="BQ312" s="112" t="s">
        <v>1293</v>
      </c>
      <c r="BR312" s="112" t="s">
        <v>1293</v>
      </c>
      <c r="BS312" s="112" t="s">
        <v>1293</v>
      </c>
      <c r="BT312" s="112" t="s">
        <v>1293</v>
      </c>
      <c r="BU312" s="112" t="s">
        <v>1293</v>
      </c>
      <c r="BV312" s="111">
        <f>E312</f>
        <v>578</v>
      </c>
      <c r="BW312" s="113">
        <f>I312</f>
        <v>607</v>
      </c>
      <c r="BX312" s="114">
        <f>M312</f>
        <v>614</v>
      </c>
      <c r="BY312" s="113" t="str">
        <f>Q312</f>
        <v>-</v>
      </c>
      <c r="BZ312" s="114">
        <f>U312</f>
        <v>641</v>
      </c>
      <c r="CA312" s="113" t="str">
        <f>Y312</f>
        <v>-</v>
      </c>
      <c r="CB312" s="114">
        <f>AC312</f>
        <v>689</v>
      </c>
      <c r="CC312" s="113">
        <f>AG312</f>
        <v>733</v>
      </c>
      <c r="CD312" s="114">
        <f>AK312</f>
        <v>736</v>
      </c>
      <c r="CE312" s="113">
        <f>AO312</f>
        <v>770</v>
      </c>
      <c r="CF312" s="114">
        <f>AS312</f>
        <v>797</v>
      </c>
      <c r="CG312" s="113">
        <f>AW312</f>
        <v>829</v>
      </c>
      <c r="CH312" s="111">
        <f>G312</f>
        <v>604</v>
      </c>
      <c r="CI312" s="113">
        <f>K312</f>
        <v>613</v>
      </c>
      <c r="CJ312" s="114">
        <f>O312</f>
        <v>636</v>
      </c>
      <c r="CK312" s="114" t="str">
        <f>S312</f>
        <v>-</v>
      </c>
      <c r="CL312" s="114">
        <f>W312</f>
        <v>678</v>
      </c>
      <c r="CM312" s="114" t="str">
        <f>AA312</f>
        <v>-</v>
      </c>
      <c r="CN312" s="114">
        <f>AE312</f>
        <v>715</v>
      </c>
      <c r="CO312" s="114">
        <f>AI312</f>
        <v>735</v>
      </c>
      <c r="CP312" s="114">
        <f>AM312</f>
        <v>761</v>
      </c>
      <c r="CQ312" s="114">
        <f>AQ312</f>
        <v>794</v>
      </c>
      <c r="CR312" s="114">
        <f>AU312</f>
        <v>828</v>
      </c>
      <c r="CS312" s="114">
        <f>AY312</f>
        <v>832</v>
      </c>
      <c r="CT312" s="109">
        <f>M312-K312</f>
        <v>1</v>
      </c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/>
      <c r="IP312" s="9"/>
      <c r="IQ312" s="9"/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9"/>
      <c r="JE312" s="9"/>
      <c r="JF312" s="9"/>
      <c r="JG312" s="9"/>
      <c r="JH312" s="9"/>
      <c r="JI312" s="9"/>
      <c r="JJ312" s="9"/>
      <c r="JK312" s="9"/>
      <c r="JL312" s="9"/>
      <c r="JM312" s="9"/>
      <c r="JN312" s="9"/>
      <c r="JO312" s="9"/>
      <c r="JP312" s="9"/>
      <c r="JQ312" s="9"/>
      <c r="JR312" s="9"/>
      <c r="JS312" s="9"/>
      <c r="JT312" s="9"/>
      <c r="JU312" s="9"/>
      <c r="JV312" s="9"/>
      <c r="JW312" s="9"/>
      <c r="JX312" s="9"/>
      <c r="JY312" s="9"/>
      <c r="JZ312" s="9"/>
      <c r="KA312" s="9"/>
      <c r="KB312" s="9"/>
      <c r="KC312" s="9"/>
      <c r="KD312" s="9"/>
      <c r="KE312" s="9"/>
      <c r="KF312" s="9"/>
      <c r="KG312" s="9"/>
      <c r="KH312" s="9"/>
      <c r="KI312" s="9"/>
      <c r="KJ312" s="9"/>
      <c r="KK312" s="9"/>
      <c r="KL312" s="9"/>
      <c r="KM312" s="9"/>
      <c r="KN312" s="9"/>
      <c r="KO312" s="9"/>
      <c r="KP312" s="9"/>
      <c r="KQ312" s="9"/>
      <c r="KR312" s="9"/>
      <c r="KS312" s="9"/>
      <c r="KT312" s="9"/>
      <c r="KU312" s="9"/>
      <c r="KV312" s="9"/>
      <c r="KW312" s="9"/>
      <c r="KX312" s="9"/>
      <c r="KY312" s="9"/>
      <c r="KZ312" s="9"/>
      <c r="LA312" s="9"/>
      <c r="LB312" s="9"/>
      <c r="LC312" s="9"/>
      <c r="LD312" s="9"/>
      <c r="LE312" s="9"/>
      <c r="LF312" s="9"/>
      <c r="LG312" s="9"/>
      <c r="LH312" s="9"/>
      <c r="LI312" s="9"/>
      <c r="LJ312" s="9"/>
      <c r="LK312" s="9"/>
      <c r="LL312" s="9"/>
      <c r="LM312" s="9"/>
      <c r="LN312" s="9"/>
      <c r="LO312" s="9"/>
      <c r="LP312" s="9"/>
      <c r="LQ312" s="9"/>
      <c r="LR312" s="9"/>
      <c r="LS312" s="9"/>
      <c r="LT312" s="9"/>
      <c r="LU312" s="9"/>
      <c r="LV312" s="9"/>
      <c r="LW312" s="9"/>
      <c r="LX312" s="9"/>
      <c r="LY312" s="9"/>
      <c r="LZ312" s="9"/>
      <c r="MA312" s="9"/>
      <c r="MB312" s="9"/>
      <c r="MC312" s="9"/>
      <c r="MD312" s="9"/>
      <c r="ME312" s="9"/>
      <c r="MF312" s="9"/>
      <c r="MG312" s="9"/>
      <c r="MH312" s="9"/>
      <c r="MI312" s="9"/>
      <c r="MJ312" s="9"/>
      <c r="MK312" s="9"/>
      <c r="ML312" s="9"/>
      <c r="MM312" s="9"/>
      <c r="MN312" s="9"/>
      <c r="MO312" s="9"/>
      <c r="MP312" s="9"/>
      <c r="MQ312" s="9"/>
      <c r="MR312" s="9"/>
      <c r="MS312" s="9"/>
      <c r="MT312" s="9"/>
      <c r="MU312" s="9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  <c r="PG312" s="9"/>
      <c r="PH312" s="9"/>
      <c r="PI312" s="9"/>
      <c r="PJ312" s="9"/>
      <c r="PK312" s="9"/>
      <c r="PL312" s="9"/>
      <c r="PM312" s="9"/>
      <c r="PN312" s="9"/>
      <c r="PO312" s="9"/>
      <c r="PP312" s="9"/>
      <c r="PQ312" s="9"/>
      <c r="PR312" s="9"/>
      <c r="PS312" s="9"/>
      <c r="PT312" s="9"/>
      <c r="PU312" s="9"/>
      <c r="PV312" s="9"/>
      <c r="PW312" s="9"/>
      <c r="PX312" s="9"/>
      <c r="PY312" s="9"/>
      <c r="PZ312" s="9"/>
      <c r="QA312" s="9"/>
      <c r="QB312" s="9"/>
      <c r="QC312" s="9"/>
      <c r="QD312" s="9"/>
      <c r="QE312" s="9"/>
      <c r="QF312" s="9"/>
      <c r="QG312" s="9"/>
      <c r="QH312" s="9"/>
      <c r="QI312" s="9"/>
      <c r="QJ312" s="9"/>
      <c r="QK312" s="9"/>
      <c r="QL312" s="9"/>
      <c r="QM312" s="9"/>
      <c r="QN312" s="9"/>
      <c r="QO312" s="9"/>
      <c r="QP312" s="9"/>
      <c r="QQ312" s="9"/>
      <c r="QR312" s="9"/>
      <c r="QS312" s="9"/>
      <c r="QT312" s="9"/>
      <c r="QU312" s="9"/>
      <c r="QV312" s="9"/>
      <c r="QW312" s="9"/>
      <c r="QX312" s="9"/>
      <c r="QY312" s="9"/>
      <c r="QZ312" s="9"/>
      <c r="RA312" s="9"/>
      <c r="RB312" s="9"/>
      <c r="RC312" s="9"/>
      <c r="RD312" s="9"/>
      <c r="RE312" s="9"/>
      <c r="RF312" s="9"/>
      <c r="RG312" s="9"/>
      <c r="RH312" s="9"/>
      <c r="RI312" s="9"/>
      <c r="RJ312" s="9"/>
      <c r="RK312" s="9"/>
      <c r="RL312" s="9"/>
      <c r="RM312" s="9"/>
      <c r="RN312" s="9"/>
      <c r="RO312" s="9"/>
      <c r="RP312" s="9"/>
      <c r="RQ312" s="9"/>
      <c r="RR312" s="9"/>
      <c r="RS312" s="9"/>
      <c r="RT312" s="9"/>
      <c r="RU312" s="9"/>
      <c r="RV312" s="9"/>
      <c r="RW312" s="9"/>
      <c r="RX312" s="9"/>
      <c r="RY312" s="9"/>
      <c r="RZ312" s="9"/>
      <c r="SA312" s="9"/>
      <c r="SB312" s="9"/>
      <c r="SC312" s="9"/>
      <c r="SD312" s="9"/>
      <c r="SE312" s="9"/>
      <c r="SF312" s="9"/>
      <c r="SG312" s="9"/>
      <c r="SH312" s="9"/>
      <c r="SI312" s="9"/>
      <c r="SJ312" s="9"/>
      <c r="SK312" s="9"/>
      <c r="SL312" s="9"/>
      <c r="SM312" s="9"/>
      <c r="SN312" s="9"/>
      <c r="SO312" s="9"/>
      <c r="SP312" s="9"/>
      <c r="SQ312" s="9"/>
      <c r="SR312" s="9"/>
      <c r="SS312" s="9"/>
      <c r="ST312" s="9"/>
      <c r="SU312" s="9"/>
      <c r="SV312" s="9"/>
      <c r="SW312" s="9"/>
      <c r="SX312" s="9"/>
      <c r="SY312" s="9"/>
      <c r="SZ312" s="9"/>
      <c r="TA312" s="9"/>
      <c r="TB312" s="9"/>
      <c r="TC312" s="9"/>
      <c r="TD312" s="9"/>
      <c r="TE312" s="9"/>
      <c r="TF312" s="9"/>
      <c r="TG312" s="9"/>
      <c r="TH312" s="9"/>
      <c r="TI312" s="9"/>
      <c r="TJ312" s="9"/>
      <c r="TK312" s="9"/>
      <c r="TL312" s="9"/>
      <c r="TM312" s="9"/>
      <c r="TN312" s="9"/>
      <c r="TO312" s="9"/>
      <c r="TP312" s="9"/>
      <c r="TQ312" s="9"/>
      <c r="TR312" s="9"/>
      <c r="TS312" s="9"/>
      <c r="TT312" s="9"/>
      <c r="TU312" s="9"/>
      <c r="TV312" s="9"/>
      <c r="TW312" s="9"/>
      <c r="TX312" s="9"/>
      <c r="TY312" s="9"/>
      <c r="TZ312" s="9"/>
      <c r="UA312" s="9"/>
      <c r="UB312" s="9"/>
      <c r="UC312" s="9"/>
      <c r="UD312" s="9"/>
      <c r="UE312" s="9"/>
      <c r="UF312" s="9"/>
      <c r="UG312" s="9"/>
      <c r="UH312" s="9"/>
      <c r="UI312" s="9"/>
      <c r="UJ312" s="9"/>
      <c r="UK312" s="9"/>
      <c r="UL312" s="9"/>
      <c r="UM312" s="9"/>
      <c r="UN312" s="9"/>
      <c r="UO312" s="9"/>
      <c r="UP312" s="9"/>
      <c r="UQ312" s="9"/>
      <c r="UR312" s="9"/>
      <c r="US312" s="9"/>
      <c r="UT312" s="9"/>
      <c r="UU312" s="9"/>
      <c r="UV312" s="9"/>
      <c r="UW312" s="9"/>
      <c r="UX312" s="9"/>
      <c r="UY312" s="9"/>
      <c r="UZ312" s="9"/>
      <c r="VA312" s="9"/>
      <c r="VB312" s="9"/>
      <c r="VC312" s="9"/>
      <c r="VD312" s="9"/>
      <c r="VE312" s="9"/>
      <c r="VF312" s="9"/>
      <c r="VG312" s="9"/>
      <c r="VH312" s="9"/>
      <c r="VI312" s="9"/>
      <c r="VJ312" s="9"/>
      <c r="VK312" s="9"/>
      <c r="VL312" s="9"/>
      <c r="VM312" s="9"/>
      <c r="VN312" s="9"/>
      <c r="VO312" s="9"/>
      <c r="VP312" s="9"/>
      <c r="VQ312" s="9"/>
      <c r="VR312" s="9"/>
      <c r="VS312" s="9"/>
      <c r="VT312" s="9"/>
      <c r="VU312" s="9"/>
      <c r="VV312" s="9"/>
      <c r="VW312" s="9"/>
      <c r="VX312" s="9"/>
      <c r="VY312" s="9"/>
      <c r="VZ312" s="9"/>
      <c r="WA312" s="9"/>
      <c r="WB312" s="9"/>
      <c r="WC312" s="9"/>
      <c r="WD312" s="9"/>
      <c r="WE312" s="9"/>
      <c r="WF312" s="9"/>
      <c r="WG312" s="9"/>
      <c r="WH312" s="9"/>
      <c r="WI312" s="9"/>
      <c r="WJ312" s="9"/>
      <c r="WK312" s="9"/>
      <c r="WL312" s="9"/>
      <c r="WM312" s="9"/>
      <c r="WN312" s="9"/>
      <c r="WO312" s="9"/>
      <c r="WP312" s="9"/>
      <c r="WQ312" s="9"/>
      <c r="WR312" s="9"/>
      <c r="WS312" s="9"/>
      <c r="WT312" s="9"/>
      <c r="WU312" s="9"/>
      <c r="WV312" s="9"/>
      <c r="WW312" s="9"/>
      <c r="WX312" s="9"/>
      <c r="WY312" s="9"/>
      <c r="WZ312" s="9"/>
      <c r="XA312" s="9"/>
      <c r="XB312" s="9"/>
      <c r="XC312" s="9"/>
      <c r="XD312" s="9"/>
      <c r="XE312" s="9"/>
      <c r="XF312" s="9"/>
      <c r="XG312" s="9"/>
      <c r="XH312" s="9"/>
      <c r="XI312" s="9"/>
      <c r="XJ312" s="9"/>
      <c r="XK312" s="9"/>
      <c r="XL312" s="9"/>
      <c r="XM312" s="9"/>
      <c r="XN312" s="9"/>
      <c r="XO312" s="9"/>
      <c r="XP312" s="9"/>
      <c r="XQ312" s="9"/>
      <c r="XR312" s="9"/>
      <c r="XS312" s="9"/>
      <c r="XT312" s="9"/>
      <c r="XU312" s="9"/>
      <c r="XV312" s="9"/>
      <c r="XW312" s="9"/>
      <c r="XX312" s="9"/>
      <c r="XY312" s="9"/>
      <c r="XZ312" s="9"/>
      <c r="YA312" s="9"/>
      <c r="YB312" s="9"/>
      <c r="YC312" s="9"/>
      <c r="YD312" s="9"/>
      <c r="YE312" s="9"/>
      <c r="YF312" s="9"/>
      <c r="YG312" s="9"/>
      <c r="YH312" s="9"/>
      <c r="YI312" s="9"/>
      <c r="YJ312" s="9"/>
      <c r="YK312" s="9"/>
      <c r="YL312" s="9"/>
      <c r="YM312" s="9"/>
      <c r="YN312" s="9"/>
      <c r="YO312" s="9"/>
      <c r="YP312" s="9"/>
      <c r="YQ312" s="9"/>
      <c r="YR312" s="9"/>
      <c r="YS312" s="9"/>
      <c r="YT312" s="9"/>
      <c r="YU312" s="9"/>
      <c r="YV312" s="9"/>
      <c r="YW312" s="9"/>
      <c r="YX312" s="9"/>
      <c r="YY312" s="9"/>
      <c r="YZ312" s="9"/>
      <c r="ZA312" s="9"/>
      <c r="ZB312" s="9"/>
      <c r="ZC312" s="9"/>
      <c r="ZD312" s="9"/>
      <c r="ZE312" s="9"/>
      <c r="ZF312" s="9"/>
      <c r="ZG312" s="9"/>
      <c r="ZH312" s="9"/>
      <c r="ZI312" s="9"/>
      <c r="ZJ312" s="9"/>
      <c r="ZK312" s="9"/>
      <c r="ZL312" s="9"/>
      <c r="ZM312" s="9"/>
      <c r="ZN312" s="9"/>
      <c r="ZO312" s="9"/>
      <c r="ZP312" s="9"/>
      <c r="ZQ312" s="9"/>
      <c r="ZR312" s="9"/>
      <c r="ZS312" s="9"/>
      <c r="ZT312" s="9"/>
      <c r="ZU312" s="9"/>
      <c r="ZV312" s="9"/>
      <c r="ZW312" s="9"/>
      <c r="ZX312" s="9"/>
      <c r="ZY312" s="9"/>
      <c r="ZZ312" s="9"/>
      <c r="AAA312" s="9"/>
      <c r="AAB312" s="9"/>
      <c r="AAC312" s="9"/>
      <c r="AAD312" s="9"/>
      <c r="AAE312" s="9"/>
      <c r="AAF312" s="9"/>
      <c r="AAG312" s="9"/>
      <c r="AAH312" s="9"/>
      <c r="AAI312" s="9"/>
      <c r="AAJ312" s="9"/>
      <c r="AAK312" s="9"/>
      <c r="AAL312" s="9"/>
      <c r="AAM312" s="9"/>
      <c r="AAN312" s="9"/>
      <c r="AAO312" s="9"/>
      <c r="AAP312" s="9"/>
      <c r="AAQ312" s="9"/>
      <c r="AAR312" s="9"/>
      <c r="AAS312" s="9"/>
      <c r="AAT312" s="9"/>
      <c r="AAU312" s="9"/>
      <c r="AAV312" s="9"/>
      <c r="AAW312" s="9"/>
      <c r="AAX312" s="9"/>
      <c r="AAY312" s="9"/>
      <c r="AAZ312" s="9"/>
      <c r="ABA312" s="9"/>
      <c r="ABB312" s="9"/>
      <c r="ABC312" s="9"/>
      <c r="ABD312" s="9"/>
      <c r="ABE312" s="9"/>
      <c r="ABF312" s="9"/>
      <c r="ABG312" s="9"/>
      <c r="ABH312" s="9"/>
      <c r="ABI312" s="9"/>
      <c r="ABJ312" s="9"/>
      <c r="ABK312" s="9"/>
      <c r="ABL312" s="9"/>
      <c r="ABM312" s="9"/>
      <c r="ABN312" s="9"/>
      <c r="ABO312" s="9"/>
      <c r="ABP312" s="9"/>
      <c r="ABQ312" s="9"/>
      <c r="ABR312" s="9"/>
      <c r="ABS312" s="9"/>
      <c r="ABT312" s="9"/>
      <c r="ABU312" s="9"/>
      <c r="ABV312" s="9"/>
      <c r="ABW312" s="9"/>
      <c r="ABX312" s="9"/>
      <c r="ABY312" s="9"/>
      <c r="ABZ312" s="9"/>
      <c r="ACA312" s="9"/>
      <c r="ACB312" s="9"/>
      <c r="ACC312" s="9"/>
      <c r="ACD312" s="9"/>
      <c r="ACE312" s="9"/>
      <c r="ACF312" s="9"/>
      <c r="ACG312" s="9"/>
      <c r="ACH312" s="9"/>
      <c r="ACI312" s="9"/>
      <c r="ACJ312" s="9"/>
      <c r="ACK312" s="9"/>
      <c r="ACL312" s="9"/>
      <c r="ACM312" s="9"/>
      <c r="ACN312" s="9"/>
      <c r="ACO312" s="9"/>
      <c r="ACP312" s="9"/>
      <c r="ACQ312" s="9"/>
      <c r="ACR312" s="9"/>
      <c r="ACS312" s="9"/>
      <c r="ACT312" s="9"/>
      <c r="ACU312" s="9"/>
      <c r="ACV312" s="9"/>
      <c r="ACW312" s="9"/>
      <c r="ACX312" s="9"/>
      <c r="ACY312" s="9"/>
      <c r="ACZ312" s="9"/>
      <c r="ADA312" s="9"/>
      <c r="ADB312" s="9"/>
      <c r="ADC312" s="9"/>
      <c r="ADD312" s="9"/>
      <c r="ADE312" s="9"/>
      <c r="ADF312" s="9"/>
      <c r="ADG312" s="9"/>
      <c r="ADH312" s="9"/>
      <c r="ADI312" s="9"/>
      <c r="ADJ312" s="9"/>
      <c r="ADK312" s="9"/>
      <c r="ADL312" s="9"/>
      <c r="ADM312" s="9"/>
      <c r="ADN312" s="9"/>
      <c r="ADO312" s="9"/>
      <c r="ADP312" s="9"/>
      <c r="ADQ312" s="9"/>
      <c r="ADR312" s="9"/>
      <c r="ADS312" s="9"/>
      <c r="ADT312" s="9"/>
      <c r="ADU312" s="9"/>
      <c r="ADV312" s="9"/>
      <c r="ADW312" s="9"/>
      <c r="ADX312" s="9"/>
      <c r="ADY312" s="9"/>
      <c r="ADZ312" s="9"/>
      <c r="AEA312" s="9"/>
      <c r="AEB312" s="9"/>
      <c r="AEC312" s="9"/>
      <c r="AED312" s="9"/>
      <c r="AEE312" s="9"/>
      <c r="AEF312" s="9"/>
      <c r="AEG312" s="9"/>
      <c r="AEH312" s="9"/>
      <c r="AEI312" s="9"/>
      <c r="AEJ312" s="9"/>
      <c r="AEK312" s="9"/>
      <c r="AEL312" s="9"/>
      <c r="AEM312" s="9"/>
      <c r="AEN312" s="9"/>
      <c r="AEO312" s="9"/>
      <c r="AEP312" s="9"/>
      <c r="AEQ312" s="9"/>
      <c r="AER312" s="9"/>
      <c r="AES312" s="9"/>
      <c r="AET312" s="9"/>
      <c r="AEU312" s="9"/>
      <c r="AEV312" s="9"/>
      <c r="AEW312" s="9"/>
      <c r="AEX312" s="9"/>
      <c r="AEY312" s="9"/>
      <c r="AEZ312" s="9"/>
      <c r="AFA312" s="9"/>
      <c r="AFB312" s="9"/>
      <c r="AFC312" s="9"/>
      <c r="AFD312" s="9"/>
      <c r="AFE312" s="9"/>
      <c r="AFF312" s="9"/>
      <c r="AFG312" s="9"/>
      <c r="AFH312" s="9"/>
      <c r="AFI312" s="9"/>
      <c r="AFJ312" s="9"/>
      <c r="AFK312" s="9"/>
      <c r="AFL312" s="9"/>
      <c r="AFM312" s="9"/>
      <c r="AFN312" s="9"/>
      <c r="AFO312" s="9"/>
      <c r="AFP312" s="9"/>
      <c r="AFQ312" s="9"/>
      <c r="AFR312" s="9"/>
      <c r="AFS312" s="9"/>
      <c r="AFT312" s="9"/>
      <c r="AFU312" s="9"/>
      <c r="AFV312" s="9"/>
      <c r="AFW312" s="9"/>
      <c r="AFX312" s="9"/>
      <c r="AFY312" s="9"/>
      <c r="AFZ312" s="9"/>
      <c r="AGA312" s="9"/>
      <c r="AGB312" s="9"/>
      <c r="AGC312" s="9"/>
      <c r="AGD312" s="9"/>
      <c r="AGE312" s="9"/>
      <c r="AGF312" s="9"/>
      <c r="AGG312" s="9"/>
      <c r="AGH312" s="9"/>
      <c r="AGI312" s="9"/>
      <c r="AGJ312" s="9"/>
      <c r="AGK312" s="9"/>
      <c r="AGL312" s="9"/>
      <c r="AGM312" s="9"/>
      <c r="AGN312" s="9"/>
      <c r="AGO312" s="9"/>
      <c r="AGP312" s="9"/>
      <c r="AGQ312" s="9"/>
      <c r="AGR312" s="9"/>
      <c r="AGS312" s="9"/>
      <c r="AGT312" s="9"/>
      <c r="AGU312" s="9"/>
      <c r="AGV312" s="9"/>
      <c r="AGW312" s="9"/>
      <c r="AGX312" s="9"/>
      <c r="AGY312" s="9"/>
      <c r="AGZ312" s="9"/>
      <c r="AHA312" s="9"/>
      <c r="AHB312" s="9"/>
      <c r="AHC312" s="9"/>
      <c r="AHD312" s="9"/>
      <c r="AHE312" s="9"/>
      <c r="AHF312" s="9"/>
      <c r="AHG312" s="9"/>
      <c r="AHH312" s="9"/>
      <c r="AHI312" s="9"/>
      <c r="AHJ312" s="9"/>
      <c r="AHK312" s="9"/>
      <c r="AHL312" s="9"/>
      <c r="AHM312" s="9"/>
      <c r="AHN312" s="9"/>
      <c r="AHO312" s="9"/>
      <c r="AHP312" s="9"/>
      <c r="AHQ312" s="9"/>
      <c r="AHR312" s="9"/>
      <c r="AHS312" s="9"/>
      <c r="AHT312" s="9"/>
      <c r="AHU312" s="9"/>
      <c r="AHV312" s="9"/>
      <c r="AHW312" s="9"/>
      <c r="AHX312" s="9"/>
      <c r="AHY312" s="9"/>
      <c r="AHZ312" s="9"/>
      <c r="AIA312" s="9"/>
      <c r="AIB312" s="9"/>
      <c r="AIC312" s="9"/>
      <c r="AID312" s="9"/>
      <c r="AIE312" s="9"/>
      <c r="AIF312" s="9"/>
      <c r="AIG312" s="9"/>
      <c r="AIH312" s="9"/>
      <c r="AII312" s="9"/>
      <c r="AIJ312" s="9"/>
      <c r="AIK312" s="9"/>
      <c r="AIL312" s="9"/>
      <c r="AIM312" s="9"/>
      <c r="AIN312" s="9"/>
      <c r="AIO312" s="9"/>
      <c r="AIP312" s="9"/>
      <c r="AIQ312" s="9"/>
      <c r="AIR312" s="9"/>
      <c r="AIS312" s="9"/>
      <c r="AIT312" s="9"/>
      <c r="AIU312" s="9"/>
      <c r="AIV312" s="9"/>
      <c r="AIW312" s="9"/>
      <c r="AIX312" s="9"/>
      <c r="AIY312" s="9"/>
      <c r="AIZ312" s="9"/>
      <c r="AJA312" s="9"/>
      <c r="AJB312" s="9"/>
      <c r="AJC312" s="9"/>
      <c r="AJD312" s="9"/>
      <c r="AJE312" s="9"/>
      <c r="AJF312" s="9"/>
      <c r="AJG312" s="9"/>
      <c r="AJH312" s="9"/>
      <c r="AJI312" s="9"/>
      <c r="AJJ312" s="9"/>
      <c r="AJK312" s="9"/>
      <c r="AJL312" s="9"/>
      <c r="AJM312" s="9"/>
      <c r="AJN312" s="9"/>
      <c r="AJO312" s="9"/>
      <c r="AJP312" s="9"/>
      <c r="AJQ312" s="9"/>
      <c r="AJR312" s="9"/>
      <c r="AJS312" s="9"/>
      <c r="AJT312" s="9"/>
      <c r="AJU312" s="9"/>
      <c r="AJV312" s="9"/>
      <c r="AJW312" s="9"/>
      <c r="AJX312" s="9"/>
      <c r="AJY312" s="9"/>
      <c r="AJZ312" s="9"/>
      <c r="AKA312" s="9"/>
      <c r="AKB312" s="9"/>
      <c r="AKC312" s="9"/>
      <c r="AKD312" s="9"/>
      <c r="AKE312" s="9"/>
      <c r="AKF312" s="9"/>
      <c r="AKG312" s="9"/>
      <c r="AKH312" s="9"/>
      <c r="AKI312" s="9"/>
      <c r="AKJ312" s="9"/>
      <c r="AKK312" s="9"/>
      <c r="AKL312" s="9"/>
      <c r="AKM312" s="9"/>
      <c r="AKN312" s="9"/>
      <c r="AKO312" s="9"/>
      <c r="AKP312" s="9"/>
      <c r="AKQ312" s="9"/>
      <c r="AKR312" s="9"/>
      <c r="AKS312" s="9"/>
      <c r="AKT312" s="9"/>
      <c r="AKU312" s="9"/>
      <c r="AKV312" s="9"/>
      <c r="AKW312" s="9"/>
      <c r="AKX312" s="9"/>
      <c r="AKY312" s="9"/>
      <c r="AKZ312" s="9"/>
      <c r="ALA312" s="9"/>
      <c r="ALB312" s="9"/>
      <c r="ALC312" s="9"/>
      <c r="ALD312" s="9"/>
      <c r="ALE312" s="9"/>
      <c r="ALF312" s="9"/>
      <c r="ALG312" s="9"/>
      <c r="ALH312" s="9"/>
      <c r="ALI312" s="9"/>
      <c r="ALJ312" s="9"/>
      <c r="ALK312" s="9"/>
      <c r="ALL312" s="9"/>
      <c r="ALM312" s="9"/>
      <c r="ALN312" s="9"/>
      <c r="ALO312" s="9"/>
      <c r="ALP312" s="9"/>
      <c r="ALQ312" s="9"/>
      <c r="ALR312" s="9"/>
      <c r="ALS312" s="9"/>
      <c r="ALT312" s="9"/>
      <c r="ALU312" s="9"/>
      <c r="ALV312" s="9"/>
      <c r="ALW312" s="9"/>
      <c r="ALX312" s="9"/>
      <c r="ALY312" s="9"/>
      <c r="ALZ312" s="9"/>
      <c r="AMA312" s="9"/>
      <c r="AMB312" s="9"/>
      <c r="AMC312" s="9"/>
      <c r="AMD312" s="9"/>
      <c r="AME312" s="9"/>
      <c r="AMF312" s="9"/>
      <c r="AMG312" s="9"/>
      <c r="AMH312" s="9"/>
      <c r="AMI312" s="9"/>
      <c r="AMJ312" s="9"/>
      <c r="AMK312" s="9"/>
      <c r="AML312" s="9"/>
      <c r="AMM312" s="9"/>
      <c r="AMN312" s="9"/>
      <c r="AMO312" s="9"/>
      <c r="AMP312" s="9"/>
    </row>
    <row r="313" spans="1:1030" x14ac:dyDescent="0.2">
      <c r="A313" s="3" t="str">
        <f t="shared" si="1115"/>
        <v>smo_human__wt</v>
      </c>
      <c r="B313" s="3" t="s">
        <v>33</v>
      </c>
      <c r="C313" s="3" t="s">
        <v>100</v>
      </c>
      <c r="D313" s="3" t="str">
        <f>IFERROR(MID(VLOOKUP($B313,Seqs!$A:$B,2,0),E313,1),"")</f>
        <v>T</v>
      </c>
      <c r="E313" s="105">
        <v>223</v>
      </c>
      <c r="F313" s="3" t="str">
        <f>IFERROR(MID(VLOOKUP($B313,Seqs!$A:$B,2,0),G313,1),"")</f>
        <v>D</v>
      </c>
      <c r="G313" s="3">
        <v>255</v>
      </c>
      <c r="H313" s="3" t="str">
        <f>IFERROR(MID(VLOOKUP($B313,Seqs!$A:$B,2,0),I313,1),"")</f>
        <v>W</v>
      </c>
      <c r="I313" s="23">
        <v>256</v>
      </c>
      <c r="J313" s="3" t="str">
        <f>IFERROR(MID(VLOOKUP($B313,Seqs!$A:$B,2,0),K313,1),"")</f>
        <v>N</v>
      </c>
      <c r="K313" s="23">
        <v>260</v>
      </c>
      <c r="L313" s="3" t="str">
        <f>IFERROR(MID(VLOOKUP($B313,Seqs!$A:$B,2,0),M313,1),"")</f>
        <v>R</v>
      </c>
      <c r="M313" s="3">
        <v>261</v>
      </c>
      <c r="N313" s="3" t="str">
        <f>IFERROR(MID(VLOOKUP($B313,Seqs!$A:$B,2,0),O313,1),"")</f>
        <v>F</v>
      </c>
      <c r="O313" s="3">
        <v>285</v>
      </c>
      <c r="P313" s="3" t="str">
        <f>IFERROR(MID(VLOOKUP($B313,Seqs!$A:$B,2,0),Q313,1),"")</f>
        <v/>
      </c>
      <c r="Q313" s="3" t="s">
        <v>23</v>
      </c>
      <c r="R313" s="3" t="str">
        <f>IFERROR(MID(VLOOKUP($B313,Seqs!$A:$B,2,0),S313,1),"")</f>
        <v/>
      </c>
      <c r="S313" s="3" t="s">
        <v>23</v>
      </c>
      <c r="T313" s="3" t="str">
        <f>IFERROR(MID(VLOOKUP($B313,Seqs!$A:$B,2,0),U313,1),"")</f>
        <v>L</v>
      </c>
      <c r="U313" s="3">
        <v>312</v>
      </c>
      <c r="V313" s="3" t="str">
        <f>IFERROR(MID(VLOOKUP($B313,Seqs!$A:$B,2,0),W313,1),"")</f>
        <v>T</v>
      </c>
      <c r="W313" s="3">
        <v>348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L</v>
      </c>
      <c r="AC313" s="9">
        <v>353</v>
      </c>
      <c r="AD313" s="3" t="str">
        <f>IFERROR(MID(VLOOKUP($B313,Seqs!$A:$B,2,0),AE313,1),"")</f>
        <v>V</v>
      </c>
      <c r="AE313" s="3">
        <v>378</v>
      </c>
      <c r="AF313" s="3" t="str">
        <f>IFERROR(MID(VLOOKUP($B313,Seqs!$A:$B,2,0),AG313,1),"")</f>
        <v>C</v>
      </c>
      <c r="AG313" s="3">
        <v>390</v>
      </c>
      <c r="AH313" s="3" t="str">
        <f>IFERROR(MID(VLOOKUP($B313,Seqs!$A:$B,2,0),AI313,1),"")</f>
        <v>V</v>
      </c>
      <c r="AI313" s="3">
        <v>392</v>
      </c>
      <c r="AJ313" s="3" t="str">
        <f>IFERROR(MID(VLOOKUP($B313,Seqs!$A:$B,2,0),AK313,1),"")</f>
        <v>N</v>
      </c>
      <c r="AK313" s="105">
        <v>396</v>
      </c>
      <c r="AL313" s="3" t="str">
        <f>IFERROR(MID(VLOOKUP($B313,Seqs!$A:$B,2,0),AM313,1),"")</f>
        <v>H</v>
      </c>
      <c r="AM313" s="3">
        <v>433</v>
      </c>
      <c r="AN313" s="3" t="str">
        <f>IFERROR(MID(VLOOKUP($B313,Seqs!$A:$B,2,0),AO313,1),"")</f>
        <v>A</v>
      </c>
      <c r="AO313" s="3">
        <v>442</v>
      </c>
      <c r="AP313" s="3" t="str">
        <f>IFERROR(MID(VLOOKUP($B313,Seqs!$A:$B,2,0),AQ313,1),"")</f>
        <v>I</v>
      </c>
      <c r="AQ313" s="3">
        <v>496</v>
      </c>
      <c r="AR313" s="3" t="str">
        <f>IFERROR(MID(VLOOKUP($B313,Seqs!$A:$B,2,0),AS313,1),"")</f>
        <v>S</v>
      </c>
      <c r="AS313" s="105">
        <v>514</v>
      </c>
      <c r="AT313" s="3" t="str">
        <f>IFERROR(MID(VLOOKUP($B313,Seqs!$A:$B,2,0),AU313,1),"")</f>
        <v>W</v>
      </c>
      <c r="AU313" s="3">
        <v>537</v>
      </c>
      <c r="AV313" s="3" t="str">
        <f>IFERROR(MID(VLOOKUP($B313,Seqs!$A:$B,2,0),AW313,1),"")</f>
        <v>T</v>
      </c>
      <c r="AW313" s="3">
        <v>538</v>
      </c>
      <c r="AX313" s="3" t="str">
        <f>IFERROR(MID(VLOOKUP($B313,Seqs!$A:$B,2,0),AY313,1),"")</f>
        <v>T</v>
      </c>
      <c r="AY313" s="3">
        <v>553</v>
      </c>
      <c r="AZ313" s="77" t="str">
        <f>VLOOKUP(B313,Classification!A:D,2,0)</f>
        <v>F</v>
      </c>
      <c r="BA313" s="94" t="str">
        <f>VLOOKUP(B313,Classification!A:D,4,0)</f>
        <v>Frizzled</v>
      </c>
      <c r="BB313" s="27" t="b">
        <f t="shared" si="1116"/>
        <v>1</v>
      </c>
      <c r="BC313" s="23">
        <f t="shared" si="1089"/>
        <v>264</v>
      </c>
      <c r="BD313" s="56" t="s">
        <v>1379</v>
      </c>
      <c r="BE313" s="3" t="s">
        <v>23</v>
      </c>
      <c r="BF313" s="119" t="s">
        <v>23</v>
      </c>
      <c r="BG313" s="49" t="s">
        <v>1379</v>
      </c>
      <c r="BH313" s="49" t="s">
        <v>1384</v>
      </c>
      <c r="BJ313" s="70" t="s">
        <v>1293</v>
      </c>
      <c r="BK313" s="57" t="s">
        <v>1293</v>
      </c>
      <c r="BL313" s="57" t="s">
        <v>1293</v>
      </c>
      <c r="BM313" s="57" t="s">
        <v>1293</v>
      </c>
      <c r="BN313" s="57" t="s">
        <v>1293</v>
      </c>
      <c r="BO313" s="57" t="s">
        <v>1293</v>
      </c>
      <c r="BP313" s="57" t="s">
        <v>1293</v>
      </c>
      <c r="BQ313" s="57" t="s">
        <v>1293</v>
      </c>
      <c r="BR313" s="57" t="s">
        <v>1293</v>
      </c>
      <c r="BS313" s="57" t="s">
        <v>1293</v>
      </c>
      <c r="BT313" s="57" t="s">
        <v>1293</v>
      </c>
      <c r="BU313" s="57" t="s">
        <v>1293</v>
      </c>
      <c r="BV313" s="70">
        <f t="shared" si="1090"/>
        <v>223</v>
      </c>
      <c r="BW313" s="71">
        <f t="shared" si="1091"/>
        <v>256</v>
      </c>
      <c r="BX313" s="72">
        <f t="shared" si="1092"/>
        <v>261</v>
      </c>
      <c r="BY313" s="71" t="str">
        <f t="shared" si="1093"/>
        <v>-</v>
      </c>
      <c r="BZ313" s="72">
        <f t="shared" si="1094"/>
        <v>312</v>
      </c>
      <c r="CA313" s="71" t="str">
        <f t="shared" si="1095"/>
        <v>-</v>
      </c>
      <c r="CB313" s="72">
        <f t="shared" si="1096"/>
        <v>353</v>
      </c>
      <c r="CC313" s="71">
        <f t="shared" si="1097"/>
        <v>390</v>
      </c>
      <c r="CD313" s="72">
        <f t="shared" si="1098"/>
        <v>396</v>
      </c>
      <c r="CE313" s="71">
        <f t="shared" si="1099"/>
        <v>442</v>
      </c>
      <c r="CF313" s="72">
        <f t="shared" si="1100"/>
        <v>514</v>
      </c>
      <c r="CG313" s="71">
        <f t="shared" si="1101"/>
        <v>538</v>
      </c>
      <c r="CH313" s="70">
        <f t="shared" si="1102"/>
        <v>255</v>
      </c>
      <c r="CI313" s="71">
        <f t="shared" si="1103"/>
        <v>260</v>
      </c>
      <c r="CJ313" s="72">
        <f t="shared" si="1104"/>
        <v>285</v>
      </c>
      <c r="CK313" s="72" t="str">
        <f t="shared" si="1105"/>
        <v>-</v>
      </c>
      <c r="CL313" s="72">
        <f t="shared" si="1106"/>
        <v>348</v>
      </c>
      <c r="CM313" s="72" t="str">
        <f t="shared" si="1107"/>
        <v>-</v>
      </c>
      <c r="CN313" s="72">
        <f t="shared" si="1108"/>
        <v>378</v>
      </c>
      <c r="CO313" s="72">
        <f t="shared" si="1109"/>
        <v>392</v>
      </c>
      <c r="CP313" s="72">
        <f t="shared" si="1110"/>
        <v>433</v>
      </c>
      <c r="CQ313" s="72">
        <f t="shared" si="1111"/>
        <v>496</v>
      </c>
      <c r="CR313" s="72">
        <f t="shared" si="1112"/>
        <v>537</v>
      </c>
      <c r="CS313" s="72">
        <f t="shared" si="1113"/>
        <v>553</v>
      </c>
      <c r="CT313" s="23">
        <f t="shared" si="1114"/>
        <v>1</v>
      </c>
    </row>
    <row r="314" spans="1:1030" x14ac:dyDescent="0.2">
      <c r="A314" s="3" t="str">
        <f t="shared" si="1115"/>
        <v>smo_human_4JKV</v>
      </c>
      <c r="B314" s="3" t="s">
        <v>33</v>
      </c>
      <c r="C314" s="3" t="s">
        <v>86</v>
      </c>
      <c r="D314" s="3" t="str">
        <f>IFERROR(MID(VLOOKUP($B314,Seqs!$A:$B,2,0),E314,1),"")</f>
        <v>T</v>
      </c>
      <c r="E314" s="105">
        <v>223</v>
      </c>
      <c r="F314" s="3" t="str">
        <f>IFERROR(MID(VLOOKUP($B314,Seqs!$A:$B,2,0),G314,1),"")</f>
        <v>D</v>
      </c>
      <c r="G314" s="3">
        <v>255</v>
      </c>
      <c r="H314" s="3" t="str">
        <f>IFERROR(MID(VLOOKUP($B314,Seqs!$A:$B,2,0),I314,1),"")</f>
        <v>W</v>
      </c>
      <c r="I314" s="23">
        <v>256</v>
      </c>
      <c r="J314" s="3" t="str">
        <f>IFERROR(MID(VLOOKUP($B314,Seqs!$A:$B,2,0),K314,1),"")</f>
        <v>N</v>
      </c>
      <c r="K314" s="23">
        <v>260</v>
      </c>
      <c r="L314" s="3" t="str">
        <f>IFERROR(MID(VLOOKUP($B314,Seqs!$A:$B,2,0),M314,1),"")</f>
        <v>R</v>
      </c>
      <c r="M314" s="3">
        <v>261</v>
      </c>
      <c r="N314" s="3" t="str">
        <f>IFERROR(MID(VLOOKUP($B314,Seqs!$A:$B,2,0),O314,1),"")</f>
        <v>F</v>
      </c>
      <c r="O314" s="3">
        <v>285</v>
      </c>
      <c r="P314" s="3" t="str">
        <f>IFERROR(MID(VLOOKUP($B314,Seqs!$A:$B,2,0),Q314,1),"")</f>
        <v/>
      </c>
      <c r="Q314" s="3" t="s">
        <v>23</v>
      </c>
      <c r="R314" s="3" t="str">
        <f>IFERROR(MID(VLOOKUP($B314,Seqs!$A:$B,2,0),S314,1),"")</f>
        <v/>
      </c>
      <c r="S314" s="3" t="s">
        <v>23</v>
      </c>
      <c r="T314" s="3" t="str">
        <f>IFERROR(MID(VLOOKUP($B314,Seqs!$A:$B,2,0),U314,1),"")</f>
        <v>L</v>
      </c>
      <c r="U314" s="3">
        <v>312</v>
      </c>
      <c r="V314" s="3" t="str">
        <f>IFERROR(MID(VLOOKUP($B314,Seqs!$A:$B,2,0),W314,1),"")</f>
        <v>T</v>
      </c>
      <c r="W314" s="3">
        <v>348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F</v>
      </c>
      <c r="AC314" s="9">
        <v>360</v>
      </c>
      <c r="AD314" s="3" t="str">
        <f>IFERROR(MID(VLOOKUP($B314,Seqs!$A:$B,2,0),AE314,1),"")</f>
        <v>V</v>
      </c>
      <c r="AE314" s="3">
        <v>378</v>
      </c>
      <c r="AF314" s="3" t="str">
        <f>IFERROR(MID(VLOOKUP($B314,Seqs!$A:$B,2,0),AG314,1),"")</f>
        <v>C</v>
      </c>
      <c r="AG314" s="3">
        <v>390</v>
      </c>
      <c r="AH314" s="3" t="str">
        <f>IFERROR(MID(VLOOKUP($B314,Seqs!$A:$B,2,0),AI314,1),"")</f>
        <v>V</v>
      </c>
      <c r="AI314" s="3">
        <v>392</v>
      </c>
      <c r="AJ314" s="3" t="str">
        <f>IFERROR(MID(VLOOKUP($B314,Seqs!$A:$B,2,0),AK314,1),"")</f>
        <v>N</v>
      </c>
      <c r="AK314" s="105">
        <v>396</v>
      </c>
      <c r="AL314" s="3" t="str">
        <f>IFERROR(MID(VLOOKUP($B314,Seqs!$A:$B,2,0),AM314,1),"")</f>
        <v>H</v>
      </c>
      <c r="AM314" s="3">
        <v>433</v>
      </c>
      <c r="AN314" s="3" t="str">
        <f>IFERROR(MID(VLOOKUP($B314,Seqs!$A:$B,2,0),AO314,1),"")</f>
        <v>A</v>
      </c>
      <c r="AO314" s="3">
        <v>442</v>
      </c>
      <c r="AP314" s="3" t="str">
        <f>IFERROR(MID(VLOOKUP($B314,Seqs!$A:$B,2,0),AQ314,1),"")</f>
        <v>N</v>
      </c>
      <c r="AQ314" s="3">
        <v>493</v>
      </c>
      <c r="AR314" s="3" t="str">
        <f>IFERROR(MID(VLOOKUP($B314,Seqs!$A:$B,2,0),AS314,1),"")</f>
        <v>S</v>
      </c>
      <c r="AS314" s="105">
        <v>514</v>
      </c>
      <c r="AT314" s="3" t="str">
        <f>IFERROR(MID(VLOOKUP($B314,Seqs!$A:$B,2,0),AU314,1),"")</f>
        <v>W</v>
      </c>
      <c r="AU314" s="3">
        <v>537</v>
      </c>
      <c r="AV314" s="3" t="str">
        <f>IFERROR(MID(VLOOKUP($B314,Seqs!$A:$B,2,0),AW314,1),"")</f>
        <v>T</v>
      </c>
      <c r="AW314" s="3">
        <v>538</v>
      </c>
      <c r="AX314" s="3" t="str">
        <f>IFERROR(MID(VLOOKUP($B314,Seqs!$A:$B,2,0),AY314,1),"")</f>
        <v>C</v>
      </c>
      <c r="AY314" s="3">
        <v>550</v>
      </c>
      <c r="AZ314" s="77" t="str">
        <f>VLOOKUP(B314,Classification!A:D,2,0)</f>
        <v>F</v>
      </c>
      <c r="BA314" s="94" t="str">
        <f>VLOOKUP(B314,Classification!A:D,4,0)</f>
        <v>Frizzled</v>
      </c>
      <c r="BB314" s="27" t="b">
        <f t="shared" si="1116"/>
        <v>1</v>
      </c>
      <c r="BC314" s="23">
        <f t="shared" si="1089"/>
        <v>251</v>
      </c>
      <c r="BD314" s="4" t="s">
        <v>23</v>
      </c>
      <c r="BE314" s="3" t="s">
        <v>1381</v>
      </c>
      <c r="BF314" s="119">
        <v>2.4500000000000002</v>
      </c>
      <c r="BG314" s="49" t="s">
        <v>1384</v>
      </c>
      <c r="BH314" s="49" t="s">
        <v>1384</v>
      </c>
      <c r="BJ314" s="70" t="s">
        <v>1293</v>
      </c>
      <c r="BK314" s="57" t="s">
        <v>1293</v>
      </c>
      <c r="BL314" s="57" t="s">
        <v>1293</v>
      </c>
      <c r="BM314" s="57" t="s">
        <v>1293</v>
      </c>
      <c r="BN314" s="57" t="s">
        <v>1293</v>
      </c>
      <c r="BO314" s="57" t="s">
        <v>1293</v>
      </c>
      <c r="BP314" s="57" t="s">
        <v>1293</v>
      </c>
      <c r="BQ314" s="57" t="s">
        <v>1293</v>
      </c>
      <c r="BR314" s="57" t="s">
        <v>1293</v>
      </c>
      <c r="BS314" s="57" t="s">
        <v>1293</v>
      </c>
      <c r="BT314" s="57" t="s">
        <v>1293</v>
      </c>
      <c r="BU314" s="57" t="s">
        <v>1293</v>
      </c>
      <c r="BV314" s="70">
        <f t="shared" si="1090"/>
        <v>223</v>
      </c>
      <c r="BW314" s="71">
        <f t="shared" si="1091"/>
        <v>256</v>
      </c>
      <c r="BX314" s="72">
        <f t="shared" si="1092"/>
        <v>261</v>
      </c>
      <c r="BY314" s="71" t="str">
        <f t="shared" si="1093"/>
        <v>-</v>
      </c>
      <c r="BZ314" s="72">
        <f t="shared" si="1094"/>
        <v>312</v>
      </c>
      <c r="CA314" s="71" t="str">
        <f t="shared" si="1095"/>
        <v>-</v>
      </c>
      <c r="CB314" s="72">
        <f t="shared" si="1096"/>
        <v>360</v>
      </c>
      <c r="CC314" s="71">
        <f t="shared" si="1097"/>
        <v>390</v>
      </c>
      <c r="CD314" s="72">
        <f t="shared" si="1098"/>
        <v>396</v>
      </c>
      <c r="CE314" s="71">
        <f t="shared" si="1099"/>
        <v>442</v>
      </c>
      <c r="CF314" s="72">
        <f t="shared" si="1100"/>
        <v>514</v>
      </c>
      <c r="CG314" s="71">
        <f t="shared" si="1101"/>
        <v>538</v>
      </c>
      <c r="CH314" s="70">
        <f t="shared" si="1102"/>
        <v>255</v>
      </c>
      <c r="CI314" s="71">
        <f t="shared" si="1103"/>
        <v>260</v>
      </c>
      <c r="CJ314" s="72">
        <f t="shared" si="1104"/>
        <v>285</v>
      </c>
      <c r="CK314" s="72" t="str">
        <f t="shared" si="1105"/>
        <v>-</v>
      </c>
      <c r="CL314" s="72">
        <f t="shared" si="1106"/>
        <v>348</v>
      </c>
      <c r="CM314" s="72" t="str">
        <f t="shared" si="1107"/>
        <v>-</v>
      </c>
      <c r="CN314" s="72">
        <f t="shared" si="1108"/>
        <v>378</v>
      </c>
      <c r="CO314" s="72">
        <f t="shared" si="1109"/>
        <v>392</v>
      </c>
      <c r="CP314" s="72">
        <f t="shared" si="1110"/>
        <v>433</v>
      </c>
      <c r="CQ314" s="72">
        <f t="shared" si="1111"/>
        <v>493</v>
      </c>
      <c r="CR314" s="72">
        <f t="shared" si="1112"/>
        <v>537</v>
      </c>
      <c r="CS314" s="72">
        <f t="shared" si="1113"/>
        <v>550</v>
      </c>
      <c r="CT314" s="23">
        <f t="shared" si="1114"/>
        <v>1</v>
      </c>
    </row>
    <row r="315" spans="1:1030" x14ac:dyDescent="0.2">
      <c r="A315" s="3" t="str">
        <f t="shared" si="1115"/>
        <v>smo_human_4N4W</v>
      </c>
      <c r="B315" s="3" t="s">
        <v>33</v>
      </c>
      <c r="C315" s="3" t="s">
        <v>1048</v>
      </c>
      <c r="D315" s="3" t="str">
        <f>IFERROR(MID(VLOOKUP($B315,Seqs!$A:$B,2,0),E315,1),"")</f>
        <v>T</v>
      </c>
      <c r="E315" s="105">
        <v>223</v>
      </c>
      <c r="F315" s="3" t="str">
        <f>IFERROR(MID(VLOOKUP($B315,Seqs!$A:$B,2,0),G315,1),"")</f>
        <v>D</v>
      </c>
      <c r="G315" s="3">
        <v>255</v>
      </c>
      <c r="H315" s="3" t="str">
        <f>IFERROR(MID(VLOOKUP($B315,Seqs!$A:$B,2,0),I315,1),"")</f>
        <v>W</v>
      </c>
      <c r="I315" s="23">
        <v>256</v>
      </c>
      <c r="J315" s="3" t="str">
        <f>IFERROR(MID(VLOOKUP($B315,Seqs!$A:$B,2,0),K315,1),"")</f>
        <v>N</v>
      </c>
      <c r="K315" s="23">
        <v>260</v>
      </c>
      <c r="L315" s="3" t="str">
        <f>IFERROR(MID(VLOOKUP($B315,Seqs!$A:$B,2,0),M315,1),"")</f>
        <v>R</v>
      </c>
      <c r="M315" s="3">
        <v>261</v>
      </c>
      <c r="N315" s="3" t="str">
        <f>IFERROR(MID(VLOOKUP($B315,Seqs!$A:$B,2,0),O315,1),"")</f>
        <v>F</v>
      </c>
      <c r="O315" s="3">
        <v>285</v>
      </c>
      <c r="P315" s="3" t="str">
        <f>IFERROR(MID(VLOOKUP($B315,Seqs!$A:$B,2,0),Q315,1),"")</f>
        <v/>
      </c>
      <c r="Q315" s="3" t="s">
        <v>23</v>
      </c>
      <c r="R315" s="3" t="str">
        <f>IFERROR(MID(VLOOKUP($B315,Seqs!$A:$B,2,0),S315,1),"")</f>
        <v/>
      </c>
      <c r="S315" s="3" t="s">
        <v>23</v>
      </c>
      <c r="T315" s="3" t="str">
        <f>IFERROR(MID(VLOOKUP($B315,Seqs!$A:$B,2,0),U315,1),"")</f>
        <v>L</v>
      </c>
      <c r="U315" s="3">
        <v>312</v>
      </c>
      <c r="V315" s="3" t="str">
        <f>IFERROR(MID(VLOOKUP($B315,Seqs!$A:$B,2,0),W315,1),"")</f>
        <v>A</v>
      </c>
      <c r="W315" s="3">
        <v>345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K</v>
      </c>
      <c r="AC315" s="9">
        <v>356</v>
      </c>
      <c r="AD315" s="3" t="str">
        <f>IFERROR(MID(VLOOKUP($B315,Seqs!$A:$B,2,0),AE315,1),"")</f>
        <v>V</v>
      </c>
      <c r="AE315" s="3">
        <v>378</v>
      </c>
      <c r="AF315" s="3" t="str">
        <f>IFERROR(MID(VLOOKUP($B315,Seqs!$A:$B,2,0),AG315,1),"")</f>
        <v>C</v>
      </c>
      <c r="AG315" s="3">
        <v>390</v>
      </c>
      <c r="AH315" s="3" t="str">
        <f>IFERROR(MID(VLOOKUP($B315,Seqs!$A:$B,2,0),AI315,1),"")</f>
        <v>V</v>
      </c>
      <c r="AI315" s="3">
        <v>392</v>
      </c>
      <c r="AJ315" s="3" t="str">
        <f>IFERROR(MID(VLOOKUP($B315,Seqs!$A:$B,2,0),AK315,1),"")</f>
        <v>N</v>
      </c>
      <c r="AK315" s="105">
        <v>396</v>
      </c>
      <c r="AL315" s="3" t="str">
        <f>IFERROR(MID(VLOOKUP($B315,Seqs!$A:$B,2,0),AM315,1),"")</f>
        <v>H</v>
      </c>
      <c r="AM315" s="3">
        <v>433</v>
      </c>
      <c r="AN315" s="3" t="str">
        <f>IFERROR(MID(VLOOKUP($B315,Seqs!$A:$B,2,0),AO315,1),"")</f>
        <v>S</v>
      </c>
      <c r="AO315" s="3">
        <v>443</v>
      </c>
      <c r="AP315" s="3" t="str">
        <f>IFERROR(MID(VLOOKUP($B315,Seqs!$A:$B,2,0),AQ315,1),"")</f>
        <v>Q</v>
      </c>
      <c r="AQ315" s="3">
        <v>491</v>
      </c>
      <c r="AR315" s="3" t="str">
        <f>IFERROR(MID(VLOOKUP($B315,Seqs!$A:$B,2,0),AS315,1),"")</f>
        <v>S</v>
      </c>
      <c r="AS315" s="105">
        <v>514</v>
      </c>
      <c r="AT315" s="3" t="str">
        <f>IFERROR(MID(VLOOKUP($B315,Seqs!$A:$B,2,0),AU315,1),"")</f>
        <v>W</v>
      </c>
      <c r="AU315" s="3">
        <v>537</v>
      </c>
      <c r="AV315" s="3" t="str">
        <f>IFERROR(MID(VLOOKUP($B315,Seqs!$A:$B,2,0),AW315,1),"")</f>
        <v>T</v>
      </c>
      <c r="AW315" s="3">
        <v>538</v>
      </c>
      <c r="AX315" s="3" t="str">
        <f>IFERROR(MID(VLOOKUP($B315,Seqs!$A:$B,2,0),AY315,1),"")</f>
        <v>L</v>
      </c>
      <c r="AY315" s="3">
        <v>552</v>
      </c>
      <c r="AZ315" s="77" t="str">
        <f>VLOOKUP(B315,Classification!A:D,2,0)</f>
        <v>F</v>
      </c>
      <c r="BA315" s="94" t="str">
        <f>VLOOKUP(B315,Classification!A:D,4,0)</f>
        <v>Frizzled</v>
      </c>
      <c r="BB315" s="27" t="b">
        <f t="shared" si="1116"/>
        <v>1</v>
      </c>
      <c r="BC315" s="23">
        <f t="shared" si="1089"/>
        <v>251</v>
      </c>
      <c r="BD315" s="2" t="s">
        <v>23</v>
      </c>
      <c r="BE315" s="3" t="s">
        <v>1381</v>
      </c>
      <c r="BF315" s="119">
        <v>2.8</v>
      </c>
      <c r="BG315" s="49" t="s">
        <v>1384</v>
      </c>
      <c r="BH315" s="49" t="s">
        <v>1384</v>
      </c>
      <c r="BJ315" s="70" t="s">
        <v>1293</v>
      </c>
      <c r="BK315" s="57" t="s">
        <v>1293</v>
      </c>
      <c r="BL315" s="57" t="s">
        <v>1293</v>
      </c>
      <c r="BM315" s="57" t="s">
        <v>1293</v>
      </c>
      <c r="BN315" s="57" t="s">
        <v>1293</v>
      </c>
      <c r="BO315" s="57" t="s">
        <v>1293</v>
      </c>
      <c r="BP315" s="57" t="s">
        <v>1293</v>
      </c>
      <c r="BQ315" s="57" t="s">
        <v>1293</v>
      </c>
      <c r="BR315" s="57" t="s">
        <v>1293</v>
      </c>
      <c r="BS315" s="57" t="s">
        <v>1293</v>
      </c>
      <c r="BT315" s="57" t="s">
        <v>1293</v>
      </c>
      <c r="BU315" s="57" t="s">
        <v>1293</v>
      </c>
      <c r="BV315" s="70">
        <f t="shared" si="1090"/>
        <v>223</v>
      </c>
      <c r="BW315" s="71">
        <f t="shared" si="1091"/>
        <v>256</v>
      </c>
      <c r="BX315" s="72">
        <f t="shared" si="1092"/>
        <v>261</v>
      </c>
      <c r="BY315" s="71" t="str">
        <f t="shared" si="1093"/>
        <v>-</v>
      </c>
      <c r="BZ315" s="72">
        <f t="shared" si="1094"/>
        <v>312</v>
      </c>
      <c r="CA315" s="71" t="str">
        <f t="shared" si="1095"/>
        <v>-</v>
      </c>
      <c r="CB315" s="72">
        <f t="shared" si="1096"/>
        <v>356</v>
      </c>
      <c r="CC315" s="71">
        <f t="shared" si="1097"/>
        <v>390</v>
      </c>
      <c r="CD315" s="72">
        <f t="shared" si="1098"/>
        <v>396</v>
      </c>
      <c r="CE315" s="71">
        <f t="shared" si="1099"/>
        <v>443</v>
      </c>
      <c r="CF315" s="72">
        <f t="shared" si="1100"/>
        <v>514</v>
      </c>
      <c r="CG315" s="71">
        <f t="shared" si="1101"/>
        <v>538</v>
      </c>
      <c r="CH315" s="70">
        <f t="shared" si="1102"/>
        <v>255</v>
      </c>
      <c r="CI315" s="71">
        <f t="shared" si="1103"/>
        <v>260</v>
      </c>
      <c r="CJ315" s="72">
        <f t="shared" si="1104"/>
        <v>285</v>
      </c>
      <c r="CK315" s="72" t="str">
        <f t="shared" si="1105"/>
        <v>-</v>
      </c>
      <c r="CL315" s="72">
        <f t="shared" si="1106"/>
        <v>345</v>
      </c>
      <c r="CM315" s="72" t="str">
        <f t="shared" si="1107"/>
        <v>-</v>
      </c>
      <c r="CN315" s="72">
        <f t="shared" si="1108"/>
        <v>378</v>
      </c>
      <c r="CO315" s="72">
        <f t="shared" si="1109"/>
        <v>392</v>
      </c>
      <c r="CP315" s="72">
        <f t="shared" si="1110"/>
        <v>433</v>
      </c>
      <c r="CQ315" s="72">
        <f t="shared" si="1111"/>
        <v>491</v>
      </c>
      <c r="CR315" s="72">
        <f t="shared" si="1112"/>
        <v>537</v>
      </c>
      <c r="CS315" s="72">
        <f t="shared" si="1113"/>
        <v>552</v>
      </c>
      <c r="CT315" s="23">
        <f t="shared" si="1114"/>
        <v>1</v>
      </c>
    </row>
    <row r="316" spans="1:1030" x14ac:dyDescent="0.2">
      <c r="A316" s="3" t="str">
        <f t="shared" si="1115"/>
        <v>smo_human_4O9R</v>
      </c>
      <c r="B316" s="3" t="s">
        <v>33</v>
      </c>
      <c r="C316" s="3" t="s">
        <v>1050</v>
      </c>
      <c r="D316" s="3" t="str">
        <f>IFERROR(MID(VLOOKUP($B316,Seqs!$A:$B,2,0),E316,1),"")</f>
        <v>T</v>
      </c>
      <c r="E316" s="105">
        <v>223</v>
      </c>
      <c r="F316" s="3" t="str">
        <f>IFERROR(MID(VLOOKUP($B316,Seqs!$A:$B,2,0),G316,1),"")</f>
        <v>D</v>
      </c>
      <c r="G316" s="3">
        <v>255</v>
      </c>
      <c r="H316" s="3" t="str">
        <f>IFERROR(MID(VLOOKUP($B316,Seqs!$A:$B,2,0),I316,1),"")</f>
        <v>W</v>
      </c>
      <c r="I316" s="23">
        <v>256</v>
      </c>
      <c r="J316" s="3" t="str">
        <f>IFERROR(MID(VLOOKUP($B316,Seqs!$A:$B,2,0),K316,1),"")</f>
        <v>N</v>
      </c>
      <c r="K316" s="23">
        <v>260</v>
      </c>
      <c r="L316" s="3" t="str">
        <f>IFERROR(MID(VLOOKUP($B316,Seqs!$A:$B,2,0),M316,1),"")</f>
        <v>R</v>
      </c>
      <c r="M316" s="3">
        <v>261</v>
      </c>
      <c r="N316" s="3" t="str">
        <f>IFERROR(MID(VLOOKUP($B316,Seqs!$A:$B,2,0),O316,1),"")</f>
        <v>F</v>
      </c>
      <c r="O316" s="3">
        <v>285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L</v>
      </c>
      <c r="U316" s="3">
        <v>312</v>
      </c>
      <c r="V316" s="3" t="str">
        <f>IFERROR(MID(VLOOKUP($B316,Seqs!$A:$B,2,0),W316,1),"")</f>
        <v>F</v>
      </c>
      <c r="W316" s="3">
        <v>343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F</v>
      </c>
      <c r="AC316" s="9">
        <v>360</v>
      </c>
      <c r="AD316" s="3" t="str">
        <f>IFERROR(MID(VLOOKUP($B316,Seqs!$A:$B,2,0),AE316,1),"")</f>
        <v>V</v>
      </c>
      <c r="AE316" s="3">
        <v>378</v>
      </c>
      <c r="AF316" s="3" t="str">
        <f>IFERROR(MID(VLOOKUP($B316,Seqs!$A:$B,2,0),AG316,1),"")</f>
        <v>C</v>
      </c>
      <c r="AG316" s="3">
        <v>390</v>
      </c>
      <c r="AH316" s="3" t="str">
        <f>IFERROR(MID(VLOOKUP($B316,Seqs!$A:$B,2,0),AI316,1),"")</f>
        <v>V</v>
      </c>
      <c r="AI316" s="3">
        <v>392</v>
      </c>
      <c r="AJ316" s="3" t="str">
        <f>IFERROR(MID(VLOOKUP($B316,Seqs!$A:$B,2,0),AK316,1),"")</f>
        <v>N</v>
      </c>
      <c r="AK316" s="105">
        <v>396</v>
      </c>
      <c r="AL316" s="3" t="str">
        <f>IFERROR(MID(VLOOKUP($B316,Seqs!$A:$B,2,0),AM316,1),"")</f>
        <v>H</v>
      </c>
      <c r="AM316" s="3">
        <v>433</v>
      </c>
      <c r="AN316" s="3" t="str">
        <f>IFERROR(MID(VLOOKUP($B316,Seqs!$A:$B,2,0),AO316,1),"")</f>
        <v>E</v>
      </c>
      <c r="AO316" s="3">
        <v>447</v>
      </c>
      <c r="AP316" s="3" t="str">
        <f>IFERROR(MID(VLOOKUP($B316,Seqs!$A:$B,2,0),AQ316,1),"")</f>
        <v>N</v>
      </c>
      <c r="AQ316" s="3">
        <v>493</v>
      </c>
      <c r="AR316" s="3" t="str">
        <f>IFERROR(MID(VLOOKUP($B316,Seqs!$A:$B,2,0),AS316,1),"")</f>
        <v>S</v>
      </c>
      <c r="AS316" s="105">
        <v>514</v>
      </c>
      <c r="AT316" s="3" t="str">
        <f>IFERROR(MID(VLOOKUP($B316,Seqs!$A:$B,2,0),AU316,1),"")</f>
        <v>W</v>
      </c>
      <c r="AU316" s="3">
        <v>537</v>
      </c>
      <c r="AV316" s="3" t="str">
        <f>IFERROR(MID(VLOOKUP($B316,Seqs!$A:$B,2,0),AW316,1),"")</f>
        <v>T</v>
      </c>
      <c r="AW316" s="3">
        <v>538</v>
      </c>
      <c r="AX316" s="3" t="str">
        <f>IFERROR(MID(VLOOKUP($B316,Seqs!$A:$B,2,0),AY316,1),"")</f>
        <v>W</v>
      </c>
      <c r="AY316" s="3">
        <v>549</v>
      </c>
      <c r="AZ316" s="78" t="str">
        <f>VLOOKUP(B316,Classification!A:D,2,0)</f>
        <v>F</v>
      </c>
      <c r="BA316" s="94" t="str">
        <f>VLOOKUP(B316,Classification!A:D,4,0)</f>
        <v>Frizzled</v>
      </c>
      <c r="BB316" s="92" t="b">
        <f t="shared" si="1116"/>
        <v>1</v>
      </c>
      <c r="BC316" s="23">
        <f t="shared" si="1089"/>
        <v>240</v>
      </c>
      <c r="BD316" s="74" t="s">
        <v>23</v>
      </c>
      <c r="BE316" s="3" t="s">
        <v>1381</v>
      </c>
      <c r="BF316" s="119">
        <v>3.2</v>
      </c>
      <c r="BG316" s="49" t="s">
        <v>1384</v>
      </c>
      <c r="BH316" s="49" t="s">
        <v>1384</v>
      </c>
      <c r="BJ316" s="75" t="s">
        <v>1293</v>
      </c>
      <c r="BK316" s="57" t="s">
        <v>1293</v>
      </c>
      <c r="BL316" s="57" t="s">
        <v>1293</v>
      </c>
      <c r="BM316" s="57" t="s">
        <v>1293</v>
      </c>
      <c r="BN316" s="57" t="s">
        <v>1293</v>
      </c>
      <c r="BO316" s="57" t="s">
        <v>1293</v>
      </c>
      <c r="BP316" s="57" t="s">
        <v>1293</v>
      </c>
      <c r="BQ316" s="57" t="s">
        <v>1293</v>
      </c>
      <c r="BR316" s="57" t="s">
        <v>1293</v>
      </c>
      <c r="BS316" s="57" t="s">
        <v>1293</v>
      </c>
      <c r="BT316" s="57" t="s">
        <v>1293</v>
      </c>
      <c r="BU316" s="57" t="s">
        <v>1293</v>
      </c>
      <c r="BV316" s="75">
        <f t="shared" si="1090"/>
        <v>223</v>
      </c>
      <c r="BW316" s="71">
        <f t="shared" si="1091"/>
        <v>256</v>
      </c>
      <c r="BX316" s="72">
        <f t="shared" si="1092"/>
        <v>261</v>
      </c>
      <c r="BY316" s="71" t="str">
        <f t="shared" si="1093"/>
        <v>-</v>
      </c>
      <c r="BZ316" s="72">
        <f t="shared" si="1094"/>
        <v>312</v>
      </c>
      <c r="CA316" s="71" t="str">
        <f t="shared" si="1095"/>
        <v>-</v>
      </c>
      <c r="CB316" s="72">
        <f t="shared" si="1096"/>
        <v>360</v>
      </c>
      <c r="CC316" s="71">
        <f t="shared" si="1097"/>
        <v>390</v>
      </c>
      <c r="CD316" s="72">
        <f t="shared" si="1098"/>
        <v>396</v>
      </c>
      <c r="CE316" s="71">
        <f t="shared" si="1099"/>
        <v>447</v>
      </c>
      <c r="CF316" s="72">
        <f t="shared" si="1100"/>
        <v>514</v>
      </c>
      <c r="CG316" s="71">
        <f t="shared" si="1101"/>
        <v>538</v>
      </c>
      <c r="CH316" s="75">
        <f t="shared" si="1102"/>
        <v>255</v>
      </c>
      <c r="CI316" s="71">
        <f t="shared" si="1103"/>
        <v>260</v>
      </c>
      <c r="CJ316" s="72">
        <f t="shared" si="1104"/>
        <v>285</v>
      </c>
      <c r="CK316" s="72" t="str">
        <f t="shared" si="1105"/>
        <v>-</v>
      </c>
      <c r="CL316" s="72">
        <f t="shared" si="1106"/>
        <v>343</v>
      </c>
      <c r="CM316" s="72" t="str">
        <f t="shared" si="1107"/>
        <v>-</v>
      </c>
      <c r="CN316" s="72">
        <f t="shared" si="1108"/>
        <v>378</v>
      </c>
      <c r="CO316" s="72">
        <f t="shared" si="1109"/>
        <v>392</v>
      </c>
      <c r="CP316" s="72">
        <f t="shared" si="1110"/>
        <v>433</v>
      </c>
      <c r="CQ316" s="72">
        <f t="shared" si="1111"/>
        <v>493</v>
      </c>
      <c r="CR316" s="72">
        <f t="shared" si="1112"/>
        <v>537</v>
      </c>
      <c r="CS316" s="72">
        <f t="shared" si="1113"/>
        <v>549</v>
      </c>
      <c r="CT316" s="23">
        <f t="shared" si="1114"/>
        <v>1</v>
      </c>
    </row>
    <row r="317" spans="1:1030" s="6" customFormat="1" x14ac:dyDescent="0.2">
      <c r="A317" s="3" t="str">
        <f t="shared" si="1115"/>
        <v>smo_human_4QIM</v>
      </c>
      <c r="B317" s="3" t="s">
        <v>33</v>
      </c>
      <c r="C317" s="3" t="s">
        <v>1052</v>
      </c>
      <c r="D317" s="3" t="str">
        <f>IFERROR(MID(VLOOKUP($B317,Seqs!$A:$B,2,0),E317,1),"")</f>
        <v>T</v>
      </c>
      <c r="E317" s="105">
        <v>223</v>
      </c>
      <c r="F317" s="3" t="str">
        <f>IFERROR(MID(VLOOKUP($B317,Seqs!$A:$B,2,0),G317,1),"")</f>
        <v>D</v>
      </c>
      <c r="G317" s="3">
        <v>255</v>
      </c>
      <c r="H317" s="3" t="str">
        <f>IFERROR(MID(VLOOKUP($B317,Seqs!$A:$B,2,0),I317,1),"")</f>
        <v>W</v>
      </c>
      <c r="I317" s="23">
        <v>256</v>
      </c>
      <c r="J317" s="3" t="str">
        <f>IFERROR(MID(VLOOKUP($B317,Seqs!$A:$B,2,0),K317,1),"")</f>
        <v>N</v>
      </c>
      <c r="K317" s="23">
        <v>260</v>
      </c>
      <c r="L317" s="3" t="str">
        <f>IFERROR(MID(VLOOKUP($B317,Seqs!$A:$B,2,0),M317,1),"")</f>
        <v>R</v>
      </c>
      <c r="M317" s="3">
        <v>261</v>
      </c>
      <c r="N317" s="3" t="str">
        <f>IFERROR(MID(VLOOKUP($B317,Seqs!$A:$B,2,0),O317,1),"")</f>
        <v>F</v>
      </c>
      <c r="O317" s="3">
        <v>285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L</v>
      </c>
      <c r="U317" s="3">
        <v>312</v>
      </c>
      <c r="V317" s="3" t="str">
        <f>IFERROR(MID(VLOOKUP($B317,Seqs!$A:$B,2,0),W317,1),"")</f>
        <v>A</v>
      </c>
      <c r="W317" s="3">
        <v>345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K</v>
      </c>
      <c r="AC317" s="9">
        <v>356</v>
      </c>
      <c r="AD317" s="3" t="str">
        <f>IFERROR(MID(VLOOKUP($B317,Seqs!$A:$B,2,0),AE317,1),"")</f>
        <v>V</v>
      </c>
      <c r="AE317" s="3">
        <v>378</v>
      </c>
      <c r="AF317" s="3" t="str">
        <f>IFERROR(MID(VLOOKUP($B317,Seqs!$A:$B,2,0),AG317,1),"")</f>
        <v>C</v>
      </c>
      <c r="AG317" s="3">
        <v>390</v>
      </c>
      <c r="AH317" s="3" t="str">
        <f>IFERROR(MID(VLOOKUP($B317,Seqs!$A:$B,2,0),AI317,1),"")</f>
        <v>V</v>
      </c>
      <c r="AI317" s="3">
        <v>392</v>
      </c>
      <c r="AJ317" s="3" t="str">
        <f>IFERROR(MID(VLOOKUP($B317,Seqs!$A:$B,2,0),AK317,1),"")</f>
        <v>N</v>
      </c>
      <c r="AK317" s="105">
        <v>396</v>
      </c>
      <c r="AL317" s="3" t="str">
        <f>IFERROR(MID(VLOOKUP($B317,Seqs!$A:$B,2,0),AM317,1),"")</f>
        <v>H</v>
      </c>
      <c r="AM317" s="3">
        <v>433</v>
      </c>
      <c r="AN317" s="3" t="str">
        <f>IFERROR(MID(VLOOKUP($B317,Seqs!$A:$B,2,0),AO317,1),"")</f>
        <v>E</v>
      </c>
      <c r="AO317" s="3">
        <v>447</v>
      </c>
      <c r="AP317" s="3" t="str">
        <f>IFERROR(MID(VLOOKUP($B317,Seqs!$A:$B,2,0),AQ317,1),"")</f>
        <v>N</v>
      </c>
      <c r="AQ317" s="3">
        <v>493</v>
      </c>
      <c r="AR317" s="3" t="str">
        <f>IFERROR(MID(VLOOKUP($B317,Seqs!$A:$B,2,0),AS317,1),"")</f>
        <v>S</v>
      </c>
      <c r="AS317" s="105">
        <v>514</v>
      </c>
      <c r="AT317" s="3" t="str">
        <f>IFERROR(MID(VLOOKUP($B317,Seqs!$A:$B,2,0),AU317,1),"")</f>
        <v>W</v>
      </c>
      <c r="AU317" s="3">
        <v>537</v>
      </c>
      <c r="AV317" s="3" t="str">
        <f>IFERROR(MID(VLOOKUP($B317,Seqs!$A:$B,2,0),AW317,1),"")</f>
        <v>T</v>
      </c>
      <c r="AW317" s="3">
        <v>538</v>
      </c>
      <c r="AX317" s="3" t="str">
        <f>IFERROR(MID(VLOOKUP($B317,Seqs!$A:$B,2,0),AY317,1),"")</f>
        <v>T</v>
      </c>
      <c r="AY317" s="3">
        <v>553</v>
      </c>
      <c r="AZ317" s="78" t="str">
        <f>VLOOKUP(B317,Classification!A:D,2,0)</f>
        <v>F</v>
      </c>
      <c r="BA317" s="94" t="str">
        <f>VLOOKUP(B317,Classification!A:D,4,0)</f>
        <v>Frizzled</v>
      </c>
      <c r="BB317" s="92" t="b">
        <f t="shared" si="1116"/>
        <v>1</v>
      </c>
      <c r="BC317" s="23">
        <f t="shared" si="1089"/>
        <v>250</v>
      </c>
      <c r="BD317" s="74" t="s">
        <v>23</v>
      </c>
      <c r="BE317" s="3" t="s">
        <v>1381</v>
      </c>
      <c r="BF317" s="119">
        <v>2.61</v>
      </c>
      <c r="BG317" s="49" t="s">
        <v>1384</v>
      </c>
      <c r="BH317" s="49" t="s">
        <v>1384</v>
      </c>
      <c r="BI317" s="3"/>
      <c r="BJ317" s="75" t="s">
        <v>1293</v>
      </c>
      <c r="BK317" s="57" t="s">
        <v>1293</v>
      </c>
      <c r="BL317" s="57" t="s">
        <v>1293</v>
      </c>
      <c r="BM317" s="57" t="s">
        <v>1293</v>
      </c>
      <c r="BN317" s="57" t="s">
        <v>1293</v>
      </c>
      <c r="BO317" s="57" t="s">
        <v>1293</v>
      </c>
      <c r="BP317" s="57" t="s">
        <v>1293</v>
      </c>
      <c r="BQ317" s="57" t="s">
        <v>1293</v>
      </c>
      <c r="BR317" s="57" t="s">
        <v>1293</v>
      </c>
      <c r="BS317" s="57" t="s">
        <v>1293</v>
      </c>
      <c r="BT317" s="57" t="s">
        <v>1293</v>
      </c>
      <c r="BU317" s="57" t="s">
        <v>1293</v>
      </c>
      <c r="BV317" s="75">
        <f t="shared" si="1090"/>
        <v>223</v>
      </c>
      <c r="BW317" s="71">
        <f t="shared" si="1091"/>
        <v>256</v>
      </c>
      <c r="BX317" s="72">
        <f t="shared" si="1092"/>
        <v>261</v>
      </c>
      <c r="BY317" s="71" t="str">
        <f t="shared" si="1093"/>
        <v>-</v>
      </c>
      <c r="BZ317" s="72">
        <f t="shared" si="1094"/>
        <v>312</v>
      </c>
      <c r="CA317" s="71" t="str">
        <f t="shared" si="1095"/>
        <v>-</v>
      </c>
      <c r="CB317" s="72">
        <f t="shared" si="1096"/>
        <v>356</v>
      </c>
      <c r="CC317" s="71">
        <f t="shared" si="1097"/>
        <v>390</v>
      </c>
      <c r="CD317" s="72">
        <f t="shared" si="1098"/>
        <v>396</v>
      </c>
      <c r="CE317" s="71">
        <f t="shared" si="1099"/>
        <v>447</v>
      </c>
      <c r="CF317" s="72">
        <f t="shared" si="1100"/>
        <v>514</v>
      </c>
      <c r="CG317" s="71">
        <f t="shared" si="1101"/>
        <v>538</v>
      </c>
      <c r="CH317" s="75">
        <f t="shared" si="1102"/>
        <v>255</v>
      </c>
      <c r="CI317" s="71">
        <f t="shared" si="1103"/>
        <v>260</v>
      </c>
      <c r="CJ317" s="72">
        <f t="shared" si="1104"/>
        <v>285</v>
      </c>
      <c r="CK317" s="72" t="str">
        <f t="shared" si="1105"/>
        <v>-</v>
      </c>
      <c r="CL317" s="72">
        <f t="shared" si="1106"/>
        <v>345</v>
      </c>
      <c r="CM317" s="72" t="str">
        <f t="shared" si="1107"/>
        <v>-</v>
      </c>
      <c r="CN317" s="72">
        <f t="shared" si="1108"/>
        <v>378</v>
      </c>
      <c r="CO317" s="72">
        <f t="shared" si="1109"/>
        <v>392</v>
      </c>
      <c r="CP317" s="72">
        <f t="shared" si="1110"/>
        <v>433</v>
      </c>
      <c r="CQ317" s="72">
        <f t="shared" si="1111"/>
        <v>493</v>
      </c>
      <c r="CR317" s="72">
        <f t="shared" si="1112"/>
        <v>537</v>
      </c>
      <c r="CS317" s="72">
        <f t="shared" si="1113"/>
        <v>553</v>
      </c>
      <c r="CT317" s="23">
        <f t="shared" si="1114"/>
        <v>1</v>
      </c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/>
      <c r="MX317" s="3"/>
      <c r="MY317" s="3"/>
      <c r="MZ317" s="3"/>
      <c r="NA317" s="3"/>
      <c r="NB317" s="3"/>
      <c r="NC317" s="3"/>
      <c r="ND317" s="3"/>
      <c r="NE317" s="3"/>
      <c r="NF317" s="3"/>
      <c r="NG317" s="3"/>
      <c r="NH317" s="3"/>
      <c r="NI317" s="3"/>
      <c r="NJ317" s="3"/>
      <c r="NK317" s="3"/>
      <c r="NL317" s="3"/>
      <c r="NM317" s="3"/>
      <c r="NN317" s="3"/>
      <c r="NO317" s="3"/>
      <c r="NP317" s="3"/>
      <c r="NQ317" s="3"/>
      <c r="NR317" s="3"/>
      <c r="NS317" s="3"/>
      <c r="NT317" s="3"/>
      <c r="NU317" s="3"/>
      <c r="NV317" s="3"/>
      <c r="NW317" s="3"/>
      <c r="NX317" s="3"/>
      <c r="NY317" s="3"/>
      <c r="NZ317" s="3"/>
      <c r="OA317" s="3"/>
      <c r="OB317" s="3"/>
      <c r="OC317" s="3"/>
      <c r="OD317" s="3"/>
      <c r="OE317" s="3"/>
      <c r="OF317" s="3"/>
      <c r="OG317" s="3"/>
      <c r="OH317" s="3"/>
      <c r="OI317" s="3"/>
      <c r="OJ317" s="3"/>
      <c r="OK317" s="3"/>
      <c r="OL317" s="3"/>
      <c r="OM317" s="3"/>
      <c r="ON317" s="3"/>
      <c r="OO317" s="3"/>
      <c r="OP317" s="3"/>
      <c r="OQ317" s="3"/>
      <c r="OR317" s="3"/>
      <c r="OS317" s="3"/>
      <c r="OT317" s="3"/>
      <c r="OU317" s="3"/>
      <c r="OV317" s="3"/>
      <c r="OW317" s="3"/>
      <c r="OX317" s="3"/>
      <c r="OY317" s="3"/>
      <c r="OZ317" s="3"/>
      <c r="PA317" s="3"/>
      <c r="PB317" s="3"/>
      <c r="PC317" s="3"/>
      <c r="PD317" s="3"/>
      <c r="PE317" s="3"/>
      <c r="PF317" s="3"/>
      <c r="PG317" s="3"/>
      <c r="PH317" s="3"/>
      <c r="PI317" s="3"/>
      <c r="PJ317" s="3"/>
      <c r="PK317" s="3"/>
      <c r="PL317" s="3"/>
      <c r="PM317" s="3"/>
      <c r="PN317" s="3"/>
      <c r="PO317" s="3"/>
      <c r="PP317" s="3"/>
      <c r="PQ317" s="3"/>
      <c r="PR317" s="3"/>
      <c r="PS317" s="3"/>
      <c r="PT317" s="3"/>
      <c r="PU317" s="3"/>
      <c r="PV317" s="3"/>
      <c r="PW317" s="3"/>
      <c r="PX317" s="3"/>
      <c r="PY317" s="3"/>
      <c r="PZ317" s="3"/>
      <c r="QA317" s="3"/>
      <c r="QB317" s="3"/>
      <c r="QC317" s="3"/>
      <c r="QD317" s="3"/>
      <c r="QE317" s="3"/>
      <c r="QF317" s="3"/>
      <c r="QG317" s="3"/>
      <c r="QH317" s="3"/>
      <c r="QI317" s="3"/>
      <c r="QJ317" s="3"/>
      <c r="QK317" s="3"/>
      <c r="QL317" s="3"/>
      <c r="QM317" s="3"/>
      <c r="QN317" s="3"/>
      <c r="QO317" s="3"/>
      <c r="QP317" s="3"/>
      <c r="QQ317" s="3"/>
      <c r="QR317" s="3"/>
      <c r="QS317" s="3"/>
      <c r="QT317" s="3"/>
      <c r="QU317" s="3"/>
      <c r="QV317" s="3"/>
      <c r="QW317" s="3"/>
      <c r="QX317" s="3"/>
      <c r="QY317" s="3"/>
      <c r="QZ317" s="3"/>
      <c r="RA317" s="3"/>
      <c r="RB317" s="3"/>
      <c r="RC317" s="3"/>
      <c r="RD317" s="3"/>
      <c r="RE317" s="3"/>
      <c r="RF317" s="3"/>
      <c r="RG317" s="3"/>
      <c r="RH317" s="3"/>
      <c r="RI317" s="3"/>
      <c r="RJ317" s="3"/>
      <c r="RK317" s="3"/>
      <c r="RL317" s="3"/>
      <c r="RM317" s="3"/>
      <c r="RN317" s="3"/>
      <c r="RO317" s="3"/>
      <c r="RP317" s="3"/>
      <c r="RQ317" s="3"/>
      <c r="RR317" s="3"/>
      <c r="RS317" s="3"/>
      <c r="RT317" s="3"/>
      <c r="RU317" s="3"/>
      <c r="RV317" s="3"/>
      <c r="RW317" s="3"/>
      <c r="RX317" s="3"/>
      <c r="RY317" s="3"/>
      <c r="RZ317" s="3"/>
      <c r="SA317" s="3"/>
      <c r="SB317" s="3"/>
      <c r="SC317" s="3"/>
      <c r="SD317" s="3"/>
      <c r="SE317" s="3"/>
      <c r="SF317" s="3"/>
      <c r="SG317" s="3"/>
      <c r="SH317" s="3"/>
      <c r="SI317" s="3"/>
      <c r="SJ317" s="3"/>
      <c r="SK317" s="3"/>
      <c r="SL317" s="3"/>
      <c r="SM317" s="3"/>
      <c r="SN317" s="3"/>
      <c r="SO317" s="3"/>
      <c r="SP317" s="3"/>
      <c r="SQ317" s="3"/>
      <c r="SR317" s="3"/>
      <c r="SS317" s="3"/>
      <c r="ST317" s="3"/>
      <c r="SU317" s="3"/>
      <c r="SV317" s="3"/>
      <c r="SW317" s="3"/>
      <c r="SX317" s="3"/>
      <c r="SY317" s="3"/>
      <c r="SZ317" s="3"/>
      <c r="TA317" s="3"/>
      <c r="TB317" s="3"/>
      <c r="TC317" s="3"/>
      <c r="TD317" s="3"/>
      <c r="TE317" s="3"/>
      <c r="TF317" s="3"/>
      <c r="TG317" s="3"/>
      <c r="TH317" s="3"/>
      <c r="TI317" s="3"/>
      <c r="TJ317" s="3"/>
      <c r="TK317" s="3"/>
      <c r="TL317" s="3"/>
      <c r="TM317" s="3"/>
      <c r="TN317" s="3"/>
      <c r="TO317" s="3"/>
      <c r="TP317" s="3"/>
      <c r="TQ317" s="3"/>
      <c r="TR317" s="3"/>
      <c r="TS317" s="3"/>
      <c r="TT317" s="3"/>
      <c r="TU317" s="3"/>
      <c r="TV317" s="3"/>
      <c r="TW317" s="3"/>
      <c r="TX317" s="3"/>
      <c r="TY317" s="3"/>
      <c r="TZ317" s="3"/>
      <c r="UA317" s="3"/>
      <c r="UB317" s="3"/>
      <c r="UC317" s="3"/>
      <c r="UD317" s="3"/>
      <c r="UE317" s="3"/>
      <c r="UF317" s="3"/>
      <c r="UG317" s="3"/>
      <c r="UH317" s="3"/>
      <c r="UI317" s="3"/>
      <c r="UJ317" s="3"/>
      <c r="UK317" s="3"/>
      <c r="UL317" s="3"/>
      <c r="UM317" s="3"/>
      <c r="UN317" s="3"/>
      <c r="UO317" s="3"/>
      <c r="UP317" s="3"/>
      <c r="UQ317" s="3"/>
      <c r="UR317" s="3"/>
      <c r="US317" s="3"/>
      <c r="UT317" s="3"/>
      <c r="UU317" s="3"/>
      <c r="UV317" s="3"/>
      <c r="UW317" s="3"/>
      <c r="UX317" s="3"/>
      <c r="UY317" s="3"/>
      <c r="UZ317" s="3"/>
      <c r="VA317" s="3"/>
      <c r="VB317" s="3"/>
      <c r="VC317" s="3"/>
      <c r="VD317" s="3"/>
      <c r="VE317" s="3"/>
      <c r="VF317" s="3"/>
      <c r="VG317" s="3"/>
      <c r="VH317" s="3"/>
      <c r="VI317" s="3"/>
      <c r="VJ317" s="3"/>
      <c r="VK317" s="3"/>
      <c r="VL317" s="3"/>
      <c r="VM317" s="3"/>
      <c r="VN317" s="3"/>
      <c r="VO317" s="3"/>
      <c r="VP317" s="3"/>
      <c r="VQ317" s="3"/>
      <c r="VR317" s="3"/>
      <c r="VS317" s="3"/>
      <c r="VT317" s="3"/>
      <c r="VU317" s="3"/>
      <c r="VV317" s="3"/>
      <c r="VW317" s="3"/>
      <c r="VX317" s="3"/>
      <c r="VY317" s="3"/>
      <c r="VZ317" s="3"/>
      <c r="WA317" s="3"/>
      <c r="WB317" s="3"/>
      <c r="WC317" s="3"/>
      <c r="WD317" s="3"/>
      <c r="WE317" s="3"/>
      <c r="WF317" s="3"/>
      <c r="WG317" s="3"/>
      <c r="WH317" s="3"/>
      <c r="WI317" s="3"/>
      <c r="WJ317" s="3"/>
      <c r="WK317" s="3"/>
      <c r="WL317" s="3"/>
      <c r="WM317" s="3"/>
      <c r="WN317" s="3"/>
      <c r="WO317" s="3"/>
      <c r="WP317" s="3"/>
      <c r="WQ317" s="3"/>
      <c r="WR317" s="3"/>
      <c r="WS317" s="3"/>
      <c r="WT317" s="3"/>
      <c r="WU317" s="3"/>
      <c r="WV317" s="3"/>
      <c r="WW317" s="3"/>
      <c r="WX317" s="3"/>
      <c r="WY317" s="3"/>
      <c r="WZ317" s="3"/>
      <c r="XA317" s="3"/>
      <c r="XB317" s="3"/>
      <c r="XC317" s="3"/>
      <c r="XD317" s="3"/>
      <c r="XE317" s="3"/>
      <c r="XF317" s="3"/>
      <c r="XG317" s="3"/>
      <c r="XH317" s="3"/>
      <c r="XI317" s="3"/>
      <c r="XJ317" s="3"/>
      <c r="XK317" s="3"/>
      <c r="XL317" s="3"/>
      <c r="XM317" s="3"/>
      <c r="XN317" s="3"/>
      <c r="XO317" s="3"/>
      <c r="XP317" s="3"/>
      <c r="XQ317" s="3"/>
      <c r="XR317" s="3"/>
      <c r="XS317" s="3"/>
      <c r="XT317" s="3"/>
      <c r="XU317" s="3"/>
      <c r="XV317" s="3"/>
      <c r="XW317" s="3"/>
      <c r="XX317" s="3"/>
      <c r="XY317" s="3"/>
      <c r="XZ317" s="3"/>
      <c r="YA317" s="3"/>
      <c r="YB317" s="3"/>
      <c r="YC317" s="3"/>
      <c r="YD317" s="3"/>
      <c r="YE317" s="3"/>
      <c r="YF317" s="3"/>
      <c r="YG317" s="3"/>
      <c r="YH317" s="3"/>
      <c r="YI317" s="3"/>
      <c r="YJ317" s="3"/>
      <c r="YK317" s="3"/>
      <c r="YL317" s="3"/>
      <c r="YM317" s="3"/>
      <c r="YN317" s="3"/>
      <c r="YO317" s="3"/>
      <c r="YP317" s="3"/>
      <c r="YQ317" s="3"/>
      <c r="YR317" s="3"/>
      <c r="YS317" s="3"/>
      <c r="YT317" s="3"/>
      <c r="YU317" s="3"/>
      <c r="YV317" s="3"/>
      <c r="YW317" s="3"/>
      <c r="YX317" s="3"/>
      <c r="YY317" s="3"/>
      <c r="YZ317" s="3"/>
      <c r="ZA317" s="3"/>
      <c r="ZB317" s="3"/>
      <c r="ZC317" s="3"/>
      <c r="ZD317" s="3"/>
      <c r="ZE317" s="3"/>
      <c r="ZF317" s="3"/>
      <c r="ZG317" s="3"/>
      <c r="ZH317" s="3"/>
      <c r="ZI317" s="3"/>
      <c r="ZJ317" s="3"/>
      <c r="ZK317" s="3"/>
      <c r="ZL317" s="3"/>
      <c r="ZM317" s="3"/>
      <c r="ZN317" s="3"/>
      <c r="ZO317" s="3"/>
      <c r="ZP317" s="3"/>
      <c r="ZQ317" s="3"/>
      <c r="ZR317" s="3"/>
      <c r="ZS317" s="3"/>
      <c r="ZT317" s="3"/>
      <c r="ZU317" s="3"/>
      <c r="ZV317" s="3"/>
      <c r="ZW317" s="3"/>
      <c r="ZX317" s="3"/>
      <c r="ZY317" s="3"/>
      <c r="ZZ317" s="3"/>
      <c r="AAA317" s="3"/>
      <c r="AAB317" s="3"/>
      <c r="AAC317" s="3"/>
      <c r="AAD317" s="3"/>
      <c r="AAE317" s="3"/>
      <c r="AAF317" s="3"/>
      <c r="AAG317" s="3"/>
      <c r="AAH317" s="3"/>
      <c r="AAI317" s="3"/>
      <c r="AAJ317" s="3"/>
      <c r="AAK317" s="3"/>
      <c r="AAL317" s="3"/>
      <c r="AAM317" s="3"/>
      <c r="AAN317" s="3"/>
      <c r="AAO317" s="3"/>
      <c r="AAP317" s="3"/>
      <c r="AAQ317" s="3"/>
      <c r="AAR317" s="3"/>
      <c r="AAS317" s="3"/>
      <c r="AAT317" s="3"/>
      <c r="AAU317" s="3"/>
      <c r="AAV317" s="3"/>
      <c r="AAW317" s="3"/>
      <c r="AAX317" s="3"/>
      <c r="AAY317" s="3"/>
      <c r="AAZ317" s="3"/>
      <c r="ABA317" s="3"/>
      <c r="ABB317" s="3"/>
      <c r="ABC317" s="3"/>
      <c r="ABD317" s="3"/>
      <c r="ABE317" s="3"/>
      <c r="ABF317" s="3"/>
      <c r="ABG317" s="3"/>
      <c r="ABH317" s="3"/>
      <c r="ABI317" s="3"/>
      <c r="ABJ317" s="3"/>
      <c r="ABK317" s="3"/>
      <c r="ABL317" s="3"/>
      <c r="ABM317" s="3"/>
      <c r="ABN317" s="3"/>
      <c r="ABO317" s="3"/>
      <c r="ABP317" s="3"/>
      <c r="ABQ317" s="3"/>
      <c r="ABR317" s="3"/>
      <c r="ABS317" s="3"/>
      <c r="ABT317" s="3"/>
      <c r="ABU317" s="3"/>
      <c r="ABV317" s="3"/>
      <c r="ABW317" s="3"/>
      <c r="ABX317" s="3"/>
      <c r="ABY317" s="3"/>
      <c r="ABZ317" s="3"/>
      <c r="ACA317" s="3"/>
      <c r="ACB317" s="3"/>
      <c r="ACC317" s="3"/>
      <c r="ACD317" s="3"/>
      <c r="ACE317" s="3"/>
      <c r="ACF317" s="3"/>
      <c r="ACG317" s="3"/>
      <c r="ACH317" s="3"/>
      <c r="ACI317" s="3"/>
      <c r="ACJ317" s="3"/>
      <c r="ACK317" s="3"/>
      <c r="ACL317" s="3"/>
      <c r="ACM317" s="3"/>
      <c r="ACN317" s="3"/>
      <c r="ACO317" s="3"/>
      <c r="ACP317" s="3"/>
      <c r="ACQ317" s="3"/>
      <c r="ACR317" s="3"/>
      <c r="ACS317" s="3"/>
      <c r="ACT317" s="3"/>
      <c r="ACU317" s="3"/>
      <c r="ACV317" s="3"/>
      <c r="ACW317" s="3"/>
      <c r="ACX317" s="3"/>
      <c r="ACY317" s="3"/>
      <c r="ACZ317" s="3"/>
      <c r="ADA317" s="3"/>
      <c r="ADB317" s="3"/>
      <c r="ADC317" s="3"/>
      <c r="ADD317" s="3"/>
      <c r="ADE317" s="3"/>
      <c r="ADF317" s="3"/>
      <c r="ADG317" s="3"/>
      <c r="ADH317" s="3"/>
      <c r="ADI317" s="3"/>
      <c r="ADJ317" s="3"/>
      <c r="ADK317" s="3"/>
      <c r="ADL317" s="3"/>
      <c r="ADM317" s="3"/>
      <c r="ADN317" s="3"/>
      <c r="ADO317" s="3"/>
      <c r="ADP317" s="3"/>
      <c r="ADQ317" s="3"/>
      <c r="ADR317" s="3"/>
      <c r="ADS317" s="3"/>
      <c r="ADT317" s="3"/>
      <c r="ADU317" s="3"/>
      <c r="ADV317" s="3"/>
      <c r="ADW317" s="3"/>
      <c r="ADX317" s="3"/>
      <c r="ADY317" s="3"/>
      <c r="ADZ317" s="3"/>
      <c r="AEA317" s="3"/>
      <c r="AEB317" s="3"/>
      <c r="AEC317" s="3"/>
      <c r="AED317" s="3"/>
      <c r="AEE317" s="3"/>
      <c r="AEF317" s="3"/>
      <c r="AEG317" s="3"/>
      <c r="AEH317" s="3"/>
      <c r="AEI317" s="3"/>
      <c r="AEJ317" s="3"/>
      <c r="AEK317" s="3"/>
      <c r="AEL317" s="3"/>
      <c r="AEM317" s="3"/>
      <c r="AEN317" s="3"/>
      <c r="AEO317" s="3"/>
      <c r="AEP317" s="3"/>
      <c r="AEQ317" s="3"/>
      <c r="AER317" s="3"/>
      <c r="AES317" s="3"/>
      <c r="AET317" s="3"/>
      <c r="AEU317" s="3"/>
      <c r="AEV317" s="3"/>
      <c r="AEW317" s="3"/>
      <c r="AEX317" s="3"/>
      <c r="AEY317" s="3"/>
      <c r="AEZ317" s="3"/>
      <c r="AFA317" s="3"/>
      <c r="AFB317" s="3"/>
      <c r="AFC317" s="3"/>
      <c r="AFD317" s="3"/>
      <c r="AFE317" s="3"/>
      <c r="AFF317" s="3"/>
      <c r="AFG317" s="3"/>
      <c r="AFH317" s="3"/>
      <c r="AFI317" s="3"/>
      <c r="AFJ317" s="3"/>
      <c r="AFK317" s="3"/>
      <c r="AFL317" s="3"/>
      <c r="AFM317" s="3"/>
      <c r="AFN317" s="3"/>
      <c r="AFO317" s="3"/>
      <c r="AFP317" s="3"/>
      <c r="AFQ317" s="3"/>
      <c r="AFR317" s="3"/>
      <c r="AFS317" s="3"/>
      <c r="AFT317" s="3"/>
      <c r="AFU317" s="3"/>
      <c r="AFV317" s="3"/>
      <c r="AFW317" s="3"/>
      <c r="AFX317" s="3"/>
      <c r="AFY317" s="3"/>
      <c r="AFZ317" s="3"/>
      <c r="AGA317" s="3"/>
      <c r="AGB317" s="3"/>
      <c r="AGC317" s="3"/>
      <c r="AGD317" s="3"/>
      <c r="AGE317" s="3"/>
      <c r="AGF317" s="3"/>
      <c r="AGG317" s="3"/>
      <c r="AGH317" s="3"/>
      <c r="AGI317" s="3"/>
      <c r="AGJ317" s="3"/>
      <c r="AGK317" s="3"/>
      <c r="AGL317" s="3"/>
      <c r="AGM317" s="3"/>
      <c r="AGN317" s="3"/>
      <c r="AGO317" s="3"/>
      <c r="AGP317" s="3"/>
      <c r="AGQ317" s="3"/>
      <c r="AGR317" s="3"/>
      <c r="AGS317" s="3"/>
      <c r="AGT317" s="3"/>
      <c r="AGU317" s="3"/>
      <c r="AGV317" s="3"/>
      <c r="AGW317" s="3"/>
      <c r="AGX317" s="3"/>
      <c r="AGY317" s="3"/>
      <c r="AGZ317" s="3"/>
      <c r="AHA317" s="3"/>
      <c r="AHB317" s="3"/>
      <c r="AHC317" s="3"/>
      <c r="AHD317" s="3"/>
      <c r="AHE317" s="3"/>
      <c r="AHF317" s="3"/>
      <c r="AHG317" s="3"/>
      <c r="AHH317" s="3"/>
      <c r="AHI317" s="3"/>
      <c r="AHJ317" s="3"/>
      <c r="AHK317" s="3"/>
      <c r="AHL317" s="3"/>
      <c r="AHM317" s="3"/>
      <c r="AHN317" s="3"/>
      <c r="AHO317" s="3"/>
      <c r="AHP317" s="3"/>
      <c r="AHQ317" s="3"/>
      <c r="AHR317" s="3"/>
      <c r="AHS317" s="3"/>
      <c r="AHT317" s="3"/>
      <c r="AHU317" s="3"/>
      <c r="AHV317" s="3"/>
      <c r="AHW317" s="3"/>
      <c r="AHX317" s="3"/>
      <c r="AHY317" s="3"/>
      <c r="AHZ317" s="3"/>
      <c r="AIA317" s="3"/>
      <c r="AIB317" s="3"/>
      <c r="AIC317" s="3"/>
      <c r="AID317" s="3"/>
      <c r="AIE317" s="3"/>
      <c r="AIF317" s="3"/>
      <c r="AIG317" s="3"/>
      <c r="AIH317" s="3"/>
      <c r="AII317" s="3"/>
      <c r="AIJ317" s="3"/>
      <c r="AIK317" s="3"/>
      <c r="AIL317" s="3"/>
      <c r="AIM317" s="3"/>
      <c r="AIN317" s="3"/>
      <c r="AIO317" s="3"/>
      <c r="AIP317" s="3"/>
      <c r="AIQ317" s="3"/>
      <c r="AIR317" s="3"/>
      <c r="AIS317" s="3"/>
      <c r="AIT317" s="3"/>
      <c r="AIU317" s="3"/>
      <c r="AIV317" s="3"/>
      <c r="AIW317" s="3"/>
      <c r="AIX317" s="3"/>
      <c r="AIY317" s="3"/>
      <c r="AIZ317" s="3"/>
      <c r="AJA317" s="3"/>
      <c r="AJB317" s="3"/>
      <c r="AJC317" s="3"/>
      <c r="AJD317" s="3"/>
      <c r="AJE317" s="3"/>
      <c r="AJF317" s="3"/>
      <c r="AJG317" s="3"/>
      <c r="AJH317" s="3"/>
      <c r="AJI317" s="3"/>
      <c r="AJJ317" s="3"/>
      <c r="AJK317" s="3"/>
      <c r="AJL317" s="3"/>
      <c r="AJM317" s="3"/>
      <c r="AJN317" s="3"/>
      <c r="AJO317" s="3"/>
      <c r="AJP317" s="3"/>
      <c r="AJQ317" s="3"/>
      <c r="AJR317" s="3"/>
      <c r="AJS317" s="3"/>
      <c r="AJT317" s="3"/>
      <c r="AJU317" s="3"/>
      <c r="AJV317" s="3"/>
      <c r="AJW317" s="3"/>
      <c r="AJX317" s="3"/>
      <c r="AJY317" s="3"/>
      <c r="AJZ317" s="3"/>
      <c r="AKA317" s="3"/>
      <c r="AKB317" s="3"/>
      <c r="AKC317" s="3"/>
      <c r="AKD317" s="3"/>
      <c r="AKE317" s="3"/>
      <c r="AKF317" s="3"/>
      <c r="AKG317" s="3"/>
      <c r="AKH317" s="3"/>
      <c r="AKI317" s="3"/>
      <c r="AKJ317" s="3"/>
      <c r="AKK317" s="3"/>
      <c r="AKL317" s="3"/>
      <c r="AKM317" s="3"/>
      <c r="AKN317" s="3"/>
      <c r="AKO317" s="3"/>
      <c r="AKP317" s="3"/>
      <c r="AKQ317" s="3"/>
      <c r="AKR317" s="3"/>
      <c r="AKS317" s="3"/>
      <c r="AKT317" s="3"/>
      <c r="AKU317" s="3"/>
      <c r="AKV317" s="3"/>
      <c r="AKW317" s="3"/>
      <c r="AKX317" s="3"/>
      <c r="AKY317" s="3"/>
      <c r="AKZ317" s="3"/>
      <c r="ALA317" s="3"/>
      <c r="ALB317" s="3"/>
      <c r="ALC317" s="3"/>
      <c r="ALD317" s="3"/>
      <c r="ALE317" s="3"/>
      <c r="ALF317" s="3"/>
      <c r="ALG317" s="3"/>
      <c r="ALH317" s="3"/>
      <c r="ALI317" s="3"/>
      <c r="ALJ317" s="3"/>
      <c r="ALK317" s="3"/>
      <c r="ALL317" s="3"/>
      <c r="ALM317" s="3"/>
      <c r="ALN317" s="3"/>
      <c r="ALO317" s="3"/>
      <c r="ALP317" s="3"/>
      <c r="ALQ317" s="3"/>
      <c r="ALR317" s="3"/>
      <c r="ALS317" s="3"/>
      <c r="ALT317" s="3"/>
      <c r="ALU317" s="3"/>
      <c r="ALV317" s="3"/>
      <c r="ALW317" s="3"/>
      <c r="ALX317" s="3"/>
      <c r="ALY317" s="3"/>
      <c r="ALZ317" s="3"/>
      <c r="AMA317" s="3"/>
      <c r="AMB317" s="3"/>
      <c r="AMC317" s="3"/>
      <c r="AMD317" s="3"/>
      <c r="AME317" s="3"/>
      <c r="AMF317" s="3"/>
      <c r="AMG317" s="3"/>
      <c r="AMH317" s="3"/>
      <c r="AMI317" s="3"/>
      <c r="AMJ317" s="3"/>
      <c r="AMK317" s="3"/>
      <c r="AML317" s="3"/>
      <c r="AMM317" s="3"/>
      <c r="AMN317" s="3"/>
      <c r="AMO317" s="3"/>
      <c r="AMP317" s="1"/>
    </row>
    <row r="318" spans="1:1030" s="6" customFormat="1" x14ac:dyDescent="0.2">
      <c r="A318" s="3" t="str">
        <f t="shared" si="1115"/>
        <v>smo_human_4QIN</v>
      </c>
      <c r="B318" s="3" t="s">
        <v>33</v>
      </c>
      <c r="C318" s="3" t="s">
        <v>56</v>
      </c>
      <c r="D318" s="3" t="str">
        <f>IFERROR(MID(VLOOKUP($B318,Seqs!$A:$B,2,0),E318,1),"")</f>
        <v>T</v>
      </c>
      <c r="E318" s="105">
        <v>223</v>
      </c>
      <c r="F318" s="3" t="str">
        <f>IFERROR(MID(VLOOKUP($B318,Seqs!$A:$B,2,0),G318,1),"")</f>
        <v>D</v>
      </c>
      <c r="G318" s="3">
        <v>255</v>
      </c>
      <c r="H318" s="3" t="str">
        <f>IFERROR(MID(VLOOKUP($B318,Seqs!$A:$B,2,0),I318,1),"")</f>
        <v>W</v>
      </c>
      <c r="I318" s="23">
        <v>256</v>
      </c>
      <c r="J318" s="3" t="str">
        <f>IFERROR(MID(VLOOKUP($B318,Seqs!$A:$B,2,0),K318,1),"")</f>
        <v>N</v>
      </c>
      <c r="K318" s="23">
        <v>260</v>
      </c>
      <c r="L318" s="3" t="str">
        <f>IFERROR(MID(VLOOKUP($B318,Seqs!$A:$B,2,0),M318,1),"")</f>
        <v>R</v>
      </c>
      <c r="M318" s="3">
        <v>261</v>
      </c>
      <c r="N318" s="3" t="str">
        <f>IFERROR(MID(VLOOKUP($B318,Seqs!$A:$B,2,0),O318,1),"")</f>
        <v>F</v>
      </c>
      <c r="O318" s="3">
        <v>285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L</v>
      </c>
      <c r="U318" s="3">
        <v>312</v>
      </c>
      <c r="V318" s="3" t="str">
        <f>IFERROR(MID(VLOOKUP($B318,Seqs!$A:$B,2,0),W318,1),"")</f>
        <v>A</v>
      </c>
      <c r="W318" s="3">
        <v>345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L</v>
      </c>
      <c r="AC318" s="9">
        <v>353</v>
      </c>
      <c r="AD318" s="3" t="str">
        <f>IFERROR(MID(VLOOKUP($B318,Seqs!$A:$B,2,0),AE318,1),"")</f>
        <v>V</v>
      </c>
      <c r="AE318" s="3">
        <v>378</v>
      </c>
      <c r="AF318" s="3" t="str">
        <f>IFERROR(MID(VLOOKUP($B318,Seqs!$A:$B,2,0),AG318,1),"")</f>
        <v>C</v>
      </c>
      <c r="AG318" s="3">
        <v>390</v>
      </c>
      <c r="AH318" s="3" t="str">
        <f>IFERROR(MID(VLOOKUP($B318,Seqs!$A:$B,2,0),AI318,1),"")</f>
        <v>V</v>
      </c>
      <c r="AI318" s="3">
        <v>392</v>
      </c>
      <c r="AJ318" s="3" t="str">
        <f>IFERROR(MID(VLOOKUP($B318,Seqs!$A:$B,2,0),AK318,1),"")</f>
        <v>N</v>
      </c>
      <c r="AK318" s="105">
        <v>396</v>
      </c>
      <c r="AL318" s="3" t="str">
        <f>IFERROR(MID(VLOOKUP($B318,Seqs!$A:$B,2,0),AM318,1),"")</f>
        <v>H</v>
      </c>
      <c r="AM318" s="3">
        <v>433</v>
      </c>
      <c r="AN318" s="3" t="str">
        <f>IFERROR(MID(VLOOKUP($B318,Seqs!$A:$B,2,0),AO318,1),"")</f>
        <v>E</v>
      </c>
      <c r="AO318" s="3">
        <v>447</v>
      </c>
      <c r="AP318" s="3" t="str">
        <f>IFERROR(MID(VLOOKUP($B318,Seqs!$A:$B,2,0),AQ318,1),"")</f>
        <v>A</v>
      </c>
      <c r="AQ318" s="3">
        <v>492</v>
      </c>
      <c r="AR318" s="3" t="str">
        <f>IFERROR(MID(VLOOKUP($B318,Seqs!$A:$B,2,0),AS318,1),"")</f>
        <v>S</v>
      </c>
      <c r="AS318" s="105">
        <v>514</v>
      </c>
      <c r="AT318" s="3" t="str">
        <f>IFERROR(MID(VLOOKUP($B318,Seqs!$A:$B,2,0),AU318,1),"")</f>
        <v>W</v>
      </c>
      <c r="AU318" s="3">
        <v>537</v>
      </c>
      <c r="AV318" s="3" t="str">
        <f>IFERROR(MID(VLOOKUP($B318,Seqs!$A:$B,2,0),AW318,1),"")</f>
        <v>T</v>
      </c>
      <c r="AW318" s="3">
        <v>538</v>
      </c>
      <c r="AX318" s="3" t="str">
        <f>IFERROR(MID(VLOOKUP($B318,Seqs!$A:$B,2,0),AY318,1),"")</f>
        <v>R</v>
      </c>
      <c r="AY318" s="3">
        <v>551</v>
      </c>
      <c r="AZ318" s="78" t="str">
        <f>VLOOKUP(B318,Classification!A:D,2,0)</f>
        <v>F</v>
      </c>
      <c r="BA318" s="94" t="str">
        <f>VLOOKUP(B318,Classification!A:D,4,0)</f>
        <v>Frizzled</v>
      </c>
      <c r="BB318" s="92" t="b">
        <f t="shared" si="1116"/>
        <v>1</v>
      </c>
      <c r="BC318" s="23">
        <f t="shared" si="1089"/>
        <v>250</v>
      </c>
      <c r="BD318" s="74" t="s">
        <v>23</v>
      </c>
      <c r="BE318" s="3" t="s">
        <v>1381</v>
      </c>
      <c r="BF318" s="119">
        <v>2.6</v>
      </c>
      <c r="BG318" s="49" t="s">
        <v>1384</v>
      </c>
      <c r="BH318" s="49" t="s">
        <v>1384</v>
      </c>
      <c r="BI318" s="3"/>
      <c r="BJ318" s="75" t="s">
        <v>1293</v>
      </c>
      <c r="BK318" s="57" t="s">
        <v>1293</v>
      </c>
      <c r="BL318" s="57" t="s">
        <v>1293</v>
      </c>
      <c r="BM318" s="57" t="s">
        <v>1293</v>
      </c>
      <c r="BN318" s="57" t="s">
        <v>1293</v>
      </c>
      <c r="BO318" s="57" t="s">
        <v>1293</v>
      </c>
      <c r="BP318" s="57" t="s">
        <v>1293</v>
      </c>
      <c r="BQ318" s="57" t="s">
        <v>1293</v>
      </c>
      <c r="BR318" s="57" t="s">
        <v>1293</v>
      </c>
      <c r="BS318" s="57" t="s">
        <v>1293</v>
      </c>
      <c r="BT318" s="57" t="s">
        <v>1293</v>
      </c>
      <c r="BU318" s="57" t="s">
        <v>1293</v>
      </c>
      <c r="BV318" s="75">
        <f t="shared" si="1090"/>
        <v>223</v>
      </c>
      <c r="BW318" s="71">
        <f t="shared" si="1091"/>
        <v>256</v>
      </c>
      <c r="BX318" s="72">
        <f t="shared" si="1092"/>
        <v>261</v>
      </c>
      <c r="BY318" s="71" t="str">
        <f t="shared" si="1093"/>
        <v>-</v>
      </c>
      <c r="BZ318" s="72">
        <f t="shared" si="1094"/>
        <v>312</v>
      </c>
      <c r="CA318" s="71" t="str">
        <f t="shared" si="1095"/>
        <v>-</v>
      </c>
      <c r="CB318" s="72">
        <f t="shared" si="1096"/>
        <v>353</v>
      </c>
      <c r="CC318" s="71">
        <f t="shared" si="1097"/>
        <v>390</v>
      </c>
      <c r="CD318" s="72">
        <f t="shared" si="1098"/>
        <v>396</v>
      </c>
      <c r="CE318" s="71">
        <f t="shared" si="1099"/>
        <v>447</v>
      </c>
      <c r="CF318" s="72">
        <f t="shared" si="1100"/>
        <v>514</v>
      </c>
      <c r="CG318" s="71">
        <f t="shared" si="1101"/>
        <v>538</v>
      </c>
      <c r="CH318" s="75">
        <f t="shared" si="1102"/>
        <v>255</v>
      </c>
      <c r="CI318" s="71">
        <f t="shared" si="1103"/>
        <v>260</v>
      </c>
      <c r="CJ318" s="72">
        <f t="shared" si="1104"/>
        <v>285</v>
      </c>
      <c r="CK318" s="72" t="str">
        <f t="shared" si="1105"/>
        <v>-</v>
      </c>
      <c r="CL318" s="72">
        <f t="shared" si="1106"/>
        <v>345</v>
      </c>
      <c r="CM318" s="72" t="str">
        <f t="shared" si="1107"/>
        <v>-</v>
      </c>
      <c r="CN318" s="72">
        <f t="shared" si="1108"/>
        <v>378</v>
      </c>
      <c r="CO318" s="72">
        <f t="shared" si="1109"/>
        <v>392</v>
      </c>
      <c r="CP318" s="72">
        <f t="shared" si="1110"/>
        <v>433</v>
      </c>
      <c r="CQ318" s="72">
        <f t="shared" si="1111"/>
        <v>492</v>
      </c>
      <c r="CR318" s="72">
        <f t="shared" si="1112"/>
        <v>537</v>
      </c>
      <c r="CS318" s="72">
        <f t="shared" si="1113"/>
        <v>551</v>
      </c>
      <c r="CT318" s="23">
        <f t="shared" si="1114"/>
        <v>1</v>
      </c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  <c r="NM318" s="3"/>
      <c r="NN318" s="3"/>
      <c r="NO318" s="3"/>
      <c r="NP318" s="3"/>
      <c r="NQ318" s="3"/>
      <c r="NR318" s="3"/>
      <c r="NS318" s="3"/>
      <c r="NT318" s="3"/>
      <c r="NU318" s="3"/>
      <c r="NV318" s="3"/>
      <c r="NW318" s="3"/>
      <c r="NX318" s="3"/>
      <c r="NY318" s="3"/>
      <c r="NZ318" s="3"/>
      <c r="OA318" s="3"/>
      <c r="OB318" s="3"/>
      <c r="OC318" s="3"/>
      <c r="OD318" s="3"/>
      <c r="OE318" s="3"/>
      <c r="OF318" s="3"/>
      <c r="OG318" s="3"/>
      <c r="OH318" s="3"/>
      <c r="OI318" s="3"/>
      <c r="OJ318" s="3"/>
      <c r="OK318" s="3"/>
      <c r="OL318" s="3"/>
      <c r="OM318" s="3"/>
      <c r="ON318" s="3"/>
      <c r="OO318" s="3"/>
      <c r="OP318" s="3"/>
      <c r="OQ318" s="3"/>
      <c r="OR318" s="3"/>
      <c r="OS318" s="3"/>
      <c r="OT318" s="3"/>
      <c r="OU318" s="3"/>
      <c r="OV318" s="3"/>
      <c r="OW318" s="3"/>
      <c r="OX318" s="3"/>
      <c r="OY318" s="3"/>
      <c r="OZ318" s="3"/>
      <c r="PA318" s="3"/>
      <c r="PB318" s="3"/>
      <c r="PC318" s="3"/>
      <c r="PD318" s="3"/>
      <c r="PE318" s="3"/>
      <c r="PF318" s="3"/>
      <c r="PG318" s="3"/>
      <c r="PH318" s="3"/>
      <c r="PI318" s="3"/>
      <c r="PJ318" s="3"/>
      <c r="PK318" s="3"/>
      <c r="PL318" s="3"/>
      <c r="PM318" s="3"/>
      <c r="PN318" s="3"/>
      <c r="PO318" s="3"/>
      <c r="PP318" s="3"/>
      <c r="PQ318" s="3"/>
      <c r="PR318" s="3"/>
      <c r="PS318" s="3"/>
      <c r="PT318" s="3"/>
      <c r="PU318" s="3"/>
      <c r="PV318" s="3"/>
      <c r="PW318" s="3"/>
      <c r="PX318" s="3"/>
      <c r="PY318" s="3"/>
      <c r="PZ318" s="3"/>
      <c r="QA318" s="3"/>
      <c r="QB318" s="3"/>
      <c r="QC318" s="3"/>
      <c r="QD318" s="3"/>
      <c r="QE318" s="3"/>
      <c r="QF318" s="3"/>
      <c r="QG318" s="3"/>
      <c r="QH318" s="3"/>
      <c r="QI318" s="3"/>
      <c r="QJ318" s="3"/>
      <c r="QK318" s="3"/>
      <c r="QL318" s="3"/>
      <c r="QM318" s="3"/>
      <c r="QN318" s="3"/>
      <c r="QO318" s="3"/>
      <c r="QP318" s="3"/>
      <c r="QQ318" s="3"/>
      <c r="QR318" s="3"/>
      <c r="QS318" s="3"/>
      <c r="QT318" s="3"/>
      <c r="QU318" s="3"/>
      <c r="QV318" s="3"/>
      <c r="QW318" s="3"/>
      <c r="QX318" s="3"/>
      <c r="QY318" s="3"/>
      <c r="QZ318" s="3"/>
      <c r="RA318" s="3"/>
      <c r="RB318" s="3"/>
      <c r="RC318" s="3"/>
      <c r="RD318" s="3"/>
      <c r="RE318" s="3"/>
      <c r="RF318" s="3"/>
      <c r="RG318" s="3"/>
      <c r="RH318" s="3"/>
      <c r="RI318" s="3"/>
      <c r="RJ318" s="3"/>
      <c r="RK318" s="3"/>
      <c r="RL318" s="3"/>
      <c r="RM318" s="3"/>
      <c r="RN318" s="3"/>
      <c r="RO318" s="3"/>
      <c r="RP318" s="3"/>
      <c r="RQ318" s="3"/>
      <c r="RR318" s="3"/>
      <c r="RS318" s="3"/>
      <c r="RT318" s="3"/>
      <c r="RU318" s="3"/>
      <c r="RV318" s="3"/>
      <c r="RW318" s="3"/>
      <c r="RX318" s="3"/>
      <c r="RY318" s="3"/>
      <c r="RZ318" s="3"/>
      <c r="SA318" s="3"/>
      <c r="SB318" s="3"/>
      <c r="SC318" s="3"/>
      <c r="SD318" s="3"/>
      <c r="SE318" s="3"/>
      <c r="SF318" s="3"/>
      <c r="SG318" s="3"/>
      <c r="SH318" s="3"/>
      <c r="SI318" s="3"/>
      <c r="SJ318" s="3"/>
      <c r="SK318" s="3"/>
      <c r="SL318" s="3"/>
      <c r="SM318" s="3"/>
      <c r="SN318" s="3"/>
      <c r="SO318" s="3"/>
      <c r="SP318" s="3"/>
      <c r="SQ318" s="3"/>
      <c r="SR318" s="3"/>
      <c r="SS318" s="3"/>
      <c r="ST318" s="3"/>
      <c r="SU318" s="3"/>
      <c r="SV318" s="3"/>
      <c r="SW318" s="3"/>
      <c r="SX318" s="3"/>
      <c r="SY318" s="3"/>
      <c r="SZ318" s="3"/>
      <c r="TA318" s="3"/>
      <c r="TB318" s="3"/>
      <c r="TC318" s="3"/>
      <c r="TD318" s="3"/>
      <c r="TE318" s="3"/>
      <c r="TF318" s="3"/>
      <c r="TG318" s="3"/>
      <c r="TH318" s="3"/>
      <c r="TI318" s="3"/>
      <c r="TJ318" s="3"/>
      <c r="TK318" s="3"/>
      <c r="TL318" s="3"/>
      <c r="TM318" s="3"/>
      <c r="TN318" s="3"/>
      <c r="TO318" s="3"/>
      <c r="TP318" s="3"/>
      <c r="TQ318" s="3"/>
      <c r="TR318" s="3"/>
      <c r="TS318" s="3"/>
      <c r="TT318" s="3"/>
      <c r="TU318" s="3"/>
      <c r="TV318" s="3"/>
      <c r="TW318" s="3"/>
      <c r="TX318" s="3"/>
      <c r="TY318" s="3"/>
      <c r="TZ318" s="3"/>
      <c r="UA318" s="3"/>
      <c r="UB318" s="3"/>
      <c r="UC318" s="3"/>
      <c r="UD318" s="3"/>
      <c r="UE318" s="3"/>
      <c r="UF318" s="3"/>
      <c r="UG318" s="3"/>
      <c r="UH318" s="3"/>
      <c r="UI318" s="3"/>
      <c r="UJ318" s="3"/>
      <c r="UK318" s="3"/>
      <c r="UL318" s="3"/>
      <c r="UM318" s="3"/>
      <c r="UN318" s="3"/>
      <c r="UO318" s="3"/>
      <c r="UP318" s="3"/>
      <c r="UQ318" s="3"/>
      <c r="UR318" s="3"/>
      <c r="US318" s="3"/>
      <c r="UT318" s="3"/>
      <c r="UU318" s="3"/>
      <c r="UV318" s="3"/>
      <c r="UW318" s="3"/>
      <c r="UX318" s="3"/>
      <c r="UY318" s="3"/>
      <c r="UZ318" s="3"/>
      <c r="VA318" s="3"/>
      <c r="VB318" s="3"/>
      <c r="VC318" s="3"/>
      <c r="VD318" s="3"/>
      <c r="VE318" s="3"/>
      <c r="VF318" s="3"/>
      <c r="VG318" s="3"/>
      <c r="VH318" s="3"/>
      <c r="VI318" s="3"/>
      <c r="VJ318" s="3"/>
      <c r="VK318" s="3"/>
      <c r="VL318" s="3"/>
      <c r="VM318" s="3"/>
      <c r="VN318" s="3"/>
      <c r="VO318" s="3"/>
      <c r="VP318" s="3"/>
      <c r="VQ318" s="3"/>
      <c r="VR318" s="3"/>
      <c r="VS318" s="3"/>
      <c r="VT318" s="3"/>
      <c r="VU318" s="3"/>
      <c r="VV318" s="3"/>
      <c r="VW318" s="3"/>
      <c r="VX318" s="3"/>
      <c r="VY318" s="3"/>
      <c r="VZ318" s="3"/>
      <c r="WA318" s="3"/>
      <c r="WB318" s="3"/>
      <c r="WC318" s="3"/>
      <c r="WD318" s="3"/>
      <c r="WE318" s="3"/>
      <c r="WF318" s="3"/>
      <c r="WG318" s="3"/>
      <c r="WH318" s="3"/>
      <c r="WI318" s="3"/>
      <c r="WJ318" s="3"/>
      <c r="WK318" s="3"/>
      <c r="WL318" s="3"/>
      <c r="WM318" s="3"/>
      <c r="WN318" s="3"/>
      <c r="WO318" s="3"/>
      <c r="WP318" s="3"/>
      <c r="WQ318" s="3"/>
      <c r="WR318" s="3"/>
      <c r="WS318" s="3"/>
      <c r="WT318" s="3"/>
      <c r="WU318" s="3"/>
      <c r="WV318" s="3"/>
      <c r="WW318" s="3"/>
      <c r="WX318" s="3"/>
      <c r="WY318" s="3"/>
      <c r="WZ318" s="3"/>
      <c r="XA318" s="3"/>
      <c r="XB318" s="3"/>
      <c r="XC318" s="3"/>
      <c r="XD318" s="3"/>
      <c r="XE318" s="3"/>
      <c r="XF318" s="3"/>
      <c r="XG318" s="3"/>
      <c r="XH318" s="3"/>
      <c r="XI318" s="3"/>
      <c r="XJ318" s="3"/>
      <c r="XK318" s="3"/>
      <c r="XL318" s="3"/>
      <c r="XM318" s="3"/>
      <c r="XN318" s="3"/>
      <c r="XO318" s="3"/>
      <c r="XP318" s="3"/>
      <c r="XQ318" s="3"/>
      <c r="XR318" s="3"/>
      <c r="XS318" s="3"/>
      <c r="XT318" s="3"/>
      <c r="XU318" s="3"/>
      <c r="XV318" s="3"/>
      <c r="XW318" s="3"/>
      <c r="XX318" s="3"/>
      <c r="XY318" s="3"/>
      <c r="XZ318" s="3"/>
      <c r="YA318" s="3"/>
      <c r="YB318" s="3"/>
      <c r="YC318" s="3"/>
      <c r="YD318" s="3"/>
      <c r="YE318" s="3"/>
      <c r="YF318" s="3"/>
      <c r="YG318" s="3"/>
      <c r="YH318" s="3"/>
      <c r="YI318" s="3"/>
      <c r="YJ318" s="3"/>
      <c r="YK318" s="3"/>
      <c r="YL318" s="3"/>
      <c r="YM318" s="3"/>
      <c r="YN318" s="3"/>
      <c r="YO318" s="3"/>
      <c r="YP318" s="3"/>
      <c r="YQ318" s="3"/>
      <c r="YR318" s="3"/>
      <c r="YS318" s="3"/>
      <c r="YT318" s="3"/>
      <c r="YU318" s="3"/>
      <c r="YV318" s="3"/>
      <c r="YW318" s="3"/>
      <c r="YX318" s="3"/>
      <c r="YY318" s="3"/>
      <c r="YZ318" s="3"/>
      <c r="ZA318" s="3"/>
      <c r="ZB318" s="3"/>
      <c r="ZC318" s="3"/>
      <c r="ZD318" s="3"/>
      <c r="ZE318" s="3"/>
      <c r="ZF318" s="3"/>
      <c r="ZG318" s="3"/>
      <c r="ZH318" s="3"/>
      <c r="ZI318" s="3"/>
      <c r="ZJ318" s="3"/>
      <c r="ZK318" s="3"/>
      <c r="ZL318" s="3"/>
      <c r="ZM318" s="3"/>
      <c r="ZN318" s="3"/>
      <c r="ZO318" s="3"/>
      <c r="ZP318" s="3"/>
      <c r="ZQ318" s="3"/>
      <c r="ZR318" s="3"/>
      <c r="ZS318" s="3"/>
      <c r="ZT318" s="3"/>
      <c r="ZU318" s="3"/>
      <c r="ZV318" s="3"/>
      <c r="ZW318" s="3"/>
      <c r="ZX318" s="3"/>
      <c r="ZY318" s="3"/>
      <c r="ZZ318" s="3"/>
      <c r="AAA318" s="3"/>
      <c r="AAB318" s="3"/>
      <c r="AAC318" s="3"/>
      <c r="AAD318" s="3"/>
      <c r="AAE318" s="3"/>
      <c r="AAF318" s="3"/>
      <c r="AAG318" s="3"/>
      <c r="AAH318" s="3"/>
      <c r="AAI318" s="3"/>
      <c r="AAJ318" s="3"/>
      <c r="AAK318" s="3"/>
      <c r="AAL318" s="3"/>
      <c r="AAM318" s="3"/>
      <c r="AAN318" s="3"/>
      <c r="AAO318" s="3"/>
      <c r="AAP318" s="3"/>
      <c r="AAQ318" s="3"/>
      <c r="AAR318" s="3"/>
      <c r="AAS318" s="3"/>
      <c r="AAT318" s="3"/>
      <c r="AAU318" s="3"/>
      <c r="AAV318" s="3"/>
      <c r="AAW318" s="3"/>
      <c r="AAX318" s="3"/>
      <c r="AAY318" s="3"/>
      <c r="AAZ318" s="3"/>
      <c r="ABA318" s="3"/>
      <c r="ABB318" s="3"/>
      <c r="ABC318" s="3"/>
      <c r="ABD318" s="3"/>
      <c r="ABE318" s="3"/>
      <c r="ABF318" s="3"/>
      <c r="ABG318" s="3"/>
      <c r="ABH318" s="3"/>
      <c r="ABI318" s="3"/>
      <c r="ABJ318" s="3"/>
      <c r="ABK318" s="3"/>
      <c r="ABL318" s="3"/>
      <c r="ABM318" s="3"/>
      <c r="ABN318" s="3"/>
      <c r="ABO318" s="3"/>
      <c r="ABP318" s="3"/>
      <c r="ABQ318" s="3"/>
      <c r="ABR318" s="3"/>
      <c r="ABS318" s="3"/>
      <c r="ABT318" s="3"/>
      <c r="ABU318" s="3"/>
      <c r="ABV318" s="3"/>
      <c r="ABW318" s="3"/>
      <c r="ABX318" s="3"/>
      <c r="ABY318" s="3"/>
      <c r="ABZ318" s="3"/>
      <c r="ACA318" s="3"/>
      <c r="ACB318" s="3"/>
      <c r="ACC318" s="3"/>
      <c r="ACD318" s="3"/>
      <c r="ACE318" s="3"/>
      <c r="ACF318" s="3"/>
      <c r="ACG318" s="3"/>
      <c r="ACH318" s="3"/>
      <c r="ACI318" s="3"/>
      <c r="ACJ318" s="3"/>
      <c r="ACK318" s="3"/>
      <c r="ACL318" s="3"/>
      <c r="ACM318" s="3"/>
      <c r="ACN318" s="3"/>
      <c r="ACO318" s="3"/>
      <c r="ACP318" s="3"/>
      <c r="ACQ318" s="3"/>
      <c r="ACR318" s="3"/>
      <c r="ACS318" s="3"/>
      <c r="ACT318" s="3"/>
      <c r="ACU318" s="3"/>
      <c r="ACV318" s="3"/>
      <c r="ACW318" s="3"/>
      <c r="ACX318" s="3"/>
      <c r="ACY318" s="3"/>
      <c r="ACZ318" s="3"/>
      <c r="ADA318" s="3"/>
      <c r="ADB318" s="3"/>
      <c r="ADC318" s="3"/>
      <c r="ADD318" s="3"/>
      <c r="ADE318" s="3"/>
      <c r="ADF318" s="3"/>
      <c r="ADG318" s="3"/>
      <c r="ADH318" s="3"/>
      <c r="ADI318" s="3"/>
      <c r="ADJ318" s="3"/>
      <c r="ADK318" s="3"/>
      <c r="ADL318" s="3"/>
      <c r="ADM318" s="3"/>
      <c r="ADN318" s="3"/>
      <c r="ADO318" s="3"/>
      <c r="ADP318" s="3"/>
      <c r="ADQ318" s="3"/>
      <c r="ADR318" s="3"/>
      <c r="ADS318" s="3"/>
      <c r="ADT318" s="3"/>
      <c r="ADU318" s="3"/>
      <c r="ADV318" s="3"/>
      <c r="ADW318" s="3"/>
      <c r="ADX318" s="3"/>
      <c r="ADY318" s="3"/>
      <c r="ADZ318" s="3"/>
      <c r="AEA318" s="3"/>
      <c r="AEB318" s="3"/>
      <c r="AEC318" s="3"/>
      <c r="AED318" s="3"/>
      <c r="AEE318" s="3"/>
      <c r="AEF318" s="3"/>
      <c r="AEG318" s="3"/>
      <c r="AEH318" s="3"/>
      <c r="AEI318" s="3"/>
      <c r="AEJ318" s="3"/>
      <c r="AEK318" s="3"/>
      <c r="AEL318" s="3"/>
      <c r="AEM318" s="3"/>
      <c r="AEN318" s="3"/>
      <c r="AEO318" s="3"/>
      <c r="AEP318" s="3"/>
      <c r="AEQ318" s="3"/>
      <c r="AER318" s="3"/>
      <c r="AES318" s="3"/>
      <c r="AET318" s="3"/>
      <c r="AEU318" s="3"/>
      <c r="AEV318" s="3"/>
      <c r="AEW318" s="3"/>
      <c r="AEX318" s="3"/>
      <c r="AEY318" s="3"/>
      <c r="AEZ318" s="3"/>
      <c r="AFA318" s="3"/>
      <c r="AFB318" s="3"/>
      <c r="AFC318" s="3"/>
      <c r="AFD318" s="3"/>
      <c r="AFE318" s="3"/>
      <c r="AFF318" s="3"/>
      <c r="AFG318" s="3"/>
      <c r="AFH318" s="3"/>
      <c r="AFI318" s="3"/>
      <c r="AFJ318" s="3"/>
      <c r="AFK318" s="3"/>
      <c r="AFL318" s="3"/>
      <c r="AFM318" s="3"/>
      <c r="AFN318" s="3"/>
      <c r="AFO318" s="3"/>
      <c r="AFP318" s="3"/>
      <c r="AFQ318" s="3"/>
      <c r="AFR318" s="3"/>
      <c r="AFS318" s="3"/>
      <c r="AFT318" s="3"/>
      <c r="AFU318" s="3"/>
      <c r="AFV318" s="3"/>
      <c r="AFW318" s="3"/>
      <c r="AFX318" s="3"/>
      <c r="AFY318" s="3"/>
      <c r="AFZ318" s="3"/>
      <c r="AGA318" s="3"/>
      <c r="AGB318" s="3"/>
      <c r="AGC318" s="3"/>
      <c r="AGD318" s="3"/>
      <c r="AGE318" s="3"/>
      <c r="AGF318" s="3"/>
      <c r="AGG318" s="3"/>
      <c r="AGH318" s="3"/>
      <c r="AGI318" s="3"/>
      <c r="AGJ318" s="3"/>
      <c r="AGK318" s="3"/>
      <c r="AGL318" s="3"/>
      <c r="AGM318" s="3"/>
      <c r="AGN318" s="3"/>
      <c r="AGO318" s="3"/>
      <c r="AGP318" s="3"/>
      <c r="AGQ318" s="3"/>
      <c r="AGR318" s="3"/>
      <c r="AGS318" s="3"/>
      <c r="AGT318" s="3"/>
      <c r="AGU318" s="3"/>
      <c r="AGV318" s="3"/>
      <c r="AGW318" s="3"/>
      <c r="AGX318" s="3"/>
      <c r="AGY318" s="3"/>
      <c r="AGZ318" s="3"/>
      <c r="AHA318" s="3"/>
      <c r="AHB318" s="3"/>
      <c r="AHC318" s="3"/>
      <c r="AHD318" s="3"/>
      <c r="AHE318" s="3"/>
      <c r="AHF318" s="3"/>
      <c r="AHG318" s="3"/>
      <c r="AHH318" s="3"/>
      <c r="AHI318" s="3"/>
      <c r="AHJ318" s="3"/>
      <c r="AHK318" s="3"/>
      <c r="AHL318" s="3"/>
      <c r="AHM318" s="3"/>
      <c r="AHN318" s="3"/>
      <c r="AHO318" s="3"/>
      <c r="AHP318" s="3"/>
      <c r="AHQ318" s="3"/>
      <c r="AHR318" s="3"/>
      <c r="AHS318" s="3"/>
      <c r="AHT318" s="3"/>
      <c r="AHU318" s="3"/>
      <c r="AHV318" s="3"/>
      <c r="AHW318" s="3"/>
      <c r="AHX318" s="3"/>
      <c r="AHY318" s="3"/>
      <c r="AHZ318" s="3"/>
      <c r="AIA318" s="3"/>
      <c r="AIB318" s="3"/>
      <c r="AIC318" s="3"/>
      <c r="AID318" s="3"/>
      <c r="AIE318" s="3"/>
      <c r="AIF318" s="3"/>
      <c r="AIG318" s="3"/>
      <c r="AIH318" s="3"/>
      <c r="AII318" s="3"/>
      <c r="AIJ318" s="3"/>
      <c r="AIK318" s="3"/>
      <c r="AIL318" s="3"/>
      <c r="AIM318" s="3"/>
      <c r="AIN318" s="3"/>
      <c r="AIO318" s="3"/>
      <c r="AIP318" s="3"/>
      <c r="AIQ318" s="3"/>
      <c r="AIR318" s="3"/>
      <c r="AIS318" s="3"/>
      <c r="AIT318" s="3"/>
      <c r="AIU318" s="3"/>
      <c r="AIV318" s="3"/>
      <c r="AIW318" s="3"/>
      <c r="AIX318" s="3"/>
      <c r="AIY318" s="3"/>
      <c r="AIZ318" s="3"/>
      <c r="AJA318" s="3"/>
      <c r="AJB318" s="3"/>
      <c r="AJC318" s="3"/>
      <c r="AJD318" s="3"/>
      <c r="AJE318" s="3"/>
      <c r="AJF318" s="3"/>
      <c r="AJG318" s="3"/>
      <c r="AJH318" s="3"/>
      <c r="AJI318" s="3"/>
      <c r="AJJ318" s="3"/>
      <c r="AJK318" s="3"/>
      <c r="AJL318" s="3"/>
      <c r="AJM318" s="3"/>
      <c r="AJN318" s="3"/>
      <c r="AJO318" s="3"/>
      <c r="AJP318" s="3"/>
      <c r="AJQ318" s="3"/>
      <c r="AJR318" s="3"/>
      <c r="AJS318" s="3"/>
      <c r="AJT318" s="3"/>
      <c r="AJU318" s="3"/>
      <c r="AJV318" s="3"/>
      <c r="AJW318" s="3"/>
      <c r="AJX318" s="3"/>
      <c r="AJY318" s="3"/>
      <c r="AJZ318" s="3"/>
      <c r="AKA318" s="3"/>
      <c r="AKB318" s="3"/>
      <c r="AKC318" s="3"/>
      <c r="AKD318" s="3"/>
      <c r="AKE318" s="3"/>
      <c r="AKF318" s="3"/>
      <c r="AKG318" s="3"/>
      <c r="AKH318" s="3"/>
      <c r="AKI318" s="3"/>
      <c r="AKJ318" s="3"/>
      <c r="AKK318" s="3"/>
      <c r="AKL318" s="3"/>
      <c r="AKM318" s="3"/>
      <c r="AKN318" s="3"/>
      <c r="AKO318" s="3"/>
      <c r="AKP318" s="3"/>
      <c r="AKQ318" s="3"/>
      <c r="AKR318" s="3"/>
      <c r="AKS318" s="3"/>
      <c r="AKT318" s="3"/>
      <c r="AKU318" s="3"/>
      <c r="AKV318" s="3"/>
      <c r="AKW318" s="3"/>
      <c r="AKX318" s="3"/>
      <c r="AKY318" s="3"/>
      <c r="AKZ318" s="3"/>
      <c r="ALA318" s="3"/>
      <c r="ALB318" s="3"/>
      <c r="ALC318" s="3"/>
      <c r="ALD318" s="3"/>
      <c r="ALE318" s="3"/>
      <c r="ALF318" s="3"/>
      <c r="ALG318" s="3"/>
      <c r="ALH318" s="3"/>
      <c r="ALI318" s="3"/>
      <c r="ALJ318" s="3"/>
      <c r="ALK318" s="3"/>
      <c r="ALL318" s="3"/>
      <c r="ALM318" s="3"/>
      <c r="ALN318" s="3"/>
      <c r="ALO318" s="3"/>
      <c r="ALP318" s="3"/>
      <c r="ALQ318" s="3"/>
      <c r="ALR318" s="3"/>
      <c r="ALS318" s="3"/>
      <c r="ALT318" s="3"/>
      <c r="ALU318" s="3"/>
      <c r="ALV318" s="3"/>
      <c r="ALW318" s="3"/>
      <c r="ALX318" s="3"/>
      <c r="ALY318" s="3"/>
      <c r="ALZ318" s="3"/>
      <c r="AMA318" s="3"/>
      <c r="AMB318" s="3"/>
      <c r="AMC318" s="3"/>
      <c r="AMD318" s="3"/>
      <c r="AME318" s="3"/>
      <c r="AMF318" s="3"/>
      <c r="AMG318" s="3"/>
      <c r="AMH318" s="3"/>
      <c r="AMI318" s="3"/>
      <c r="AMJ318" s="3"/>
      <c r="AMK318" s="3"/>
      <c r="AML318" s="3"/>
      <c r="AMM318" s="3"/>
      <c r="AMN318" s="3"/>
      <c r="AMO318" s="3"/>
      <c r="AMP318" s="1"/>
    </row>
    <row r="319" spans="1:1030" s="6" customFormat="1" x14ac:dyDescent="0.2">
      <c r="A319" s="3" t="str">
        <f t="shared" si="1115"/>
        <v>smo_human_5L7D</v>
      </c>
      <c r="B319" s="3" t="s">
        <v>33</v>
      </c>
      <c r="C319" s="3" t="s">
        <v>1358</v>
      </c>
      <c r="D319" s="3" t="str">
        <f>IFERROR(MID(VLOOKUP($B319,Seqs!$A:$B,2,0),E319,1),"")</f>
        <v>T</v>
      </c>
      <c r="E319" s="105">
        <v>223</v>
      </c>
      <c r="F319" s="3" t="str">
        <f>IFERROR(MID(VLOOKUP($B319,Seqs!$A:$B,2,0),G319,1),"")</f>
        <v>D</v>
      </c>
      <c r="G319" s="3">
        <v>255</v>
      </c>
      <c r="H319" s="3" t="str">
        <f>IFERROR(MID(VLOOKUP($B319,Seqs!$A:$B,2,0),I319,1),"")</f>
        <v>W</v>
      </c>
      <c r="I319" s="23">
        <v>256</v>
      </c>
      <c r="J319" s="3" t="str">
        <f>IFERROR(MID(VLOOKUP($B319,Seqs!$A:$B,2,0),K319,1),"")</f>
        <v>N</v>
      </c>
      <c r="K319" s="23">
        <v>260</v>
      </c>
      <c r="L319" s="3" t="str">
        <f>IFERROR(MID(VLOOKUP($B319,Seqs!$A:$B,2,0),M319,1),"")</f>
        <v>R</v>
      </c>
      <c r="M319" s="3">
        <v>261</v>
      </c>
      <c r="N319" s="3" t="str">
        <f>IFERROR(MID(VLOOKUP($B319,Seqs!$A:$B,2,0),O319,1),"")</f>
        <v>F</v>
      </c>
      <c r="O319" s="3">
        <v>285</v>
      </c>
      <c r="P319" s="3" t="str">
        <f>IFERROR(MID(VLOOKUP($B319,Seqs!$A:$B,2,0),Q319,1),"")</f>
        <v/>
      </c>
      <c r="Q319" s="3" t="s">
        <v>23</v>
      </c>
      <c r="R319" s="3" t="str">
        <f>IFERROR(MID(VLOOKUP($B319,Seqs!$A:$B,2,0),S319,1),"")</f>
        <v/>
      </c>
      <c r="S319" s="3" t="s">
        <v>23</v>
      </c>
      <c r="T319" s="3" t="str">
        <f>IFERROR(MID(VLOOKUP($B319,Seqs!$A:$B,2,0),U319,1),"")</f>
        <v>L</v>
      </c>
      <c r="U319" s="3">
        <v>312</v>
      </c>
      <c r="V319" s="3" t="str">
        <f>IFERROR(MID(VLOOKUP($B319,Seqs!$A:$B,2,0),W319,1),"")</f>
        <v>L</v>
      </c>
      <c r="W319" s="3">
        <v>346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L</v>
      </c>
      <c r="AC319" s="9">
        <v>353</v>
      </c>
      <c r="AD319" s="3" t="str">
        <f>IFERROR(MID(VLOOKUP($B319,Seqs!$A:$B,2,0),AE319,1),"")</f>
        <v>V</v>
      </c>
      <c r="AE319" s="3">
        <v>378</v>
      </c>
      <c r="AF319" s="3" t="str">
        <f>IFERROR(MID(VLOOKUP($B319,Seqs!$A:$B,2,0),AG319,1),"")</f>
        <v>C</v>
      </c>
      <c r="AG319" s="3">
        <v>390</v>
      </c>
      <c r="AH319" s="3" t="str">
        <f>IFERROR(MID(VLOOKUP($B319,Seqs!$A:$B,2,0),AI319,1),"")</f>
        <v>V</v>
      </c>
      <c r="AI319" s="3">
        <v>392</v>
      </c>
      <c r="AJ319" s="3" t="str">
        <f>IFERROR(MID(VLOOKUP($B319,Seqs!$A:$B,2,0),AK319,1),"")</f>
        <v>N</v>
      </c>
      <c r="AK319" s="105">
        <v>396</v>
      </c>
      <c r="AL319" s="3" t="str">
        <f>IFERROR(MID(VLOOKUP($B319,Seqs!$A:$B,2,0),AM319,1),"")</f>
        <v>S</v>
      </c>
      <c r="AM319" s="3">
        <v>428</v>
      </c>
      <c r="AN319" s="3" t="str">
        <f>IFERROR(MID(VLOOKUP($B319,Seqs!$A:$B,2,0),AO319,1),"")</f>
        <v>E</v>
      </c>
      <c r="AO319" s="3">
        <v>447</v>
      </c>
      <c r="AP319" s="3" t="str">
        <f>IFERROR(MID(VLOOKUP($B319,Seqs!$A:$B,2,0),AQ319,1),"")</f>
        <v>I</v>
      </c>
      <c r="AQ319" s="3">
        <v>496</v>
      </c>
      <c r="AR319" s="3" t="str">
        <f>IFERROR(MID(VLOOKUP($B319,Seqs!$A:$B,2,0),AS319,1),"")</f>
        <v>S</v>
      </c>
      <c r="AS319" s="105">
        <v>514</v>
      </c>
      <c r="AT319" s="3" t="str">
        <f>IFERROR(MID(VLOOKUP($B319,Seqs!$A:$B,2,0),AU319,1),"")</f>
        <v>W</v>
      </c>
      <c r="AU319" s="3">
        <v>537</v>
      </c>
      <c r="AV319" s="3" t="str">
        <f>IFERROR(MID(VLOOKUP($B319,Seqs!$A:$B,2,0),AW319,1),"")</f>
        <v>T</v>
      </c>
      <c r="AW319" s="3">
        <v>538</v>
      </c>
      <c r="AX319" s="3" t="str">
        <f>IFERROR(MID(VLOOKUP($B319,Seqs!$A:$B,2,0),AY319,1),"")</f>
        <v>T</v>
      </c>
      <c r="AY319" s="3">
        <v>553</v>
      </c>
      <c r="AZ319" s="78" t="str">
        <f>VLOOKUP(B319,Classification!A:D,2,0)</f>
        <v>F</v>
      </c>
      <c r="BA319" s="94" t="str">
        <f>VLOOKUP(B319,Classification!A:D,4,0)</f>
        <v>Frizzled</v>
      </c>
      <c r="BB319" s="92" t="b">
        <f t="shared" si="1116"/>
        <v>1</v>
      </c>
      <c r="BC319" s="23">
        <f t="shared" si="1089"/>
        <v>252</v>
      </c>
      <c r="BD319" s="74" t="s">
        <v>1383</v>
      </c>
      <c r="BE319" s="3" t="s">
        <v>1381</v>
      </c>
      <c r="BF319" s="119">
        <v>3.2</v>
      </c>
      <c r="BG319" s="49" t="s">
        <v>1</v>
      </c>
      <c r="BH319" s="49" t="s">
        <v>1384</v>
      </c>
      <c r="BI319" s="3" t="s">
        <v>1367</v>
      </c>
      <c r="BJ319" s="75" t="s">
        <v>1293</v>
      </c>
      <c r="BK319" s="57" t="s">
        <v>1293</v>
      </c>
      <c r="BL319" s="57" t="s">
        <v>1293</v>
      </c>
      <c r="BM319" s="57" t="s">
        <v>1293</v>
      </c>
      <c r="BN319" s="57" t="s">
        <v>1293</v>
      </c>
      <c r="BO319" s="57" t="s">
        <v>1293</v>
      </c>
      <c r="BP319" s="57" t="s">
        <v>1293</v>
      </c>
      <c r="BQ319" s="57" t="s">
        <v>1293</v>
      </c>
      <c r="BR319" s="57" t="s">
        <v>1293</v>
      </c>
      <c r="BS319" s="57" t="s">
        <v>1293</v>
      </c>
      <c r="BT319" s="57" t="s">
        <v>1293</v>
      </c>
      <c r="BU319" s="57" t="s">
        <v>1293</v>
      </c>
      <c r="BV319" s="75">
        <f t="shared" si="1090"/>
        <v>223</v>
      </c>
      <c r="BW319" s="71">
        <f t="shared" si="1091"/>
        <v>256</v>
      </c>
      <c r="BX319" s="72">
        <f t="shared" si="1092"/>
        <v>261</v>
      </c>
      <c r="BY319" s="71" t="str">
        <f t="shared" si="1093"/>
        <v>-</v>
      </c>
      <c r="BZ319" s="72">
        <f t="shared" si="1094"/>
        <v>312</v>
      </c>
      <c r="CA319" s="71" t="str">
        <f t="shared" si="1095"/>
        <v>-</v>
      </c>
      <c r="CB319" s="72">
        <f t="shared" si="1096"/>
        <v>353</v>
      </c>
      <c r="CC319" s="71">
        <f t="shared" si="1097"/>
        <v>390</v>
      </c>
      <c r="CD319" s="72">
        <f t="shared" si="1098"/>
        <v>396</v>
      </c>
      <c r="CE319" s="71">
        <f t="shared" si="1099"/>
        <v>447</v>
      </c>
      <c r="CF319" s="72">
        <f t="shared" si="1100"/>
        <v>514</v>
      </c>
      <c r="CG319" s="71">
        <f t="shared" si="1101"/>
        <v>538</v>
      </c>
      <c r="CH319" s="75">
        <f t="shared" si="1102"/>
        <v>255</v>
      </c>
      <c r="CI319" s="71">
        <f t="shared" si="1103"/>
        <v>260</v>
      </c>
      <c r="CJ319" s="72">
        <f t="shared" si="1104"/>
        <v>285</v>
      </c>
      <c r="CK319" s="72" t="str">
        <f t="shared" si="1105"/>
        <v>-</v>
      </c>
      <c r="CL319" s="72">
        <f t="shared" si="1106"/>
        <v>346</v>
      </c>
      <c r="CM319" s="72" t="str">
        <f t="shared" si="1107"/>
        <v>-</v>
      </c>
      <c r="CN319" s="72">
        <f t="shared" si="1108"/>
        <v>378</v>
      </c>
      <c r="CO319" s="72">
        <f t="shared" si="1109"/>
        <v>392</v>
      </c>
      <c r="CP319" s="72">
        <f t="shared" si="1110"/>
        <v>428</v>
      </c>
      <c r="CQ319" s="72">
        <f t="shared" si="1111"/>
        <v>496</v>
      </c>
      <c r="CR319" s="72">
        <f t="shared" si="1112"/>
        <v>537</v>
      </c>
      <c r="CS319" s="72">
        <f t="shared" si="1113"/>
        <v>553</v>
      </c>
      <c r="CT319" s="23">
        <f t="shared" si="1114"/>
        <v>1</v>
      </c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/>
      <c r="MX319" s="3"/>
      <c r="MY319" s="3"/>
      <c r="MZ319" s="3"/>
      <c r="NA319" s="3"/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  <c r="NM319" s="3"/>
      <c r="NN319" s="3"/>
      <c r="NO319" s="3"/>
      <c r="NP319" s="3"/>
      <c r="NQ319" s="3"/>
      <c r="NR319" s="3"/>
      <c r="NS319" s="3"/>
      <c r="NT319" s="3"/>
      <c r="NU319" s="3"/>
      <c r="NV319" s="3"/>
      <c r="NW319" s="3"/>
      <c r="NX319" s="3"/>
      <c r="NY319" s="3"/>
      <c r="NZ319" s="3"/>
      <c r="OA319" s="3"/>
      <c r="OB319" s="3"/>
      <c r="OC319" s="3"/>
      <c r="OD319" s="3"/>
      <c r="OE319" s="3"/>
      <c r="OF319" s="3"/>
      <c r="OG319" s="3"/>
      <c r="OH319" s="3"/>
      <c r="OI319" s="3"/>
      <c r="OJ319" s="3"/>
      <c r="OK319" s="3"/>
      <c r="OL319" s="3"/>
      <c r="OM319" s="3"/>
      <c r="ON319" s="3"/>
      <c r="OO319" s="3"/>
      <c r="OP319" s="3"/>
      <c r="OQ319" s="3"/>
      <c r="OR319" s="3"/>
      <c r="OS319" s="3"/>
      <c r="OT319" s="3"/>
      <c r="OU319" s="3"/>
      <c r="OV319" s="3"/>
      <c r="OW319" s="3"/>
      <c r="OX319" s="3"/>
      <c r="OY319" s="3"/>
      <c r="OZ319" s="3"/>
      <c r="PA319" s="3"/>
      <c r="PB319" s="3"/>
      <c r="PC319" s="3"/>
      <c r="PD319" s="3"/>
      <c r="PE319" s="3"/>
      <c r="PF319" s="3"/>
      <c r="PG319" s="3"/>
      <c r="PH319" s="3"/>
      <c r="PI319" s="3"/>
      <c r="PJ319" s="3"/>
      <c r="PK319" s="3"/>
      <c r="PL319" s="3"/>
      <c r="PM319" s="3"/>
      <c r="PN319" s="3"/>
      <c r="PO319" s="3"/>
      <c r="PP319" s="3"/>
      <c r="PQ319" s="3"/>
      <c r="PR319" s="3"/>
      <c r="PS319" s="3"/>
      <c r="PT319" s="3"/>
      <c r="PU319" s="3"/>
      <c r="PV319" s="3"/>
      <c r="PW319" s="3"/>
      <c r="PX319" s="3"/>
      <c r="PY319" s="3"/>
      <c r="PZ319" s="3"/>
      <c r="QA319" s="3"/>
      <c r="QB319" s="3"/>
      <c r="QC319" s="3"/>
      <c r="QD319" s="3"/>
      <c r="QE319" s="3"/>
      <c r="QF319" s="3"/>
      <c r="QG319" s="3"/>
      <c r="QH319" s="3"/>
      <c r="QI319" s="3"/>
      <c r="QJ319" s="3"/>
      <c r="QK319" s="3"/>
      <c r="QL319" s="3"/>
      <c r="QM319" s="3"/>
      <c r="QN319" s="3"/>
      <c r="QO319" s="3"/>
      <c r="QP319" s="3"/>
      <c r="QQ319" s="3"/>
      <c r="QR319" s="3"/>
      <c r="QS319" s="3"/>
      <c r="QT319" s="3"/>
      <c r="QU319" s="3"/>
      <c r="QV319" s="3"/>
      <c r="QW319" s="3"/>
      <c r="QX319" s="3"/>
      <c r="QY319" s="3"/>
      <c r="QZ319" s="3"/>
      <c r="RA319" s="3"/>
      <c r="RB319" s="3"/>
      <c r="RC319" s="3"/>
      <c r="RD319" s="3"/>
      <c r="RE319" s="3"/>
      <c r="RF319" s="3"/>
      <c r="RG319" s="3"/>
      <c r="RH319" s="3"/>
      <c r="RI319" s="3"/>
      <c r="RJ319" s="3"/>
      <c r="RK319" s="3"/>
      <c r="RL319" s="3"/>
      <c r="RM319" s="3"/>
      <c r="RN319" s="3"/>
      <c r="RO319" s="3"/>
      <c r="RP319" s="3"/>
      <c r="RQ319" s="3"/>
      <c r="RR319" s="3"/>
      <c r="RS319" s="3"/>
      <c r="RT319" s="3"/>
      <c r="RU319" s="3"/>
      <c r="RV319" s="3"/>
      <c r="RW319" s="3"/>
      <c r="RX319" s="3"/>
      <c r="RY319" s="3"/>
      <c r="RZ319" s="3"/>
      <c r="SA319" s="3"/>
      <c r="SB319" s="3"/>
      <c r="SC319" s="3"/>
      <c r="SD319" s="3"/>
      <c r="SE319" s="3"/>
      <c r="SF319" s="3"/>
      <c r="SG319" s="3"/>
      <c r="SH319" s="3"/>
      <c r="SI319" s="3"/>
      <c r="SJ319" s="3"/>
      <c r="SK319" s="3"/>
      <c r="SL319" s="3"/>
      <c r="SM319" s="3"/>
      <c r="SN319" s="3"/>
      <c r="SO319" s="3"/>
      <c r="SP319" s="3"/>
      <c r="SQ319" s="3"/>
      <c r="SR319" s="3"/>
      <c r="SS319" s="3"/>
      <c r="ST319" s="3"/>
      <c r="SU319" s="3"/>
      <c r="SV319" s="3"/>
      <c r="SW319" s="3"/>
      <c r="SX319" s="3"/>
      <c r="SY319" s="3"/>
      <c r="SZ319" s="3"/>
      <c r="TA319" s="3"/>
      <c r="TB319" s="3"/>
      <c r="TC319" s="3"/>
      <c r="TD319" s="3"/>
      <c r="TE319" s="3"/>
      <c r="TF319" s="3"/>
      <c r="TG319" s="3"/>
      <c r="TH319" s="3"/>
      <c r="TI319" s="3"/>
      <c r="TJ319" s="3"/>
      <c r="TK319" s="3"/>
      <c r="TL319" s="3"/>
      <c r="TM319" s="3"/>
      <c r="TN319" s="3"/>
      <c r="TO319" s="3"/>
      <c r="TP319" s="3"/>
      <c r="TQ319" s="3"/>
      <c r="TR319" s="3"/>
      <c r="TS319" s="3"/>
      <c r="TT319" s="3"/>
      <c r="TU319" s="3"/>
      <c r="TV319" s="3"/>
      <c r="TW319" s="3"/>
      <c r="TX319" s="3"/>
      <c r="TY319" s="3"/>
      <c r="TZ319" s="3"/>
      <c r="UA319" s="3"/>
      <c r="UB319" s="3"/>
      <c r="UC319" s="3"/>
      <c r="UD319" s="3"/>
      <c r="UE319" s="3"/>
      <c r="UF319" s="3"/>
      <c r="UG319" s="3"/>
      <c r="UH319" s="3"/>
      <c r="UI319" s="3"/>
      <c r="UJ319" s="3"/>
      <c r="UK319" s="3"/>
      <c r="UL319" s="3"/>
      <c r="UM319" s="3"/>
      <c r="UN319" s="3"/>
      <c r="UO319" s="3"/>
      <c r="UP319" s="3"/>
      <c r="UQ319" s="3"/>
      <c r="UR319" s="3"/>
      <c r="US319" s="3"/>
      <c r="UT319" s="3"/>
      <c r="UU319" s="3"/>
      <c r="UV319" s="3"/>
      <c r="UW319" s="3"/>
      <c r="UX319" s="3"/>
      <c r="UY319" s="3"/>
      <c r="UZ319" s="3"/>
      <c r="VA319" s="3"/>
      <c r="VB319" s="3"/>
      <c r="VC319" s="3"/>
      <c r="VD319" s="3"/>
      <c r="VE319" s="3"/>
      <c r="VF319" s="3"/>
      <c r="VG319" s="3"/>
      <c r="VH319" s="3"/>
      <c r="VI319" s="3"/>
      <c r="VJ319" s="3"/>
      <c r="VK319" s="3"/>
      <c r="VL319" s="3"/>
      <c r="VM319" s="3"/>
      <c r="VN319" s="3"/>
      <c r="VO319" s="3"/>
      <c r="VP319" s="3"/>
      <c r="VQ319" s="3"/>
      <c r="VR319" s="3"/>
      <c r="VS319" s="3"/>
      <c r="VT319" s="3"/>
      <c r="VU319" s="3"/>
      <c r="VV319" s="3"/>
      <c r="VW319" s="3"/>
      <c r="VX319" s="3"/>
      <c r="VY319" s="3"/>
      <c r="VZ319" s="3"/>
      <c r="WA319" s="3"/>
      <c r="WB319" s="3"/>
      <c r="WC319" s="3"/>
      <c r="WD319" s="3"/>
      <c r="WE319" s="3"/>
      <c r="WF319" s="3"/>
      <c r="WG319" s="3"/>
      <c r="WH319" s="3"/>
      <c r="WI319" s="3"/>
      <c r="WJ319" s="3"/>
      <c r="WK319" s="3"/>
      <c r="WL319" s="3"/>
      <c r="WM319" s="3"/>
      <c r="WN319" s="3"/>
      <c r="WO319" s="3"/>
      <c r="WP319" s="3"/>
      <c r="WQ319" s="3"/>
      <c r="WR319" s="3"/>
      <c r="WS319" s="3"/>
      <c r="WT319" s="3"/>
      <c r="WU319" s="3"/>
      <c r="WV319" s="3"/>
      <c r="WW319" s="3"/>
      <c r="WX319" s="3"/>
      <c r="WY319" s="3"/>
      <c r="WZ319" s="3"/>
      <c r="XA319" s="3"/>
      <c r="XB319" s="3"/>
      <c r="XC319" s="3"/>
      <c r="XD319" s="3"/>
      <c r="XE319" s="3"/>
      <c r="XF319" s="3"/>
      <c r="XG319" s="3"/>
      <c r="XH319" s="3"/>
      <c r="XI319" s="3"/>
      <c r="XJ319" s="3"/>
      <c r="XK319" s="3"/>
      <c r="XL319" s="3"/>
      <c r="XM319" s="3"/>
      <c r="XN319" s="3"/>
      <c r="XO319" s="3"/>
      <c r="XP319" s="3"/>
      <c r="XQ319" s="3"/>
      <c r="XR319" s="3"/>
      <c r="XS319" s="3"/>
      <c r="XT319" s="3"/>
      <c r="XU319" s="3"/>
      <c r="XV319" s="3"/>
      <c r="XW319" s="3"/>
      <c r="XX319" s="3"/>
      <c r="XY319" s="3"/>
      <c r="XZ319" s="3"/>
      <c r="YA319" s="3"/>
      <c r="YB319" s="3"/>
      <c r="YC319" s="3"/>
      <c r="YD319" s="3"/>
      <c r="YE319" s="3"/>
      <c r="YF319" s="3"/>
      <c r="YG319" s="3"/>
      <c r="YH319" s="3"/>
      <c r="YI319" s="3"/>
      <c r="YJ319" s="3"/>
      <c r="YK319" s="3"/>
      <c r="YL319" s="3"/>
      <c r="YM319" s="3"/>
      <c r="YN319" s="3"/>
      <c r="YO319" s="3"/>
      <c r="YP319" s="3"/>
      <c r="YQ319" s="3"/>
      <c r="YR319" s="3"/>
      <c r="YS319" s="3"/>
      <c r="YT319" s="3"/>
      <c r="YU319" s="3"/>
      <c r="YV319" s="3"/>
      <c r="YW319" s="3"/>
      <c r="YX319" s="3"/>
      <c r="YY319" s="3"/>
      <c r="YZ319" s="3"/>
      <c r="ZA319" s="3"/>
      <c r="ZB319" s="3"/>
      <c r="ZC319" s="3"/>
      <c r="ZD319" s="3"/>
      <c r="ZE319" s="3"/>
      <c r="ZF319" s="3"/>
      <c r="ZG319" s="3"/>
      <c r="ZH319" s="3"/>
      <c r="ZI319" s="3"/>
      <c r="ZJ319" s="3"/>
      <c r="ZK319" s="3"/>
      <c r="ZL319" s="3"/>
      <c r="ZM319" s="3"/>
      <c r="ZN319" s="3"/>
      <c r="ZO319" s="3"/>
      <c r="ZP319" s="3"/>
      <c r="ZQ319" s="3"/>
      <c r="ZR319" s="3"/>
      <c r="ZS319" s="3"/>
      <c r="ZT319" s="3"/>
      <c r="ZU319" s="3"/>
      <c r="ZV319" s="3"/>
      <c r="ZW319" s="3"/>
      <c r="ZX319" s="3"/>
      <c r="ZY319" s="3"/>
      <c r="ZZ319" s="3"/>
      <c r="AAA319" s="3"/>
      <c r="AAB319" s="3"/>
      <c r="AAC319" s="3"/>
      <c r="AAD319" s="3"/>
      <c r="AAE319" s="3"/>
      <c r="AAF319" s="3"/>
      <c r="AAG319" s="3"/>
      <c r="AAH319" s="3"/>
      <c r="AAI319" s="3"/>
      <c r="AAJ319" s="3"/>
      <c r="AAK319" s="3"/>
      <c r="AAL319" s="3"/>
      <c r="AAM319" s="3"/>
      <c r="AAN319" s="3"/>
      <c r="AAO319" s="3"/>
      <c r="AAP319" s="3"/>
      <c r="AAQ319" s="3"/>
      <c r="AAR319" s="3"/>
      <c r="AAS319" s="3"/>
      <c r="AAT319" s="3"/>
      <c r="AAU319" s="3"/>
      <c r="AAV319" s="3"/>
      <c r="AAW319" s="3"/>
      <c r="AAX319" s="3"/>
      <c r="AAY319" s="3"/>
      <c r="AAZ319" s="3"/>
      <c r="ABA319" s="3"/>
      <c r="ABB319" s="3"/>
      <c r="ABC319" s="3"/>
      <c r="ABD319" s="3"/>
      <c r="ABE319" s="3"/>
      <c r="ABF319" s="3"/>
      <c r="ABG319" s="3"/>
      <c r="ABH319" s="3"/>
      <c r="ABI319" s="3"/>
      <c r="ABJ319" s="3"/>
      <c r="ABK319" s="3"/>
      <c r="ABL319" s="3"/>
      <c r="ABM319" s="3"/>
      <c r="ABN319" s="3"/>
      <c r="ABO319" s="3"/>
      <c r="ABP319" s="3"/>
      <c r="ABQ319" s="3"/>
      <c r="ABR319" s="3"/>
      <c r="ABS319" s="3"/>
      <c r="ABT319" s="3"/>
      <c r="ABU319" s="3"/>
      <c r="ABV319" s="3"/>
      <c r="ABW319" s="3"/>
      <c r="ABX319" s="3"/>
      <c r="ABY319" s="3"/>
      <c r="ABZ319" s="3"/>
      <c r="ACA319" s="3"/>
      <c r="ACB319" s="3"/>
      <c r="ACC319" s="3"/>
      <c r="ACD319" s="3"/>
      <c r="ACE319" s="3"/>
      <c r="ACF319" s="3"/>
      <c r="ACG319" s="3"/>
      <c r="ACH319" s="3"/>
      <c r="ACI319" s="3"/>
      <c r="ACJ319" s="3"/>
      <c r="ACK319" s="3"/>
      <c r="ACL319" s="3"/>
      <c r="ACM319" s="3"/>
      <c r="ACN319" s="3"/>
      <c r="ACO319" s="3"/>
      <c r="ACP319" s="3"/>
      <c r="ACQ319" s="3"/>
      <c r="ACR319" s="3"/>
      <c r="ACS319" s="3"/>
      <c r="ACT319" s="3"/>
      <c r="ACU319" s="3"/>
      <c r="ACV319" s="3"/>
      <c r="ACW319" s="3"/>
      <c r="ACX319" s="3"/>
      <c r="ACY319" s="3"/>
      <c r="ACZ319" s="3"/>
      <c r="ADA319" s="3"/>
      <c r="ADB319" s="3"/>
      <c r="ADC319" s="3"/>
      <c r="ADD319" s="3"/>
      <c r="ADE319" s="3"/>
      <c r="ADF319" s="3"/>
      <c r="ADG319" s="3"/>
      <c r="ADH319" s="3"/>
      <c r="ADI319" s="3"/>
      <c r="ADJ319" s="3"/>
      <c r="ADK319" s="3"/>
      <c r="ADL319" s="3"/>
      <c r="ADM319" s="3"/>
      <c r="ADN319" s="3"/>
      <c r="ADO319" s="3"/>
      <c r="ADP319" s="3"/>
      <c r="ADQ319" s="3"/>
      <c r="ADR319" s="3"/>
      <c r="ADS319" s="3"/>
      <c r="ADT319" s="3"/>
      <c r="ADU319" s="3"/>
      <c r="ADV319" s="3"/>
      <c r="ADW319" s="3"/>
      <c r="ADX319" s="3"/>
      <c r="ADY319" s="3"/>
      <c r="ADZ319" s="3"/>
      <c r="AEA319" s="3"/>
      <c r="AEB319" s="3"/>
      <c r="AEC319" s="3"/>
      <c r="AED319" s="3"/>
      <c r="AEE319" s="3"/>
      <c r="AEF319" s="3"/>
      <c r="AEG319" s="3"/>
      <c r="AEH319" s="3"/>
      <c r="AEI319" s="3"/>
      <c r="AEJ319" s="3"/>
      <c r="AEK319" s="3"/>
      <c r="AEL319" s="3"/>
      <c r="AEM319" s="3"/>
      <c r="AEN319" s="3"/>
      <c r="AEO319" s="3"/>
      <c r="AEP319" s="3"/>
      <c r="AEQ319" s="3"/>
      <c r="AER319" s="3"/>
      <c r="AES319" s="3"/>
      <c r="AET319" s="3"/>
      <c r="AEU319" s="3"/>
      <c r="AEV319" s="3"/>
      <c r="AEW319" s="3"/>
      <c r="AEX319" s="3"/>
      <c r="AEY319" s="3"/>
      <c r="AEZ319" s="3"/>
      <c r="AFA319" s="3"/>
      <c r="AFB319" s="3"/>
      <c r="AFC319" s="3"/>
      <c r="AFD319" s="3"/>
      <c r="AFE319" s="3"/>
      <c r="AFF319" s="3"/>
      <c r="AFG319" s="3"/>
      <c r="AFH319" s="3"/>
      <c r="AFI319" s="3"/>
      <c r="AFJ319" s="3"/>
      <c r="AFK319" s="3"/>
      <c r="AFL319" s="3"/>
      <c r="AFM319" s="3"/>
      <c r="AFN319" s="3"/>
      <c r="AFO319" s="3"/>
      <c r="AFP319" s="3"/>
      <c r="AFQ319" s="3"/>
      <c r="AFR319" s="3"/>
      <c r="AFS319" s="3"/>
      <c r="AFT319" s="3"/>
      <c r="AFU319" s="3"/>
      <c r="AFV319" s="3"/>
      <c r="AFW319" s="3"/>
      <c r="AFX319" s="3"/>
      <c r="AFY319" s="3"/>
      <c r="AFZ319" s="3"/>
      <c r="AGA319" s="3"/>
      <c r="AGB319" s="3"/>
      <c r="AGC319" s="3"/>
      <c r="AGD319" s="3"/>
      <c r="AGE319" s="3"/>
      <c r="AGF319" s="3"/>
      <c r="AGG319" s="3"/>
      <c r="AGH319" s="3"/>
      <c r="AGI319" s="3"/>
      <c r="AGJ319" s="3"/>
      <c r="AGK319" s="3"/>
      <c r="AGL319" s="3"/>
      <c r="AGM319" s="3"/>
      <c r="AGN319" s="3"/>
      <c r="AGO319" s="3"/>
      <c r="AGP319" s="3"/>
      <c r="AGQ319" s="3"/>
      <c r="AGR319" s="3"/>
      <c r="AGS319" s="3"/>
      <c r="AGT319" s="3"/>
      <c r="AGU319" s="3"/>
      <c r="AGV319" s="3"/>
      <c r="AGW319" s="3"/>
      <c r="AGX319" s="3"/>
      <c r="AGY319" s="3"/>
      <c r="AGZ319" s="3"/>
      <c r="AHA319" s="3"/>
      <c r="AHB319" s="3"/>
      <c r="AHC319" s="3"/>
      <c r="AHD319" s="3"/>
      <c r="AHE319" s="3"/>
      <c r="AHF319" s="3"/>
      <c r="AHG319" s="3"/>
      <c r="AHH319" s="3"/>
      <c r="AHI319" s="3"/>
      <c r="AHJ319" s="3"/>
      <c r="AHK319" s="3"/>
      <c r="AHL319" s="3"/>
      <c r="AHM319" s="3"/>
      <c r="AHN319" s="3"/>
      <c r="AHO319" s="3"/>
      <c r="AHP319" s="3"/>
      <c r="AHQ319" s="3"/>
      <c r="AHR319" s="3"/>
      <c r="AHS319" s="3"/>
      <c r="AHT319" s="3"/>
      <c r="AHU319" s="3"/>
      <c r="AHV319" s="3"/>
      <c r="AHW319" s="3"/>
      <c r="AHX319" s="3"/>
      <c r="AHY319" s="3"/>
      <c r="AHZ319" s="3"/>
      <c r="AIA319" s="3"/>
      <c r="AIB319" s="3"/>
      <c r="AIC319" s="3"/>
      <c r="AID319" s="3"/>
      <c r="AIE319" s="3"/>
      <c r="AIF319" s="3"/>
      <c r="AIG319" s="3"/>
      <c r="AIH319" s="3"/>
      <c r="AII319" s="3"/>
      <c r="AIJ319" s="3"/>
      <c r="AIK319" s="3"/>
      <c r="AIL319" s="3"/>
      <c r="AIM319" s="3"/>
      <c r="AIN319" s="3"/>
      <c r="AIO319" s="3"/>
      <c r="AIP319" s="3"/>
      <c r="AIQ319" s="3"/>
      <c r="AIR319" s="3"/>
      <c r="AIS319" s="3"/>
      <c r="AIT319" s="3"/>
      <c r="AIU319" s="3"/>
      <c r="AIV319" s="3"/>
      <c r="AIW319" s="3"/>
      <c r="AIX319" s="3"/>
      <c r="AIY319" s="3"/>
      <c r="AIZ319" s="3"/>
      <c r="AJA319" s="3"/>
      <c r="AJB319" s="3"/>
      <c r="AJC319" s="3"/>
      <c r="AJD319" s="3"/>
      <c r="AJE319" s="3"/>
      <c r="AJF319" s="3"/>
      <c r="AJG319" s="3"/>
      <c r="AJH319" s="3"/>
      <c r="AJI319" s="3"/>
      <c r="AJJ319" s="3"/>
      <c r="AJK319" s="3"/>
      <c r="AJL319" s="3"/>
      <c r="AJM319" s="3"/>
      <c r="AJN319" s="3"/>
      <c r="AJO319" s="3"/>
      <c r="AJP319" s="3"/>
      <c r="AJQ319" s="3"/>
      <c r="AJR319" s="3"/>
      <c r="AJS319" s="3"/>
      <c r="AJT319" s="3"/>
      <c r="AJU319" s="3"/>
      <c r="AJV319" s="3"/>
      <c r="AJW319" s="3"/>
      <c r="AJX319" s="3"/>
      <c r="AJY319" s="3"/>
      <c r="AJZ319" s="3"/>
      <c r="AKA319" s="3"/>
      <c r="AKB319" s="3"/>
      <c r="AKC319" s="3"/>
      <c r="AKD319" s="3"/>
      <c r="AKE319" s="3"/>
      <c r="AKF319" s="3"/>
      <c r="AKG319" s="3"/>
      <c r="AKH319" s="3"/>
      <c r="AKI319" s="3"/>
      <c r="AKJ319" s="3"/>
      <c r="AKK319" s="3"/>
      <c r="AKL319" s="3"/>
      <c r="AKM319" s="3"/>
      <c r="AKN319" s="3"/>
      <c r="AKO319" s="3"/>
      <c r="AKP319" s="3"/>
      <c r="AKQ319" s="3"/>
      <c r="AKR319" s="3"/>
      <c r="AKS319" s="3"/>
      <c r="AKT319" s="3"/>
      <c r="AKU319" s="3"/>
      <c r="AKV319" s="3"/>
      <c r="AKW319" s="3"/>
      <c r="AKX319" s="3"/>
      <c r="AKY319" s="3"/>
      <c r="AKZ319" s="3"/>
      <c r="ALA319" s="3"/>
      <c r="ALB319" s="3"/>
      <c r="ALC319" s="3"/>
      <c r="ALD319" s="3"/>
      <c r="ALE319" s="3"/>
      <c r="ALF319" s="3"/>
      <c r="ALG319" s="3"/>
      <c r="ALH319" s="3"/>
      <c r="ALI319" s="3"/>
      <c r="ALJ319" s="3"/>
      <c r="ALK319" s="3"/>
      <c r="ALL319" s="3"/>
      <c r="ALM319" s="3"/>
      <c r="ALN319" s="3"/>
      <c r="ALO319" s="3"/>
      <c r="ALP319" s="3"/>
      <c r="ALQ319" s="3"/>
      <c r="ALR319" s="3"/>
      <c r="ALS319" s="3"/>
      <c r="ALT319" s="3"/>
      <c r="ALU319" s="3"/>
      <c r="ALV319" s="3"/>
      <c r="ALW319" s="3"/>
      <c r="ALX319" s="3"/>
      <c r="ALY319" s="3"/>
      <c r="ALZ319" s="3"/>
      <c r="AMA319" s="3"/>
      <c r="AMB319" s="3"/>
      <c r="AMC319" s="3"/>
      <c r="AMD319" s="3"/>
      <c r="AME319" s="3"/>
      <c r="AMF319" s="3"/>
      <c r="AMG319" s="3"/>
      <c r="AMH319" s="3"/>
      <c r="AMI319" s="3"/>
      <c r="AMJ319" s="3"/>
      <c r="AMK319" s="3"/>
      <c r="AML319" s="3"/>
      <c r="AMM319" s="3"/>
      <c r="AMN319" s="3"/>
      <c r="AMO319" s="3"/>
      <c r="AMP319" s="1"/>
    </row>
    <row r="320" spans="1:1030" s="6" customFormat="1" x14ac:dyDescent="0.2">
      <c r="A320" s="3" t="str">
        <f t="shared" si="1115"/>
        <v>smo_human_5L7I</v>
      </c>
      <c r="B320" s="3" t="s">
        <v>33</v>
      </c>
      <c r="C320" s="3" t="s">
        <v>1359</v>
      </c>
      <c r="D320" s="3" t="str">
        <f>IFERROR(MID(VLOOKUP($B320,Seqs!$A:$B,2,0),E320,1),"")</f>
        <v>T</v>
      </c>
      <c r="E320" s="105">
        <v>223</v>
      </c>
      <c r="F320" s="3" t="str">
        <f>IFERROR(MID(VLOOKUP($B320,Seqs!$A:$B,2,0),G320,1),"")</f>
        <v>D</v>
      </c>
      <c r="G320" s="3">
        <v>255</v>
      </c>
      <c r="H320" s="3" t="str">
        <f>IFERROR(MID(VLOOKUP($B320,Seqs!$A:$B,2,0),I320,1),"")</f>
        <v>W</v>
      </c>
      <c r="I320" s="23">
        <v>256</v>
      </c>
      <c r="J320" s="3" t="str">
        <f>IFERROR(MID(VLOOKUP($B320,Seqs!$A:$B,2,0),K320,1),"")</f>
        <v>N</v>
      </c>
      <c r="K320" s="23">
        <v>260</v>
      </c>
      <c r="L320" s="3" t="str">
        <f>IFERROR(MID(VLOOKUP($B320,Seqs!$A:$B,2,0),M320,1),"")</f>
        <v>R</v>
      </c>
      <c r="M320" s="3">
        <v>261</v>
      </c>
      <c r="N320" s="3" t="str">
        <f>IFERROR(MID(VLOOKUP($B320,Seqs!$A:$B,2,0),O320,1),"")</f>
        <v>F</v>
      </c>
      <c r="O320" s="3">
        <v>285</v>
      </c>
      <c r="P320" s="3" t="str">
        <f>IFERROR(MID(VLOOKUP($B320,Seqs!$A:$B,2,0),Q320,1),"")</f>
        <v/>
      </c>
      <c r="Q320" s="3" t="s">
        <v>23</v>
      </c>
      <c r="R320" s="3" t="str">
        <f>IFERROR(MID(VLOOKUP($B320,Seqs!$A:$B,2,0),S320,1),"")</f>
        <v/>
      </c>
      <c r="S320" s="3" t="s">
        <v>23</v>
      </c>
      <c r="T320" s="3" t="str">
        <f>IFERROR(MID(VLOOKUP($B320,Seqs!$A:$B,2,0),U320,1),"")</f>
        <v>L</v>
      </c>
      <c r="U320" s="3">
        <v>312</v>
      </c>
      <c r="V320" s="3" t="str">
        <f>IFERROR(MID(VLOOKUP($B320,Seqs!$A:$B,2,0),W320,1),"")</f>
        <v>L</v>
      </c>
      <c r="W320" s="3">
        <v>346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S</v>
      </c>
      <c r="AC320" s="9">
        <v>354</v>
      </c>
      <c r="AD320" s="3" t="str">
        <f>IFERROR(MID(VLOOKUP($B320,Seqs!$A:$B,2,0),AE320,1),"")</f>
        <v>V</v>
      </c>
      <c r="AE320" s="3">
        <v>378</v>
      </c>
      <c r="AF320" s="3" t="str">
        <f>IFERROR(MID(VLOOKUP($B320,Seqs!$A:$B,2,0),AG320,1),"")</f>
        <v>C</v>
      </c>
      <c r="AG320" s="3">
        <v>390</v>
      </c>
      <c r="AH320" s="3" t="str">
        <f>IFERROR(MID(VLOOKUP($B320,Seqs!$A:$B,2,0),AI320,1),"")</f>
        <v>V</v>
      </c>
      <c r="AI320" s="3">
        <v>392</v>
      </c>
      <c r="AJ320" s="3" t="str">
        <f>IFERROR(MID(VLOOKUP($B320,Seqs!$A:$B,2,0),AK320,1),"")</f>
        <v>N</v>
      </c>
      <c r="AK320" s="105">
        <v>396</v>
      </c>
      <c r="AL320" s="3" t="str">
        <f>IFERROR(MID(VLOOKUP($B320,Seqs!$A:$B,2,0),AM320,1),"")</f>
        <v>S</v>
      </c>
      <c r="AM320" s="3">
        <v>428</v>
      </c>
      <c r="AN320" s="3" t="str">
        <f>IFERROR(MID(VLOOKUP($B320,Seqs!$A:$B,2,0),AO320,1),"")</f>
        <v>E</v>
      </c>
      <c r="AO320" s="3">
        <v>447</v>
      </c>
      <c r="AP320" s="3" t="str">
        <f>IFERROR(MID(VLOOKUP($B320,Seqs!$A:$B,2,0),AQ320,1),"")</f>
        <v>N</v>
      </c>
      <c r="AQ320" s="3">
        <v>493</v>
      </c>
      <c r="AR320" s="3" t="str">
        <f>IFERROR(MID(VLOOKUP($B320,Seqs!$A:$B,2,0),AS320,1),"")</f>
        <v>S</v>
      </c>
      <c r="AS320" s="105">
        <v>514</v>
      </c>
      <c r="AT320" s="3" t="str">
        <f>IFERROR(MID(VLOOKUP($B320,Seqs!$A:$B,2,0),AU320,1),"")</f>
        <v>W</v>
      </c>
      <c r="AU320" s="3">
        <v>537</v>
      </c>
      <c r="AV320" s="3" t="str">
        <f>IFERROR(MID(VLOOKUP($B320,Seqs!$A:$B,2,0),AW320,1),"")</f>
        <v>T</v>
      </c>
      <c r="AW320" s="3">
        <v>538</v>
      </c>
      <c r="AX320" s="3" t="str">
        <f>IFERROR(MID(VLOOKUP($B320,Seqs!$A:$B,2,0),AY320,1),"")</f>
        <v>R</v>
      </c>
      <c r="AY320" s="3">
        <v>551</v>
      </c>
      <c r="AZ320" s="78" t="str">
        <f>VLOOKUP(B320,Classification!A:D,2,0)</f>
        <v>F</v>
      </c>
      <c r="BA320" s="94" t="str">
        <f>VLOOKUP(B320,Classification!A:D,4,0)</f>
        <v>Frizzled</v>
      </c>
      <c r="BB320" s="92" t="b">
        <f t="shared" si="1116"/>
        <v>1</v>
      </c>
      <c r="BC320" s="23">
        <f t="shared" si="1089"/>
        <v>246</v>
      </c>
      <c r="BD320" s="74" t="s">
        <v>23</v>
      </c>
      <c r="BE320" s="3" t="s">
        <v>1381</v>
      </c>
      <c r="BF320" s="119">
        <v>3.3</v>
      </c>
      <c r="BG320" s="49" t="s">
        <v>1287</v>
      </c>
      <c r="BH320" s="49" t="s">
        <v>1384</v>
      </c>
      <c r="BI320" s="3" t="s">
        <v>1368</v>
      </c>
      <c r="BJ320" s="75" t="s">
        <v>1293</v>
      </c>
      <c r="BK320" s="57" t="s">
        <v>1293</v>
      </c>
      <c r="BL320" s="57" t="s">
        <v>1293</v>
      </c>
      <c r="BM320" s="57" t="s">
        <v>1293</v>
      </c>
      <c r="BN320" s="57" t="s">
        <v>1293</v>
      </c>
      <c r="BO320" s="57" t="s">
        <v>1293</v>
      </c>
      <c r="BP320" s="57" t="s">
        <v>1293</v>
      </c>
      <c r="BQ320" s="57" t="s">
        <v>1293</v>
      </c>
      <c r="BR320" s="57" t="s">
        <v>1293</v>
      </c>
      <c r="BS320" s="57" t="s">
        <v>1293</v>
      </c>
      <c r="BT320" s="57" t="s">
        <v>1293</v>
      </c>
      <c r="BU320" s="57" t="s">
        <v>1293</v>
      </c>
      <c r="BV320" s="75">
        <f t="shared" si="1090"/>
        <v>223</v>
      </c>
      <c r="BW320" s="71">
        <f t="shared" si="1091"/>
        <v>256</v>
      </c>
      <c r="BX320" s="72">
        <f t="shared" si="1092"/>
        <v>261</v>
      </c>
      <c r="BY320" s="71" t="str">
        <f t="shared" si="1093"/>
        <v>-</v>
      </c>
      <c r="BZ320" s="72">
        <f t="shared" si="1094"/>
        <v>312</v>
      </c>
      <c r="CA320" s="71" t="str">
        <f t="shared" si="1095"/>
        <v>-</v>
      </c>
      <c r="CB320" s="72">
        <f t="shared" si="1096"/>
        <v>354</v>
      </c>
      <c r="CC320" s="71">
        <f t="shared" si="1097"/>
        <v>390</v>
      </c>
      <c r="CD320" s="72">
        <f t="shared" si="1098"/>
        <v>396</v>
      </c>
      <c r="CE320" s="71">
        <f t="shared" si="1099"/>
        <v>447</v>
      </c>
      <c r="CF320" s="72">
        <f t="shared" si="1100"/>
        <v>514</v>
      </c>
      <c r="CG320" s="71">
        <f t="shared" si="1101"/>
        <v>538</v>
      </c>
      <c r="CH320" s="75">
        <f t="shared" si="1102"/>
        <v>255</v>
      </c>
      <c r="CI320" s="71">
        <f t="shared" si="1103"/>
        <v>260</v>
      </c>
      <c r="CJ320" s="72">
        <f t="shared" si="1104"/>
        <v>285</v>
      </c>
      <c r="CK320" s="72" t="str">
        <f t="shared" si="1105"/>
        <v>-</v>
      </c>
      <c r="CL320" s="72">
        <f t="shared" si="1106"/>
        <v>346</v>
      </c>
      <c r="CM320" s="72" t="str">
        <f t="shared" si="1107"/>
        <v>-</v>
      </c>
      <c r="CN320" s="72">
        <f t="shared" si="1108"/>
        <v>378</v>
      </c>
      <c r="CO320" s="72">
        <f t="shared" si="1109"/>
        <v>392</v>
      </c>
      <c r="CP320" s="72">
        <f t="shared" si="1110"/>
        <v>428</v>
      </c>
      <c r="CQ320" s="72">
        <f t="shared" si="1111"/>
        <v>493</v>
      </c>
      <c r="CR320" s="72">
        <f t="shared" si="1112"/>
        <v>537</v>
      </c>
      <c r="CS320" s="72">
        <f t="shared" si="1113"/>
        <v>551</v>
      </c>
      <c r="CT320" s="23">
        <f t="shared" si="1114"/>
        <v>1</v>
      </c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/>
      <c r="NN320" s="3"/>
      <c r="NO320" s="3"/>
      <c r="NP320" s="3"/>
      <c r="NQ320" s="3"/>
      <c r="NR320" s="3"/>
      <c r="NS320" s="3"/>
      <c r="NT320" s="3"/>
      <c r="NU320" s="3"/>
      <c r="NV320" s="3"/>
      <c r="NW320" s="3"/>
      <c r="NX320" s="3"/>
      <c r="NY320" s="3"/>
      <c r="NZ320" s="3"/>
      <c r="OA320" s="3"/>
      <c r="OB320" s="3"/>
      <c r="OC320" s="3"/>
      <c r="OD320" s="3"/>
      <c r="OE320" s="3"/>
      <c r="OF320" s="3"/>
      <c r="OG320" s="3"/>
      <c r="OH320" s="3"/>
      <c r="OI320" s="3"/>
      <c r="OJ320" s="3"/>
      <c r="OK320" s="3"/>
      <c r="OL320" s="3"/>
      <c r="OM320" s="3"/>
      <c r="ON320" s="3"/>
      <c r="OO320" s="3"/>
      <c r="OP320" s="3"/>
      <c r="OQ320" s="3"/>
      <c r="OR320" s="3"/>
      <c r="OS320" s="3"/>
      <c r="OT320" s="3"/>
      <c r="OU320" s="3"/>
      <c r="OV320" s="3"/>
      <c r="OW320" s="3"/>
      <c r="OX320" s="3"/>
      <c r="OY320" s="3"/>
      <c r="OZ320" s="3"/>
      <c r="PA320" s="3"/>
      <c r="PB320" s="3"/>
      <c r="PC320" s="3"/>
      <c r="PD320" s="3"/>
      <c r="PE320" s="3"/>
      <c r="PF320" s="3"/>
      <c r="PG320" s="3"/>
      <c r="PH320" s="3"/>
      <c r="PI320" s="3"/>
      <c r="PJ320" s="3"/>
      <c r="PK320" s="3"/>
      <c r="PL320" s="3"/>
      <c r="PM320" s="3"/>
      <c r="PN320" s="3"/>
      <c r="PO320" s="3"/>
      <c r="PP320" s="3"/>
      <c r="PQ320" s="3"/>
      <c r="PR320" s="3"/>
      <c r="PS320" s="3"/>
      <c r="PT320" s="3"/>
      <c r="PU320" s="3"/>
      <c r="PV320" s="3"/>
      <c r="PW320" s="3"/>
      <c r="PX320" s="3"/>
      <c r="PY320" s="3"/>
      <c r="PZ320" s="3"/>
      <c r="QA320" s="3"/>
      <c r="QB320" s="3"/>
      <c r="QC320" s="3"/>
      <c r="QD320" s="3"/>
      <c r="QE320" s="3"/>
      <c r="QF320" s="3"/>
      <c r="QG320" s="3"/>
      <c r="QH320" s="3"/>
      <c r="QI320" s="3"/>
      <c r="QJ320" s="3"/>
      <c r="QK320" s="3"/>
      <c r="QL320" s="3"/>
      <c r="QM320" s="3"/>
      <c r="QN320" s="3"/>
      <c r="QO320" s="3"/>
      <c r="QP320" s="3"/>
      <c r="QQ320" s="3"/>
      <c r="QR320" s="3"/>
      <c r="QS320" s="3"/>
      <c r="QT320" s="3"/>
      <c r="QU320" s="3"/>
      <c r="QV320" s="3"/>
      <c r="QW320" s="3"/>
      <c r="QX320" s="3"/>
      <c r="QY320" s="3"/>
      <c r="QZ320" s="3"/>
      <c r="RA320" s="3"/>
      <c r="RB320" s="3"/>
      <c r="RC320" s="3"/>
      <c r="RD320" s="3"/>
      <c r="RE320" s="3"/>
      <c r="RF320" s="3"/>
      <c r="RG320" s="3"/>
      <c r="RH320" s="3"/>
      <c r="RI320" s="3"/>
      <c r="RJ320" s="3"/>
      <c r="RK320" s="3"/>
      <c r="RL320" s="3"/>
      <c r="RM320" s="3"/>
      <c r="RN320" s="3"/>
      <c r="RO320" s="3"/>
      <c r="RP320" s="3"/>
      <c r="RQ320" s="3"/>
      <c r="RR320" s="3"/>
      <c r="RS320" s="3"/>
      <c r="RT320" s="3"/>
      <c r="RU320" s="3"/>
      <c r="RV320" s="3"/>
      <c r="RW320" s="3"/>
      <c r="RX320" s="3"/>
      <c r="RY320" s="3"/>
      <c r="RZ320" s="3"/>
      <c r="SA320" s="3"/>
      <c r="SB320" s="3"/>
      <c r="SC320" s="3"/>
      <c r="SD320" s="3"/>
      <c r="SE320" s="3"/>
      <c r="SF320" s="3"/>
      <c r="SG320" s="3"/>
      <c r="SH320" s="3"/>
      <c r="SI320" s="3"/>
      <c r="SJ320" s="3"/>
      <c r="SK320" s="3"/>
      <c r="SL320" s="3"/>
      <c r="SM320" s="3"/>
      <c r="SN320" s="3"/>
      <c r="SO320" s="3"/>
      <c r="SP320" s="3"/>
      <c r="SQ320" s="3"/>
      <c r="SR320" s="3"/>
      <c r="SS320" s="3"/>
      <c r="ST320" s="3"/>
      <c r="SU320" s="3"/>
      <c r="SV320" s="3"/>
      <c r="SW320" s="3"/>
      <c r="SX320" s="3"/>
      <c r="SY320" s="3"/>
      <c r="SZ320" s="3"/>
      <c r="TA320" s="3"/>
      <c r="TB320" s="3"/>
      <c r="TC320" s="3"/>
      <c r="TD320" s="3"/>
      <c r="TE320" s="3"/>
      <c r="TF320" s="3"/>
      <c r="TG320" s="3"/>
      <c r="TH320" s="3"/>
      <c r="TI320" s="3"/>
      <c r="TJ320" s="3"/>
      <c r="TK320" s="3"/>
      <c r="TL320" s="3"/>
      <c r="TM320" s="3"/>
      <c r="TN320" s="3"/>
      <c r="TO320" s="3"/>
      <c r="TP320" s="3"/>
      <c r="TQ320" s="3"/>
      <c r="TR320" s="3"/>
      <c r="TS320" s="3"/>
      <c r="TT320" s="3"/>
      <c r="TU320" s="3"/>
      <c r="TV320" s="3"/>
      <c r="TW320" s="3"/>
      <c r="TX320" s="3"/>
      <c r="TY320" s="3"/>
      <c r="TZ320" s="3"/>
      <c r="UA320" s="3"/>
      <c r="UB320" s="3"/>
      <c r="UC320" s="3"/>
      <c r="UD320" s="3"/>
      <c r="UE320" s="3"/>
      <c r="UF320" s="3"/>
      <c r="UG320" s="3"/>
      <c r="UH320" s="3"/>
      <c r="UI320" s="3"/>
      <c r="UJ320" s="3"/>
      <c r="UK320" s="3"/>
      <c r="UL320" s="3"/>
      <c r="UM320" s="3"/>
      <c r="UN320" s="3"/>
      <c r="UO320" s="3"/>
      <c r="UP320" s="3"/>
      <c r="UQ320" s="3"/>
      <c r="UR320" s="3"/>
      <c r="US320" s="3"/>
      <c r="UT320" s="3"/>
      <c r="UU320" s="3"/>
      <c r="UV320" s="3"/>
      <c r="UW320" s="3"/>
      <c r="UX320" s="3"/>
      <c r="UY320" s="3"/>
      <c r="UZ320" s="3"/>
      <c r="VA320" s="3"/>
      <c r="VB320" s="3"/>
      <c r="VC320" s="3"/>
      <c r="VD320" s="3"/>
      <c r="VE320" s="3"/>
      <c r="VF320" s="3"/>
      <c r="VG320" s="3"/>
      <c r="VH320" s="3"/>
      <c r="VI320" s="3"/>
      <c r="VJ320" s="3"/>
      <c r="VK320" s="3"/>
      <c r="VL320" s="3"/>
      <c r="VM320" s="3"/>
      <c r="VN320" s="3"/>
      <c r="VO320" s="3"/>
      <c r="VP320" s="3"/>
      <c r="VQ320" s="3"/>
      <c r="VR320" s="3"/>
      <c r="VS320" s="3"/>
      <c r="VT320" s="3"/>
      <c r="VU320" s="3"/>
      <c r="VV320" s="3"/>
      <c r="VW320" s="3"/>
      <c r="VX320" s="3"/>
      <c r="VY320" s="3"/>
      <c r="VZ320" s="3"/>
      <c r="WA320" s="3"/>
      <c r="WB320" s="3"/>
      <c r="WC320" s="3"/>
      <c r="WD320" s="3"/>
      <c r="WE320" s="3"/>
      <c r="WF320" s="3"/>
      <c r="WG320" s="3"/>
      <c r="WH320" s="3"/>
      <c r="WI320" s="3"/>
      <c r="WJ320" s="3"/>
      <c r="WK320" s="3"/>
      <c r="WL320" s="3"/>
      <c r="WM320" s="3"/>
      <c r="WN320" s="3"/>
      <c r="WO320" s="3"/>
      <c r="WP320" s="3"/>
      <c r="WQ320" s="3"/>
      <c r="WR320" s="3"/>
      <c r="WS320" s="3"/>
      <c r="WT320" s="3"/>
      <c r="WU320" s="3"/>
      <c r="WV320" s="3"/>
      <c r="WW320" s="3"/>
      <c r="WX320" s="3"/>
      <c r="WY320" s="3"/>
      <c r="WZ320" s="3"/>
      <c r="XA320" s="3"/>
      <c r="XB320" s="3"/>
      <c r="XC320" s="3"/>
      <c r="XD320" s="3"/>
      <c r="XE320" s="3"/>
      <c r="XF320" s="3"/>
      <c r="XG320" s="3"/>
      <c r="XH320" s="3"/>
      <c r="XI320" s="3"/>
      <c r="XJ320" s="3"/>
      <c r="XK320" s="3"/>
      <c r="XL320" s="3"/>
      <c r="XM320" s="3"/>
      <c r="XN320" s="3"/>
      <c r="XO320" s="3"/>
      <c r="XP320" s="3"/>
      <c r="XQ320" s="3"/>
      <c r="XR320" s="3"/>
      <c r="XS320" s="3"/>
      <c r="XT320" s="3"/>
      <c r="XU320" s="3"/>
      <c r="XV320" s="3"/>
      <c r="XW320" s="3"/>
      <c r="XX320" s="3"/>
      <c r="XY320" s="3"/>
      <c r="XZ320" s="3"/>
      <c r="YA320" s="3"/>
      <c r="YB320" s="3"/>
      <c r="YC320" s="3"/>
      <c r="YD320" s="3"/>
      <c r="YE320" s="3"/>
      <c r="YF320" s="3"/>
      <c r="YG320" s="3"/>
      <c r="YH320" s="3"/>
      <c r="YI320" s="3"/>
      <c r="YJ320" s="3"/>
      <c r="YK320" s="3"/>
      <c r="YL320" s="3"/>
      <c r="YM320" s="3"/>
      <c r="YN320" s="3"/>
      <c r="YO320" s="3"/>
      <c r="YP320" s="3"/>
      <c r="YQ320" s="3"/>
      <c r="YR320" s="3"/>
      <c r="YS320" s="3"/>
      <c r="YT320" s="3"/>
      <c r="YU320" s="3"/>
      <c r="YV320" s="3"/>
      <c r="YW320" s="3"/>
      <c r="YX320" s="3"/>
      <c r="YY320" s="3"/>
      <c r="YZ320" s="3"/>
      <c r="ZA320" s="3"/>
      <c r="ZB320" s="3"/>
      <c r="ZC320" s="3"/>
      <c r="ZD320" s="3"/>
      <c r="ZE320" s="3"/>
      <c r="ZF320" s="3"/>
      <c r="ZG320" s="3"/>
      <c r="ZH320" s="3"/>
      <c r="ZI320" s="3"/>
      <c r="ZJ320" s="3"/>
      <c r="ZK320" s="3"/>
      <c r="ZL320" s="3"/>
      <c r="ZM320" s="3"/>
      <c r="ZN320" s="3"/>
      <c r="ZO320" s="3"/>
      <c r="ZP320" s="3"/>
      <c r="ZQ320" s="3"/>
      <c r="ZR320" s="3"/>
      <c r="ZS320" s="3"/>
      <c r="ZT320" s="3"/>
      <c r="ZU320" s="3"/>
      <c r="ZV320" s="3"/>
      <c r="ZW320" s="3"/>
      <c r="ZX320" s="3"/>
      <c r="ZY320" s="3"/>
      <c r="ZZ320" s="3"/>
      <c r="AAA320" s="3"/>
      <c r="AAB320" s="3"/>
      <c r="AAC320" s="3"/>
      <c r="AAD320" s="3"/>
      <c r="AAE320" s="3"/>
      <c r="AAF320" s="3"/>
      <c r="AAG320" s="3"/>
      <c r="AAH320" s="3"/>
      <c r="AAI320" s="3"/>
      <c r="AAJ320" s="3"/>
      <c r="AAK320" s="3"/>
      <c r="AAL320" s="3"/>
      <c r="AAM320" s="3"/>
      <c r="AAN320" s="3"/>
      <c r="AAO320" s="3"/>
      <c r="AAP320" s="3"/>
      <c r="AAQ320" s="3"/>
      <c r="AAR320" s="3"/>
      <c r="AAS320" s="3"/>
      <c r="AAT320" s="3"/>
      <c r="AAU320" s="3"/>
      <c r="AAV320" s="3"/>
      <c r="AAW320" s="3"/>
      <c r="AAX320" s="3"/>
      <c r="AAY320" s="3"/>
      <c r="AAZ320" s="3"/>
      <c r="ABA320" s="3"/>
      <c r="ABB320" s="3"/>
      <c r="ABC320" s="3"/>
      <c r="ABD320" s="3"/>
      <c r="ABE320" s="3"/>
      <c r="ABF320" s="3"/>
      <c r="ABG320" s="3"/>
      <c r="ABH320" s="3"/>
      <c r="ABI320" s="3"/>
      <c r="ABJ320" s="3"/>
      <c r="ABK320" s="3"/>
      <c r="ABL320" s="3"/>
      <c r="ABM320" s="3"/>
      <c r="ABN320" s="3"/>
      <c r="ABO320" s="3"/>
      <c r="ABP320" s="3"/>
      <c r="ABQ320" s="3"/>
      <c r="ABR320" s="3"/>
      <c r="ABS320" s="3"/>
      <c r="ABT320" s="3"/>
      <c r="ABU320" s="3"/>
      <c r="ABV320" s="3"/>
      <c r="ABW320" s="3"/>
      <c r="ABX320" s="3"/>
      <c r="ABY320" s="3"/>
      <c r="ABZ320" s="3"/>
      <c r="ACA320" s="3"/>
      <c r="ACB320" s="3"/>
      <c r="ACC320" s="3"/>
      <c r="ACD320" s="3"/>
      <c r="ACE320" s="3"/>
      <c r="ACF320" s="3"/>
      <c r="ACG320" s="3"/>
      <c r="ACH320" s="3"/>
      <c r="ACI320" s="3"/>
      <c r="ACJ320" s="3"/>
      <c r="ACK320" s="3"/>
      <c r="ACL320" s="3"/>
      <c r="ACM320" s="3"/>
      <c r="ACN320" s="3"/>
      <c r="ACO320" s="3"/>
      <c r="ACP320" s="3"/>
      <c r="ACQ320" s="3"/>
      <c r="ACR320" s="3"/>
      <c r="ACS320" s="3"/>
      <c r="ACT320" s="3"/>
      <c r="ACU320" s="3"/>
      <c r="ACV320" s="3"/>
      <c r="ACW320" s="3"/>
      <c r="ACX320" s="3"/>
      <c r="ACY320" s="3"/>
      <c r="ACZ320" s="3"/>
      <c r="ADA320" s="3"/>
      <c r="ADB320" s="3"/>
      <c r="ADC320" s="3"/>
      <c r="ADD320" s="3"/>
      <c r="ADE320" s="3"/>
      <c r="ADF320" s="3"/>
      <c r="ADG320" s="3"/>
      <c r="ADH320" s="3"/>
      <c r="ADI320" s="3"/>
      <c r="ADJ320" s="3"/>
      <c r="ADK320" s="3"/>
      <c r="ADL320" s="3"/>
      <c r="ADM320" s="3"/>
      <c r="ADN320" s="3"/>
      <c r="ADO320" s="3"/>
      <c r="ADP320" s="3"/>
      <c r="ADQ320" s="3"/>
      <c r="ADR320" s="3"/>
      <c r="ADS320" s="3"/>
      <c r="ADT320" s="3"/>
      <c r="ADU320" s="3"/>
      <c r="ADV320" s="3"/>
      <c r="ADW320" s="3"/>
      <c r="ADX320" s="3"/>
      <c r="ADY320" s="3"/>
      <c r="ADZ320" s="3"/>
      <c r="AEA320" s="3"/>
      <c r="AEB320" s="3"/>
      <c r="AEC320" s="3"/>
      <c r="AED320" s="3"/>
      <c r="AEE320" s="3"/>
      <c r="AEF320" s="3"/>
      <c r="AEG320" s="3"/>
      <c r="AEH320" s="3"/>
      <c r="AEI320" s="3"/>
      <c r="AEJ320" s="3"/>
      <c r="AEK320" s="3"/>
      <c r="AEL320" s="3"/>
      <c r="AEM320" s="3"/>
      <c r="AEN320" s="3"/>
      <c r="AEO320" s="3"/>
      <c r="AEP320" s="3"/>
      <c r="AEQ320" s="3"/>
      <c r="AER320" s="3"/>
      <c r="AES320" s="3"/>
      <c r="AET320" s="3"/>
      <c r="AEU320" s="3"/>
      <c r="AEV320" s="3"/>
      <c r="AEW320" s="3"/>
      <c r="AEX320" s="3"/>
      <c r="AEY320" s="3"/>
      <c r="AEZ320" s="3"/>
      <c r="AFA320" s="3"/>
      <c r="AFB320" s="3"/>
      <c r="AFC320" s="3"/>
      <c r="AFD320" s="3"/>
      <c r="AFE320" s="3"/>
      <c r="AFF320" s="3"/>
      <c r="AFG320" s="3"/>
      <c r="AFH320" s="3"/>
      <c r="AFI320" s="3"/>
      <c r="AFJ320" s="3"/>
      <c r="AFK320" s="3"/>
      <c r="AFL320" s="3"/>
      <c r="AFM320" s="3"/>
      <c r="AFN320" s="3"/>
      <c r="AFO320" s="3"/>
      <c r="AFP320" s="3"/>
      <c r="AFQ320" s="3"/>
      <c r="AFR320" s="3"/>
      <c r="AFS320" s="3"/>
      <c r="AFT320" s="3"/>
      <c r="AFU320" s="3"/>
      <c r="AFV320" s="3"/>
      <c r="AFW320" s="3"/>
      <c r="AFX320" s="3"/>
      <c r="AFY320" s="3"/>
      <c r="AFZ320" s="3"/>
      <c r="AGA320" s="3"/>
      <c r="AGB320" s="3"/>
      <c r="AGC320" s="3"/>
      <c r="AGD320" s="3"/>
      <c r="AGE320" s="3"/>
      <c r="AGF320" s="3"/>
      <c r="AGG320" s="3"/>
      <c r="AGH320" s="3"/>
      <c r="AGI320" s="3"/>
      <c r="AGJ320" s="3"/>
      <c r="AGK320" s="3"/>
      <c r="AGL320" s="3"/>
      <c r="AGM320" s="3"/>
      <c r="AGN320" s="3"/>
      <c r="AGO320" s="3"/>
      <c r="AGP320" s="3"/>
      <c r="AGQ320" s="3"/>
      <c r="AGR320" s="3"/>
      <c r="AGS320" s="3"/>
      <c r="AGT320" s="3"/>
      <c r="AGU320" s="3"/>
      <c r="AGV320" s="3"/>
      <c r="AGW320" s="3"/>
      <c r="AGX320" s="3"/>
      <c r="AGY320" s="3"/>
      <c r="AGZ320" s="3"/>
      <c r="AHA320" s="3"/>
      <c r="AHB320" s="3"/>
      <c r="AHC320" s="3"/>
      <c r="AHD320" s="3"/>
      <c r="AHE320" s="3"/>
      <c r="AHF320" s="3"/>
      <c r="AHG320" s="3"/>
      <c r="AHH320" s="3"/>
      <c r="AHI320" s="3"/>
      <c r="AHJ320" s="3"/>
      <c r="AHK320" s="3"/>
      <c r="AHL320" s="3"/>
      <c r="AHM320" s="3"/>
      <c r="AHN320" s="3"/>
      <c r="AHO320" s="3"/>
      <c r="AHP320" s="3"/>
      <c r="AHQ320" s="3"/>
      <c r="AHR320" s="3"/>
      <c r="AHS320" s="3"/>
      <c r="AHT320" s="3"/>
      <c r="AHU320" s="3"/>
      <c r="AHV320" s="3"/>
      <c r="AHW320" s="3"/>
      <c r="AHX320" s="3"/>
      <c r="AHY320" s="3"/>
      <c r="AHZ320" s="3"/>
      <c r="AIA320" s="3"/>
      <c r="AIB320" s="3"/>
      <c r="AIC320" s="3"/>
      <c r="AID320" s="3"/>
      <c r="AIE320" s="3"/>
      <c r="AIF320" s="3"/>
      <c r="AIG320" s="3"/>
      <c r="AIH320" s="3"/>
      <c r="AII320" s="3"/>
      <c r="AIJ320" s="3"/>
      <c r="AIK320" s="3"/>
      <c r="AIL320" s="3"/>
      <c r="AIM320" s="3"/>
      <c r="AIN320" s="3"/>
      <c r="AIO320" s="3"/>
      <c r="AIP320" s="3"/>
      <c r="AIQ320" s="3"/>
      <c r="AIR320" s="3"/>
      <c r="AIS320" s="3"/>
      <c r="AIT320" s="3"/>
      <c r="AIU320" s="3"/>
      <c r="AIV320" s="3"/>
      <c r="AIW320" s="3"/>
      <c r="AIX320" s="3"/>
      <c r="AIY320" s="3"/>
      <c r="AIZ320" s="3"/>
      <c r="AJA320" s="3"/>
      <c r="AJB320" s="3"/>
      <c r="AJC320" s="3"/>
      <c r="AJD320" s="3"/>
      <c r="AJE320" s="3"/>
      <c r="AJF320" s="3"/>
      <c r="AJG320" s="3"/>
      <c r="AJH320" s="3"/>
      <c r="AJI320" s="3"/>
      <c r="AJJ320" s="3"/>
      <c r="AJK320" s="3"/>
      <c r="AJL320" s="3"/>
      <c r="AJM320" s="3"/>
      <c r="AJN320" s="3"/>
      <c r="AJO320" s="3"/>
      <c r="AJP320" s="3"/>
      <c r="AJQ320" s="3"/>
      <c r="AJR320" s="3"/>
      <c r="AJS320" s="3"/>
      <c r="AJT320" s="3"/>
      <c r="AJU320" s="3"/>
      <c r="AJV320" s="3"/>
      <c r="AJW320" s="3"/>
      <c r="AJX320" s="3"/>
      <c r="AJY320" s="3"/>
      <c r="AJZ320" s="3"/>
      <c r="AKA320" s="3"/>
      <c r="AKB320" s="3"/>
      <c r="AKC320" s="3"/>
      <c r="AKD320" s="3"/>
      <c r="AKE320" s="3"/>
      <c r="AKF320" s="3"/>
      <c r="AKG320" s="3"/>
      <c r="AKH320" s="3"/>
      <c r="AKI320" s="3"/>
      <c r="AKJ320" s="3"/>
      <c r="AKK320" s="3"/>
      <c r="AKL320" s="3"/>
      <c r="AKM320" s="3"/>
      <c r="AKN320" s="3"/>
      <c r="AKO320" s="3"/>
      <c r="AKP320" s="3"/>
      <c r="AKQ320" s="3"/>
      <c r="AKR320" s="3"/>
      <c r="AKS320" s="3"/>
      <c r="AKT320" s="3"/>
      <c r="AKU320" s="3"/>
      <c r="AKV320" s="3"/>
      <c r="AKW320" s="3"/>
      <c r="AKX320" s="3"/>
      <c r="AKY320" s="3"/>
      <c r="AKZ320" s="3"/>
      <c r="ALA320" s="3"/>
      <c r="ALB320" s="3"/>
      <c r="ALC320" s="3"/>
      <c r="ALD320" s="3"/>
      <c r="ALE320" s="3"/>
      <c r="ALF320" s="3"/>
      <c r="ALG320" s="3"/>
      <c r="ALH320" s="3"/>
      <c r="ALI320" s="3"/>
      <c r="ALJ320" s="3"/>
      <c r="ALK320" s="3"/>
      <c r="ALL320" s="3"/>
      <c r="ALM320" s="3"/>
      <c r="ALN320" s="3"/>
      <c r="ALO320" s="3"/>
      <c r="ALP320" s="3"/>
      <c r="ALQ320" s="3"/>
      <c r="ALR320" s="3"/>
      <c r="ALS320" s="3"/>
      <c r="ALT320" s="3"/>
      <c r="ALU320" s="3"/>
      <c r="ALV320" s="3"/>
      <c r="ALW320" s="3"/>
      <c r="ALX320" s="3"/>
      <c r="ALY320" s="3"/>
      <c r="ALZ320" s="3"/>
      <c r="AMA320" s="3"/>
      <c r="AMB320" s="3"/>
      <c r="AMC320" s="3"/>
      <c r="AMD320" s="3"/>
      <c r="AME320" s="3"/>
      <c r="AMF320" s="3"/>
      <c r="AMG320" s="3"/>
      <c r="AMH320" s="3"/>
      <c r="AMI320" s="3"/>
      <c r="AMJ320" s="3"/>
      <c r="AMK320" s="3"/>
      <c r="AML320" s="3"/>
      <c r="AMM320" s="3"/>
      <c r="AMN320" s="3"/>
      <c r="AMO320" s="3"/>
      <c r="AMP320" s="1"/>
    </row>
    <row r="321" spans="1:98" x14ac:dyDescent="0.2">
      <c r="A321" s="3" t="str">
        <f>CONCATENATE(B321,"_",C321)</f>
        <v>smo_human_5V56</v>
      </c>
      <c r="B321" s="3" t="s">
        <v>33</v>
      </c>
      <c r="C321" s="3" t="s">
        <v>1490</v>
      </c>
      <c r="D321" s="3" t="str">
        <f>IFERROR(MID(VLOOKUP($B321,Seqs!$A:$B,2,0),E321,1),"")</f>
        <v>T</v>
      </c>
      <c r="E321" s="3">
        <v>223</v>
      </c>
      <c r="F321" s="3" t="str">
        <f>IFERROR(MID(VLOOKUP($B321,Seqs!$A:$B,2,0),G321,1),"")</f>
        <v>D</v>
      </c>
      <c r="G321" s="3">
        <v>255</v>
      </c>
      <c r="H321" s="3" t="str">
        <f>IFERROR(MID(VLOOKUP($B321,Seqs!$A:$B,2,0),I321,1),"")</f>
        <v>W</v>
      </c>
      <c r="I321" s="23">
        <v>256</v>
      </c>
      <c r="J321" s="3" t="str">
        <f>IFERROR(MID(VLOOKUP($B321,Seqs!$A:$B,2,0),K321,1),"")</f>
        <v>N</v>
      </c>
      <c r="K321" s="23">
        <v>260</v>
      </c>
      <c r="L321" s="3" t="str">
        <f>IFERROR(MID(VLOOKUP($B321,Seqs!$A:$B,2,0),M321,1),"")</f>
        <v>R</v>
      </c>
      <c r="M321" s="3">
        <v>261</v>
      </c>
      <c r="N321" s="3" t="str">
        <f>IFERROR(MID(VLOOKUP($B321,Seqs!$A:$B,2,0),O321,1),"")</f>
        <v>F</v>
      </c>
      <c r="O321" s="3">
        <v>285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L</v>
      </c>
      <c r="U321" s="3">
        <v>312</v>
      </c>
      <c r="V321" s="3" t="str">
        <f>IFERROR(MID(VLOOKUP($B321,Seqs!$A:$B,2,0),W321,1),"")</f>
        <v>S</v>
      </c>
      <c r="W321" s="3">
        <v>342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K</v>
      </c>
      <c r="AC321" s="3">
        <v>356</v>
      </c>
      <c r="AD321" s="3" t="str">
        <f>IFERROR(MID(VLOOKUP($B321,Seqs!$A:$B,2,0),AE321,1),"")</f>
        <v>V</v>
      </c>
      <c r="AE321" s="3">
        <v>378</v>
      </c>
      <c r="AF321" s="3" t="str">
        <f>IFERROR(MID(VLOOKUP($B321,Seqs!$A:$B,2,0),AG321,1),"")</f>
        <v>C</v>
      </c>
      <c r="AG321" s="3">
        <v>390</v>
      </c>
      <c r="AH321" s="3" t="str">
        <f>IFERROR(MID(VLOOKUP($B321,Seqs!$A:$B,2,0),AI321,1),"")</f>
        <v>V</v>
      </c>
      <c r="AI321" s="3">
        <v>392</v>
      </c>
      <c r="AJ321" s="3" t="str">
        <f>IFERROR(MID(VLOOKUP($B321,Seqs!$A:$B,2,0),AK321,1),"")</f>
        <v>N</v>
      </c>
      <c r="AK321" s="3">
        <v>396</v>
      </c>
      <c r="AL321" s="3" t="str">
        <f>IFERROR(MID(VLOOKUP($B321,Seqs!$A:$B,2,0),AM321,1),"")</f>
        <v>I</v>
      </c>
      <c r="AM321" s="3">
        <v>429</v>
      </c>
      <c r="AN321" s="3" t="str">
        <f>IFERROR(MID(VLOOKUP($B321,Seqs!$A:$B,2,0),AO321,1),"")</f>
        <v>N</v>
      </c>
      <c r="AO321" s="3">
        <v>446</v>
      </c>
      <c r="AP321" s="3" t="str">
        <f>IFERROR(MID(VLOOKUP($B321,Seqs!$A:$B,2,0),AQ321,1),"")</f>
        <v>N</v>
      </c>
      <c r="AQ321" s="3">
        <v>493</v>
      </c>
      <c r="AR321" s="3" t="str">
        <f>IFERROR(MID(VLOOKUP($B321,Seqs!$A:$B,2,0),AS321,1),"")</f>
        <v>S</v>
      </c>
      <c r="AS321" s="3">
        <v>514</v>
      </c>
      <c r="AT321" s="3" t="str">
        <f>IFERROR(MID(VLOOKUP($B321,Seqs!$A:$B,2,0),AU321,1),"")</f>
        <v>W</v>
      </c>
      <c r="AU321" s="3">
        <v>537</v>
      </c>
      <c r="AV321" s="3" t="str">
        <f>IFERROR(MID(VLOOKUP($B321,Seqs!$A:$B,2,0),AW321,1),"")</f>
        <v>T</v>
      </c>
      <c r="AW321" s="3">
        <v>538</v>
      </c>
      <c r="AX321" s="3" t="str">
        <f>IFERROR(MID(VLOOKUP($B321,Seqs!$A:$B,2,0),AY321,1),"")</f>
        <v>T</v>
      </c>
      <c r="AY321" s="3">
        <v>553</v>
      </c>
      <c r="AZ321" s="78" t="str">
        <f>VLOOKUP(B321,Classification!A:D,2,0)</f>
        <v>F</v>
      </c>
      <c r="BA321" s="94" t="str">
        <f>VLOOKUP(B321,Classification!A:D,4,0)</f>
        <v>Frizzled</v>
      </c>
      <c r="BB321" s="92" t="b">
        <f>AND(E321&lt;G321,OR(G321&lt;I321,I321="-"),OR(I321&lt;K321,I321="-"),OR(K321&lt;M321,K321="-"),M321&lt;O321,OR(O321&lt;Q321,Q321="-"),OR(Q321&lt;S321,Q321="-"),OR(S321&lt;U321,S321="-"),U321&lt;W321,OR(W321&lt;Y321,Y321="-"),OR(Y321&lt;AA321,Y321="-"),OR(AA321&lt;AC321,AA321="-"),AC321&lt;AE321,OR(AE321&lt;AG321,AG321="-"),OR(AG321&lt;AI321,AG321="-"),OR(AI321&lt;AK321,AI321="-"),AK321&lt;AM321,AM321&lt;AO321,AO321&lt;AQ321,AQ321&lt;AS321,AS321&lt;AU321,OR(AU321&lt;AW321,AW321="-"),OR(AW321&lt;AY321,AW321="-"))</f>
        <v>1</v>
      </c>
      <c r="BC321" s="23">
        <f>_xlfn.AGGREGATE(9,6,CH321:CS321)-_xlfn.AGGREGATE(9,6,BV321:CG321)+12</f>
        <v>244</v>
      </c>
      <c r="BD321" s="74" t="s">
        <v>23</v>
      </c>
      <c r="BE321" s="3" t="s">
        <v>1381</v>
      </c>
      <c r="BF321" s="119">
        <v>2.9</v>
      </c>
      <c r="BG321" s="49" t="s">
        <v>1287</v>
      </c>
      <c r="BH321" s="49" t="s">
        <v>1287</v>
      </c>
      <c r="BJ321" s="75" t="s">
        <v>1293</v>
      </c>
      <c r="BK321" s="57" t="s">
        <v>1293</v>
      </c>
      <c r="BL321" s="57" t="s">
        <v>1293</v>
      </c>
      <c r="BM321" s="57" t="s">
        <v>1293</v>
      </c>
      <c r="BN321" s="57" t="s">
        <v>1293</v>
      </c>
      <c r="BO321" s="57" t="s">
        <v>1293</v>
      </c>
      <c r="BP321" s="57" t="s">
        <v>1293</v>
      </c>
      <c r="BQ321" s="57" t="s">
        <v>1293</v>
      </c>
      <c r="BR321" s="57" t="s">
        <v>1293</v>
      </c>
      <c r="BS321" s="57" t="s">
        <v>1293</v>
      </c>
      <c r="BT321" s="57" t="s">
        <v>1293</v>
      </c>
      <c r="BU321" s="57" t="s">
        <v>1293</v>
      </c>
      <c r="BV321" s="75">
        <f>E321</f>
        <v>223</v>
      </c>
      <c r="BW321" s="71">
        <f>I321</f>
        <v>256</v>
      </c>
      <c r="BX321" s="72">
        <f>M321</f>
        <v>261</v>
      </c>
      <c r="BY321" s="71" t="str">
        <f>Q321</f>
        <v>-</v>
      </c>
      <c r="BZ321" s="72">
        <f>U321</f>
        <v>312</v>
      </c>
      <c r="CA321" s="71" t="str">
        <f>Y321</f>
        <v>-</v>
      </c>
      <c r="CB321" s="72">
        <f>AC321</f>
        <v>356</v>
      </c>
      <c r="CC321" s="71">
        <f>AG321</f>
        <v>390</v>
      </c>
      <c r="CD321" s="72">
        <f>AK321</f>
        <v>396</v>
      </c>
      <c r="CE321" s="71">
        <f>AO321</f>
        <v>446</v>
      </c>
      <c r="CF321" s="72">
        <f>AS321</f>
        <v>514</v>
      </c>
      <c r="CG321" s="71">
        <f>AW321</f>
        <v>538</v>
      </c>
      <c r="CH321" s="75">
        <f>G321</f>
        <v>255</v>
      </c>
      <c r="CI321" s="71">
        <f>K321</f>
        <v>260</v>
      </c>
      <c r="CJ321" s="72">
        <f>O321</f>
        <v>285</v>
      </c>
      <c r="CK321" s="72" t="str">
        <f>S321</f>
        <v>-</v>
      </c>
      <c r="CL321" s="72">
        <f>W321</f>
        <v>342</v>
      </c>
      <c r="CM321" s="72" t="str">
        <f>AA321</f>
        <v>-</v>
      </c>
      <c r="CN321" s="72">
        <f>AE321</f>
        <v>378</v>
      </c>
      <c r="CO321" s="72">
        <f>AI321</f>
        <v>392</v>
      </c>
      <c r="CP321" s="72">
        <f>AM321</f>
        <v>429</v>
      </c>
      <c r="CQ321" s="72">
        <f>AQ321</f>
        <v>493</v>
      </c>
      <c r="CR321" s="72">
        <f>AU321</f>
        <v>537</v>
      </c>
      <c r="CS321" s="72">
        <f>AY321</f>
        <v>553</v>
      </c>
      <c r="CT321" s="23">
        <f>M321-K321</f>
        <v>1</v>
      </c>
    </row>
    <row r="322" spans="1:98" x14ac:dyDescent="0.2">
      <c r="A322" s="3" t="str">
        <f>CONCATENATE(B322,"_",C322)</f>
        <v>smo_human_5V57</v>
      </c>
      <c r="B322" s="3" t="s">
        <v>33</v>
      </c>
      <c r="C322" s="3" t="s">
        <v>1491</v>
      </c>
      <c r="D322" s="3" t="str">
        <f>IFERROR(MID(VLOOKUP($B322,Seqs!$A:$B,2,0),E322,1),"")</f>
        <v>T</v>
      </c>
      <c r="E322" s="3">
        <v>223</v>
      </c>
      <c r="F322" s="3" t="str">
        <f>IFERROR(MID(VLOOKUP($B322,Seqs!$A:$B,2,0),G322,1),"")</f>
        <v>D</v>
      </c>
      <c r="G322" s="3">
        <v>255</v>
      </c>
      <c r="H322" s="3" t="str">
        <f>IFERROR(MID(VLOOKUP($B322,Seqs!$A:$B,2,0),I322,1),"")</f>
        <v>W</v>
      </c>
      <c r="I322" s="23">
        <v>256</v>
      </c>
      <c r="J322" s="3" t="str">
        <f>IFERROR(MID(VLOOKUP($B322,Seqs!$A:$B,2,0),K322,1),"")</f>
        <v>N</v>
      </c>
      <c r="K322" s="23">
        <v>260</v>
      </c>
      <c r="L322" s="3" t="str">
        <f>IFERROR(MID(VLOOKUP($B322,Seqs!$A:$B,2,0),M322,1),"")</f>
        <v>R</v>
      </c>
      <c r="M322" s="3">
        <v>261</v>
      </c>
      <c r="N322" s="3" t="str">
        <f>IFERROR(MID(VLOOKUP($B322,Seqs!$A:$B,2,0),O322,1),"")</f>
        <v>F</v>
      </c>
      <c r="O322" s="3">
        <v>285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L</v>
      </c>
      <c r="U322" s="3">
        <v>312</v>
      </c>
      <c r="V322" s="3" t="str">
        <f>IFERROR(MID(VLOOKUP($B322,Seqs!$A:$B,2,0),W322,1),"")</f>
        <v>S</v>
      </c>
      <c r="W322" s="3">
        <v>342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T</v>
      </c>
      <c r="AC322" s="3">
        <v>357</v>
      </c>
      <c r="AD322" s="3" t="str">
        <f>IFERROR(MID(VLOOKUP($B322,Seqs!$A:$B,2,0),AE322,1),"")</f>
        <v>V</v>
      </c>
      <c r="AE322" s="3">
        <v>378</v>
      </c>
      <c r="AF322" s="3" t="str">
        <f>IFERROR(MID(VLOOKUP($B322,Seqs!$A:$B,2,0),AG322,1),"")</f>
        <v>C</v>
      </c>
      <c r="AG322" s="3">
        <v>390</v>
      </c>
      <c r="AH322" s="3" t="str">
        <f>IFERROR(MID(VLOOKUP($B322,Seqs!$A:$B,2,0),AI322,1),"")</f>
        <v>V</v>
      </c>
      <c r="AI322" s="3">
        <v>392</v>
      </c>
      <c r="AJ322" s="3" t="str">
        <f>IFERROR(MID(VLOOKUP($B322,Seqs!$A:$B,2,0),AK322,1),"")</f>
        <v>N</v>
      </c>
      <c r="AK322" s="3">
        <v>396</v>
      </c>
      <c r="AL322" s="3" t="str">
        <f>IFERROR(MID(VLOOKUP($B322,Seqs!$A:$B,2,0),AM322,1),"")</f>
        <v>N</v>
      </c>
      <c r="AM322" s="3">
        <v>432</v>
      </c>
      <c r="AN322" s="3" t="str">
        <f>IFERROR(MID(VLOOKUP($B322,Seqs!$A:$B,2,0),AO322,1),"")</f>
        <v>E</v>
      </c>
      <c r="AO322" s="3">
        <v>447</v>
      </c>
      <c r="AP322" s="3" t="str">
        <f>IFERROR(MID(VLOOKUP($B322,Seqs!$A:$B,2,0),AQ322,1),"")</f>
        <v>N</v>
      </c>
      <c r="AQ322" s="3">
        <v>493</v>
      </c>
      <c r="AR322" s="3" t="str">
        <f>IFERROR(MID(VLOOKUP($B322,Seqs!$A:$B,2,0),AS322,1),"")</f>
        <v>S</v>
      </c>
      <c r="AS322" s="3">
        <v>514</v>
      </c>
      <c r="AT322" s="3" t="str">
        <f>IFERROR(MID(VLOOKUP($B322,Seqs!$A:$B,2,0),AU322,1),"")</f>
        <v>W</v>
      </c>
      <c r="AU322" s="3">
        <v>537</v>
      </c>
      <c r="AV322" s="3" t="str">
        <f>IFERROR(MID(VLOOKUP($B322,Seqs!$A:$B,2,0),AW322,1),"")</f>
        <v>T</v>
      </c>
      <c r="AW322" s="3">
        <v>538</v>
      </c>
      <c r="AX322" s="3" t="str">
        <f>IFERROR(MID(VLOOKUP($B322,Seqs!$A:$B,2,0),AY322,1),"")</f>
        <v>G</v>
      </c>
      <c r="AY322" s="3">
        <v>554</v>
      </c>
      <c r="AZ322" s="78" t="str">
        <f>VLOOKUP(B322,Classification!A:D,2,0)</f>
        <v>F</v>
      </c>
      <c r="BA322" s="94" t="str">
        <f>VLOOKUP(B322,Classification!A:D,4,0)</f>
        <v>Frizzled</v>
      </c>
      <c r="BB322" s="92" t="b">
        <f>AND(E322&lt;G322,OR(G322&lt;I322,I322="-"),OR(I322&lt;K322,I322="-"),OR(K322&lt;M322,K322="-"),M322&lt;O322,OR(O322&lt;Q322,Q322="-"),OR(Q322&lt;S322,Q322="-"),OR(S322&lt;U322,S322="-"),U322&lt;W322,OR(W322&lt;Y322,Y322="-"),OR(Y322&lt;AA322,Y322="-"),OR(AA322&lt;AC322,AA322="-"),AC322&lt;AE322,OR(AE322&lt;AG322,AG322="-"),OR(AG322&lt;AI322,AG322="-"),OR(AI322&lt;AK322,AI322="-"),AK322&lt;AM322,AM322&lt;AO322,AO322&lt;AQ322,AQ322&lt;AS322,AS322&lt;AU322,OR(AU322&lt;AW322,AW322="-"),OR(AW322&lt;AY322,AW322="-"))</f>
        <v>1</v>
      </c>
      <c r="BC322" s="23">
        <f>_xlfn.AGGREGATE(9,6,CH322:CS322)-_xlfn.AGGREGATE(9,6,BV322:CG322)+12</f>
        <v>246</v>
      </c>
      <c r="BD322" s="74" t="s">
        <v>23</v>
      </c>
      <c r="BE322" s="3" t="s">
        <v>1381</v>
      </c>
      <c r="BF322" s="119">
        <v>3</v>
      </c>
      <c r="BG322" s="49" t="s">
        <v>1</v>
      </c>
      <c r="BH322" s="49" t="s">
        <v>1</v>
      </c>
      <c r="BJ322" s="75" t="s">
        <v>1293</v>
      </c>
      <c r="BK322" s="57" t="s">
        <v>1293</v>
      </c>
      <c r="BL322" s="57" t="s">
        <v>1293</v>
      </c>
      <c r="BM322" s="57" t="s">
        <v>1293</v>
      </c>
      <c r="BN322" s="57" t="s">
        <v>1293</v>
      </c>
      <c r="BO322" s="57" t="s">
        <v>1293</v>
      </c>
      <c r="BP322" s="57" t="s">
        <v>1293</v>
      </c>
      <c r="BQ322" s="57" t="s">
        <v>1293</v>
      </c>
      <c r="BR322" s="57" t="s">
        <v>1293</v>
      </c>
      <c r="BS322" s="57" t="s">
        <v>1293</v>
      </c>
      <c r="BT322" s="57" t="s">
        <v>1293</v>
      </c>
      <c r="BU322" s="57" t="s">
        <v>1293</v>
      </c>
      <c r="BV322" s="75">
        <f>E322</f>
        <v>223</v>
      </c>
      <c r="BW322" s="71">
        <f>I322</f>
        <v>256</v>
      </c>
      <c r="BX322" s="72">
        <f>M322</f>
        <v>261</v>
      </c>
      <c r="BY322" s="71" t="str">
        <f>Q322</f>
        <v>-</v>
      </c>
      <c r="BZ322" s="72">
        <f>U322</f>
        <v>312</v>
      </c>
      <c r="CA322" s="71" t="str">
        <f>Y322</f>
        <v>-</v>
      </c>
      <c r="CB322" s="72">
        <f>AC322</f>
        <v>357</v>
      </c>
      <c r="CC322" s="71">
        <f>AG322</f>
        <v>390</v>
      </c>
      <c r="CD322" s="72">
        <f>AK322</f>
        <v>396</v>
      </c>
      <c r="CE322" s="71">
        <f>AO322</f>
        <v>447</v>
      </c>
      <c r="CF322" s="72">
        <f>AS322</f>
        <v>514</v>
      </c>
      <c r="CG322" s="71">
        <f>AW322</f>
        <v>538</v>
      </c>
      <c r="CH322" s="75">
        <f>G322</f>
        <v>255</v>
      </c>
      <c r="CI322" s="71">
        <f>K322</f>
        <v>260</v>
      </c>
      <c r="CJ322" s="72">
        <f>O322</f>
        <v>285</v>
      </c>
      <c r="CK322" s="72" t="str">
        <f>S322</f>
        <v>-</v>
      </c>
      <c r="CL322" s="72">
        <f>W322</f>
        <v>342</v>
      </c>
      <c r="CM322" s="72" t="str">
        <f>AA322</f>
        <v>-</v>
      </c>
      <c r="CN322" s="72">
        <f>AE322</f>
        <v>378</v>
      </c>
      <c r="CO322" s="72">
        <f>AI322</f>
        <v>392</v>
      </c>
      <c r="CP322" s="72">
        <f>AM322</f>
        <v>432</v>
      </c>
      <c r="CQ322" s="72">
        <f>AQ322</f>
        <v>493</v>
      </c>
      <c r="CR322" s="72">
        <f>AU322</f>
        <v>537</v>
      </c>
      <c r="CS322" s="72">
        <f>AY322</f>
        <v>554</v>
      </c>
      <c r="CT322" s="23">
        <f>M322-K322</f>
        <v>1</v>
      </c>
    </row>
    <row r="323" spans="1:98" x14ac:dyDescent="0.2">
      <c r="A323" s="9" t="str">
        <f>CONCATENATE(B323,"_",C323)</f>
        <v>q98sw5_xenla__wt</v>
      </c>
      <c r="B323" s="9" t="s">
        <v>1510</v>
      </c>
      <c r="C323" s="9" t="s">
        <v>100</v>
      </c>
      <c r="D323" s="9" t="str">
        <f>IFERROR(MID(VLOOKUP($B323,Seqs!$A:$B,2,0),E323,1),"")</f>
        <v>T</v>
      </c>
      <c r="E323" s="9">
        <v>196</v>
      </c>
      <c r="F323" s="9" t="str">
        <f>IFERROR(MID(VLOOKUP($B323,Seqs!$A:$B,2,0),G323,1),"")</f>
        <v>D</v>
      </c>
      <c r="G323" s="9">
        <v>228</v>
      </c>
      <c r="H323" s="9" t="str">
        <f>IFERROR(MID(VLOOKUP($B323,Seqs!$A:$B,2,0),I323,1),"")</f>
        <v>W</v>
      </c>
      <c r="I323" s="109">
        <v>229</v>
      </c>
      <c r="J323" s="9" t="str">
        <f>IFERROR(MID(VLOOKUP($B323,Seqs!$A:$B,2,0),K323,1),"")</f>
        <v>N</v>
      </c>
      <c r="K323" s="109">
        <v>233</v>
      </c>
      <c r="L323" s="9" t="str">
        <f>IFERROR(MID(VLOOKUP($B323,Seqs!$A:$B,2,0),M323,1),"")</f>
        <v>R</v>
      </c>
      <c r="M323" s="9">
        <v>234</v>
      </c>
      <c r="N323" s="9" t="str">
        <f>IFERROR(MID(VLOOKUP($B323,Seqs!$A:$B,2,0),O323,1),"")</f>
        <v>A</v>
      </c>
      <c r="O323" s="9">
        <v>256</v>
      </c>
      <c r="P323" s="9" t="str">
        <f>IFERROR(MID(VLOOKUP($B323,Seqs!$A:$B,2,0),Q323,1),"")</f>
        <v/>
      </c>
      <c r="Q323" s="9" t="s">
        <v>23</v>
      </c>
      <c r="R323" s="9" t="str">
        <f>IFERROR(MID(VLOOKUP($B323,Seqs!$A:$B,2,0),S323,1),"")</f>
        <v/>
      </c>
      <c r="S323" s="9" t="s">
        <v>23</v>
      </c>
      <c r="T323" s="9" t="str">
        <f>IFERROR(MID(VLOOKUP($B323,Seqs!$A:$B,2,0),U323,1),"")</f>
        <v>L</v>
      </c>
      <c r="U323" s="9">
        <v>285</v>
      </c>
      <c r="V323" s="9" t="str">
        <f>IFERROR(MID(VLOOKUP($B323,Seqs!$A:$B,2,0),W323,1),"")</f>
        <v>T</v>
      </c>
      <c r="W323" s="9">
        <v>321</v>
      </c>
      <c r="X323" s="9" t="str">
        <f>IFERROR(MID(VLOOKUP($B323,Seqs!$A:$B,2,0),Y323,1),"")</f>
        <v/>
      </c>
      <c r="Y323" s="9" t="s">
        <v>23</v>
      </c>
      <c r="Z323" s="9" t="str">
        <f>IFERROR(MID(VLOOKUP($B323,Seqs!$A:$B,2,0),AA323,1),"")</f>
        <v/>
      </c>
      <c r="AA323" s="9" t="s">
        <v>23</v>
      </c>
      <c r="AB323" s="9" t="str">
        <f>IFERROR(MID(VLOOKUP($B323,Seqs!$A:$B,2,0),AC323,1),"")</f>
        <v>L</v>
      </c>
      <c r="AC323" s="9">
        <v>326</v>
      </c>
      <c r="AD323" s="9" t="str">
        <f>IFERROR(MID(VLOOKUP($B323,Seqs!$A:$B,2,0),AE323,1),"")</f>
        <v>V</v>
      </c>
      <c r="AE323" s="9">
        <v>351</v>
      </c>
      <c r="AF323" s="9" t="str">
        <f>IFERROR(MID(VLOOKUP($B323,Seqs!$A:$B,2,0),AG323,1),"")</f>
        <v>C</v>
      </c>
      <c r="AG323" s="9">
        <v>363</v>
      </c>
      <c r="AH323" s="9" t="str">
        <f>IFERROR(MID(VLOOKUP($B323,Seqs!$A:$B,2,0),AI323,1),"")</f>
        <v>V</v>
      </c>
      <c r="AI323" s="9">
        <v>365</v>
      </c>
      <c r="AJ323" s="9" t="str">
        <f>IFERROR(MID(VLOOKUP($B323,Seqs!$A:$B,2,0),AK323,1),"")</f>
        <v>N</v>
      </c>
      <c r="AK323" s="9">
        <v>369</v>
      </c>
      <c r="AL323" s="9" t="str">
        <f>IFERROR(MID(VLOOKUP($B323,Seqs!$A:$B,2,0),AM323,1),"")</f>
        <v>H</v>
      </c>
      <c r="AM323" s="9">
        <v>406</v>
      </c>
      <c r="AN323" s="9" t="str">
        <f>IFERROR(MID(VLOOKUP($B323,Seqs!$A:$B,2,0),AO323,1),"")</f>
        <v>A</v>
      </c>
      <c r="AO323" s="9">
        <v>415</v>
      </c>
      <c r="AP323" s="9" t="str">
        <f>IFERROR(MID(VLOOKUP($B323,Seqs!$A:$B,2,0),AQ323,1),"")</f>
        <v>Q</v>
      </c>
      <c r="AQ323" s="9">
        <v>472</v>
      </c>
      <c r="AR323" s="9" t="str">
        <f>IFERROR(MID(VLOOKUP($B323,Seqs!$A:$B,2,0),AS323,1),"")</f>
        <v>S</v>
      </c>
      <c r="AS323" s="9">
        <v>487</v>
      </c>
      <c r="AT323" s="9" t="str">
        <f>IFERROR(MID(VLOOKUP($B323,Seqs!$A:$B,2,0),AU323,1),"")</f>
        <v>W</v>
      </c>
      <c r="AU323" s="9">
        <v>510</v>
      </c>
      <c r="AV323" s="9" t="str">
        <f>IFERROR(MID(VLOOKUP($B323,Seqs!$A:$B,2,0),AW323,1),"")</f>
        <v>T</v>
      </c>
      <c r="AW323" s="9">
        <v>511</v>
      </c>
      <c r="AX323" s="9" t="str">
        <f>IFERROR(MID(VLOOKUP($B323,Seqs!$A:$B,2,0),AY323,1),"")</f>
        <v>L</v>
      </c>
      <c r="AY323" s="9">
        <v>526</v>
      </c>
      <c r="AZ323" s="124" t="str">
        <f>VLOOKUP(B323,Classification!A:D,2,0)</f>
        <v>F</v>
      </c>
      <c r="BA323" s="98" t="str">
        <f>VLOOKUP(B323,Classification!A:D,4,0)</f>
        <v>Frizzled</v>
      </c>
      <c r="BB323" s="125" t="b">
        <f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109">
        <f>_xlfn.AGGREGATE(9,6,CH323:CS323)-_xlfn.AGGREGATE(9,6,BV323:CG323)+12</f>
        <v>265</v>
      </c>
      <c r="BD323" s="126" t="s">
        <v>23</v>
      </c>
      <c r="BE323" s="9" t="s">
        <v>1381</v>
      </c>
      <c r="BF323" s="120" t="s">
        <v>23</v>
      </c>
      <c r="BG323" s="51" t="s">
        <v>1</v>
      </c>
      <c r="BH323" s="51" t="s">
        <v>1</v>
      </c>
      <c r="BI323" s="9"/>
      <c r="BJ323" s="127" t="s">
        <v>1293</v>
      </c>
      <c r="BK323" s="112" t="s">
        <v>1293</v>
      </c>
      <c r="BL323" s="112" t="s">
        <v>1293</v>
      </c>
      <c r="BM323" s="112" t="s">
        <v>1293</v>
      </c>
      <c r="BN323" s="112" t="s">
        <v>1293</v>
      </c>
      <c r="BO323" s="112" t="s">
        <v>1293</v>
      </c>
      <c r="BP323" s="112" t="s">
        <v>1293</v>
      </c>
      <c r="BQ323" s="112" t="s">
        <v>1293</v>
      </c>
      <c r="BR323" s="112" t="s">
        <v>1293</v>
      </c>
      <c r="BS323" s="112" t="s">
        <v>1293</v>
      </c>
      <c r="BT323" s="112" t="s">
        <v>1293</v>
      </c>
      <c r="BU323" s="112" t="s">
        <v>1293</v>
      </c>
      <c r="BV323" s="127">
        <f>E323</f>
        <v>196</v>
      </c>
      <c r="BW323" s="113">
        <f>I323</f>
        <v>229</v>
      </c>
      <c r="BX323" s="114">
        <f>M323</f>
        <v>234</v>
      </c>
      <c r="BY323" s="113" t="str">
        <f>Q323</f>
        <v>-</v>
      </c>
      <c r="BZ323" s="114">
        <f>U323</f>
        <v>285</v>
      </c>
      <c r="CA323" s="113" t="str">
        <f>Y323</f>
        <v>-</v>
      </c>
      <c r="CB323" s="114">
        <f>AC323</f>
        <v>326</v>
      </c>
      <c r="CC323" s="113">
        <f>AG323</f>
        <v>363</v>
      </c>
      <c r="CD323" s="114">
        <f>AK323</f>
        <v>369</v>
      </c>
      <c r="CE323" s="113">
        <f>AO323</f>
        <v>415</v>
      </c>
      <c r="CF323" s="114">
        <f>AS323</f>
        <v>487</v>
      </c>
      <c r="CG323" s="113">
        <f>AW323</f>
        <v>511</v>
      </c>
      <c r="CH323" s="127">
        <f>G323</f>
        <v>228</v>
      </c>
      <c r="CI323" s="113">
        <f>K323</f>
        <v>233</v>
      </c>
      <c r="CJ323" s="114">
        <f>O323</f>
        <v>256</v>
      </c>
      <c r="CK323" s="114" t="str">
        <f>S323</f>
        <v>-</v>
      </c>
      <c r="CL323" s="114">
        <f>W323</f>
        <v>321</v>
      </c>
      <c r="CM323" s="114" t="str">
        <f>AA323</f>
        <v>-</v>
      </c>
      <c r="CN323" s="114">
        <f>AE323</f>
        <v>351</v>
      </c>
      <c r="CO323" s="114">
        <f>AI323</f>
        <v>365</v>
      </c>
      <c r="CP323" s="114">
        <f>AM323</f>
        <v>406</v>
      </c>
      <c r="CQ323" s="114">
        <f>AQ323</f>
        <v>472</v>
      </c>
      <c r="CR323" s="114">
        <f>AU323</f>
        <v>510</v>
      </c>
      <c r="CS323" s="114">
        <f>AY323</f>
        <v>526</v>
      </c>
      <c r="CT323" s="109">
        <f>M323-K323</f>
        <v>1</v>
      </c>
    </row>
    <row r="324" spans="1:98" x14ac:dyDescent="0.2">
      <c r="A324" s="9" t="str">
        <f>CONCATENATE(B324,"_",C324)</f>
        <v>q98sw5_xenla_6D32</v>
      </c>
      <c r="B324" s="9" t="s">
        <v>1510</v>
      </c>
      <c r="C324" s="9" t="s">
        <v>1509</v>
      </c>
      <c r="D324" s="9" t="str">
        <f>IFERROR(MID(VLOOKUP($B324,Seqs!$A:$B,2,0),E324,1),"")</f>
        <v>T</v>
      </c>
      <c r="E324" s="9">
        <v>196</v>
      </c>
      <c r="F324" s="9" t="str">
        <f>IFERROR(MID(VLOOKUP($B324,Seqs!$A:$B,2,0),G324,1),"")</f>
        <v>D</v>
      </c>
      <c r="G324" s="9">
        <v>228</v>
      </c>
      <c r="H324" s="9" t="str">
        <f>IFERROR(MID(VLOOKUP($B324,Seqs!$A:$B,2,0),I324,1),"")</f>
        <v>W</v>
      </c>
      <c r="I324" s="109">
        <v>229</v>
      </c>
      <c r="J324" s="9" t="str">
        <f>IFERROR(MID(VLOOKUP($B324,Seqs!$A:$B,2,0),K324,1),"")</f>
        <v>N</v>
      </c>
      <c r="K324" s="109">
        <v>233</v>
      </c>
      <c r="L324" s="9" t="str">
        <f>IFERROR(MID(VLOOKUP($B324,Seqs!$A:$B,2,0),M324,1),"")</f>
        <v>R</v>
      </c>
      <c r="M324" s="9">
        <v>234</v>
      </c>
      <c r="N324" s="9" t="str">
        <f>IFERROR(MID(VLOOKUP($B324,Seqs!$A:$B,2,0),O324,1),"")</f>
        <v>A</v>
      </c>
      <c r="O324" s="9">
        <v>256</v>
      </c>
      <c r="P324" s="9" t="str">
        <f>IFERROR(MID(VLOOKUP($B324,Seqs!$A:$B,2,0),Q324,1),"")</f>
        <v/>
      </c>
      <c r="Q324" s="9" t="s">
        <v>23</v>
      </c>
      <c r="R324" s="9" t="str">
        <f>IFERROR(MID(VLOOKUP($B324,Seqs!$A:$B,2,0),S324,1),"")</f>
        <v/>
      </c>
      <c r="S324" s="9" t="s">
        <v>23</v>
      </c>
      <c r="T324" s="9" t="str">
        <f>IFERROR(MID(VLOOKUP($B324,Seqs!$A:$B,2,0),U324,1),"")</f>
        <v>L</v>
      </c>
      <c r="U324" s="9">
        <v>285</v>
      </c>
      <c r="V324" s="9" t="str">
        <f>IFERROR(MID(VLOOKUP($B324,Seqs!$A:$B,2,0),W324,1),"")</f>
        <v>K</v>
      </c>
      <c r="W324" s="9">
        <v>317</v>
      </c>
      <c r="X324" s="9" t="str">
        <f>IFERROR(MID(VLOOKUP($B324,Seqs!$A:$B,2,0),Y324,1),"")</f>
        <v/>
      </c>
      <c r="Y324" s="9" t="s">
        <v>23</v>
      </c>
      <c r="Z324" s="9" t="str">
        <f>IFERROR(MID(VLOOKUP($B324,Seqs!$A:$B,2,0),AA324,1),"")</f>
        <v/>
      </c>
      <c r="AA324" s="9" t="s">
        <v>23</v>
      </c>
      <c r="AB324" s="9" t="str">
        <f>IFERROR(MID(VLOOKUP($B324,Seqs!$A:$B,2,0),AC324,1),"")</f>
        <v>K</v>
      </c>
      <c r="AC324" s="9">
        <v>329</v>
      </c>
      <c r="AD324" s="9" t="str">
        <f>IFERROR(MID(VLOOKUP($B324,Seqs!$A:$B,2,0),AE324,1),"")</f>
        <v>V</v>
      </c>
      <c r="AE324" s="9">
        <v>351</v>
      </c>
      <c r="AF324" s="9" t="str">
        <f>IFERROR(MID(VLOOKUP($B324,Seqs!$A:$B,2,0),AG324,1),"")</f>
        <v>C</v>
      </c>
      <c r="AG324" s="9">
        <v>363</v>
      </c>
      <c r="AH324" s="9" t="str">
        <f>IFERROR(MID(VLOOKUP($B324,Seqs!$A:$B,2,0),AI324,1),"")</f>
        <v>V</v>
      </c>
      <c r="AI324" s="9">
        <v>365</v>
      </c>
      <c r="AJ324" s="9" t="str">
        <f>IFERROR(MID(VLOOKUP($B324,Seqs!$A:$B,2,0),AK324,1),"")</f>
        <v>N</v>
      </c>
      <c r="AK324" s="9">
        <v>369</v>
      </c>
      <c r="AL324" s="9" t="str">
        <f>IFERROR(MID(VLOOKUP($B324,Seqs!$A:$B,2,0),AM324,1),"")</f>
        <v>S</v>
      </c>
      <c r="AM324" s="9">
        <v>401</v>
      </c>
      <c r="AN324" s="9" t="str">
        <f>IFERROR(MID(VLOOKUP($B324,Seqs!$A:$B,2,0),AO324,1),"")</f>
        <v>S</v>
      </c>
      <c r="AO324" s="9">
        <v>416</v>
      </c>
      <c r="AP324" s="9" t="str">
        <f>IFERROR(MID(VLOOKUP($B324,Seqs!$A:$B,2,0),AQ324,1),"")</f>
        <v>Q</v>
      </c>
      <c r="AQ324" s="9">
        <v>472</v>
      </c>
      <c r="AR324" s="9" t="str">
        <f>IFERROR(MID(VLOOKUP($B324,Seqs!$A:$B,2,0),AS324,1),"")</f>
        <v>S</v>
      </c>
      <c r="AS324" s="9">
        <v>487</v>
      </c>
      <c r="AT324" s="9" t="str">
        <f>IFERROR(MID(VLOOKUP($B324,Seqs!$A:$B,2,0),AU324,1),"")</f>
        <v>W</v>
      </c>
      <c r="AU324" s="9">
        <v>510</v>
      </c>
      <c r="AV324" s="9" t="str">
        <f>IFERROR(MID(VLOOKUP($B324,Seqs!$A:$B,2,0),AW324,1),"")</f>
        <v>T</v>
      </c>
      <c r="AW324" s="9">
        <v>511</v>
      </c>
      <c r="AX324" s="9" t="str">
        <f>IFERROR(MID(VLOOKUP($B324,Seqs!$A:$B,2,0),AY324,1),"")</f>
        <v>R</v>
      </c>
      <c r="AY324" s="9">
        <v>520</v>
      </c>
      <c r="AZ324" s="124" t="str">
        <f>VLOOKUP(B324,Classification!A:D,2,0)</f>
        <v>F</v>
      </c>
      <c r="BA324" s="98" t="str">
        <f>VLOOKUP(B324,Classification!A:D,4,0)</f>
        <v>Frizzled</v>
      </c>
      <c r="BB324" s="125" t="b">
        <f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109">
        <f>_xlfn.AGGREGATE(9,6,CH324:CS324)-_xlfn.AGGREGATE(9,6,BV324:CG324)+12</f>
        <v>246</v>
      </c>
      <c r="BD324" s="126" t="s">
        <v>1383</v>
      </c>
      <c r="BE324" s="9" t="s">
        <v>1381</v>
      </c>
      <c r="BF324" s="120">
        <v>3.7509999999999999</v>
      </c>
      <c r="BG324" s="51" t="s">
        <v>1</v>
      </c>
      <c r="BH324" s="51" t="s">
        <v>1</v>
      </c>
      <c r="BI324" s="9"/>
      <c r="BJ324" s="127" t="s">
        <v>1293</v>
      </c>
      <c r="BK324" s="112" t="s">
        <v>1293</v>
      </c>
      <c r="BL324" s="112" t="s">
        <v>1293</v>
      </c>
      <c r="BM324" s="112" t="s">
        <v>1293</v>
      </c>
      <c r="BN324" s="112" t="s">
        <v>1293</v>
      </c>
      <c r="BO324" s="112" t="s">
        <v>1293</v>
      </c>
      <c r="BP324" s="112" t="s">
        <v>1293</v>
      </c>
      <c r="BQ324" s="112" t="s">
        <v>1293</v>
      </c>
      <c r="BR324" s="112" t="s">
        <v>1293</v>
      </c>
      <c r="BS324" s="112" t="s">
        <v>1293</v>
      </c>
      <c r="BT324" s="112" t="s">
        <v>1293</v>
      </c>
      <c r="BU324" s="112" t="s">
        <v>1293</v>
      </c>
      <c r="BV324" s="127">
        <f>E324</f>
        <v>196</v>
      </c>
      <c r="BW324" s="113">
        <f>I324</f>
        <v>229</v>
      </c>
      <c r="BX324" s="114">
        <f>M324</f>
        <v>234</v>
      </c>
      <c r="BY324" s="113" t="str">
        <f>Q324</f>
        <v>-</v>
      </c>
      <c r="BZ324" s="114">
        <f>U324</f>
        <v>285</v>
      </c>
      <c r="CA324" s="113" t="str">
        <f>Y324</f>
        <v>-</v>
      </c>
      <c r="CB324" s="114">
        <f>AC324</f>
        <v>329</v>
      </c>
      <c r="CC324" s="113">
        <f>AG324</f>
        <v>363</v>
      </c>
      <c r="CD324" s="114">
        <f>AK324</f>
        <v>369</v>
      </c>
      <c r="CE324" s="113">
        <f>AO324</f>
        <v>416</v>
      </c>
      <c r="CF324" s="114">
        <f>AS324</f>
        <v>487</v>
      </c>
      <c r="CG324" s="113">
        <f>AW324</f>
        <v>511</v>
      </c>
      <c r="CH324" s="127">
        <f>G324</f>
        <v>228</v>
      </c>
      <c r="CI324" s="113">
        <f>K324</f>
        <v>233</v>
      </c>
      <c r="CJ324" s="114">
        <f>O324</f>
        <v>256</v>
      </c>
      <c r="CK324" s="114" t="str">
        <f>S324</f>
        <v>-</v>
      </c>
      <c r="CL324" s="114">
        <f>W324</f>
        <v>317</v>
      </c>
      <c r="CM324" s="114" t="str">
        <f>AA324</f>
        <v>-</v>
      </c>
      <c r="CN324" s="114">
        <f>AE324</f>
        <v>351</v>
      </c>
      <c r="CO324" s="114">
        <f>AI324</f>
        <v>365</v>
      </c>
      <c r="CP324" s="114">
        <f>AM324</f>
        <v>401</v>
      </c>
      <c r="CQ324" s="114">
        <f>AQ324</f>
        <v>472</v>
      </c>
      <c r="CR324" s="114">
        <f>AU324</f>
        <v>510</v>
      </c>
      <c r="CS324" s="114">
        <f>AY324</f>
        <v>520</v>
      </c>
      <c r="CT324" s="109">
        <f>M324-K324</f>
        <v>1</v>
      </c>
    </row>
    <row r="325" spans="1:98" x14ac:dyDescent="0.2">
      <c r="A325" s="9" t="str">
        <f>CONCATENATE(B325,"_",C325)</f>
        <v>q98sw5_xenla_6D35</v>
      </c>
      <c r="B325" s="9" t="s">
        <v>1510</v>
      </c>
      <c r="C325" s="9" t="s">
        <v>1513</v>
      </c>
      <c r="D325" s="9" t="str">
        <f>IFERROR(MID(VLOOKUP($B325,Seqs!$A:$B,2,0),E325,1),"")</f>
        <v>T</v>
      </c>
      <c r="E325" s="9">
        <v>196</v>
      </c>
      <c r="F325" s="9" t="str">
        <f>IFERROR(MID(VLOOKUP($B325,Seqs!$A:$B,2,0),G325,1),"")</f>
        <v>D</v>
      </c>
      <c r="G325" s="9">
        <v>228</v>
      </c>
      <c r="H325" s="9" t="str">
        <f>IFERROR(MID(VLOOKUP($B325,Seqs!$A:$B,2,0),I325,1),"")</f>
        <v>W</v>
      </c>
      <c r="I325" s="109">
        <v>229</v>
      </c>
      <c r="J325" s="9" t="str">
        <f>IFERROR(MID(VLOOKUP($B325,Seqs!$A:$B,2,0),K325,1),"")</f>
        <v>N</v>
      </c>
      <c r="K325" s="109">
        <v>233</v>
      </c>
      <c r="L325" s="9" t="str">
        <f>IFERROR(MID(VLOOKUP($B325,Seqs!$A:$B,2,0),M325,1),"")</f>
        <v>R</v>
      </c>
      <c r="M325" s="9">
        <v>234</v>
      </c>
      <c r="N325" s="9" t="str">
        <f>IFERROR(MID(VLOOKUP($B325,Seqs!$A:$B,2,0),O325,1),"")</f>
        <v>A</v>
      </c>
      <c r="O325" s="9">
        <v>256</v>
      </c>
      <c r="P325" s="9" t="str">
        <f>IFERROR(MID(VLOOKUP($B325,Seqs!$A:$B,2,0),Q325,1),"")</f>
        <v/>
      </c>
      <c r="Q325" s="9" t="s">
        <v>23</v>
      </c>
      <c r="R325" s="9" t="str">
        <f>IFERROR(MID(VLOOKUP($B325,Seqs!$A:$B,2,0),S325,1),"")</f>
        <v/>
      </c>
      <c r="S325" s="9" t="s">
        <v>23</v>
      </c>
      <c r="T325" s="9" t="str">
        <f>IFERROR(MID(VLOOKUP($B325,Seqs!$A:$B,2,0),U325,1),"")</f>
        <v>L</v>
      </c>
      <c r="U325" s="9">
        <v>285</v>
      </c>
      <c r="V325" s="9" t="str">
        <f>IFERROR(MID(VLOOKUP($B325,Seqs!$A:$B,2,0),W325,1),"")</f>
        <v>K</v>
      </c>
      <c r="W325" s="9">
        <v>317</v>
      </c>
      <c r="X325" s="9" t="str">
        <f>IFERROR(MID(VLOOKUP($B325,Seqs!$A:$B,2,0),Y325,1),"")</f>
        <v/>
      </c>
      <c r="Y325" s="9" t="s">
        <v>23</v>
      </c>
      <c r="Z325" s="9" t="str">
        <f>IFERROR(MID(VLOOKUP($B325,Seqs!$A:$B,2,0),AA325,1),"")</f>
        <v/>
      </c>
      <c r="AA325" s="9" t="s">
        <v>23</v>
      </c>
      <c r="AB325" s="9" t="str">
        <f>IFERROR(MID(VLOOKUP($B325,Seqs!$A:$B,2,0),AC325,1),"")</f>
        <v>K</v>
      </c>
      <c r="AC325" s="9">
        <v>329</v>
      </c>
      <c r="AD325" s="9" t="str">
        <f>IFERROR(MID(VLOOKUP($B325,Seqs!$A:$B,2,0),AE325,1),"")</f>
        <v>V</v>
      </c>
      <c r="AE325" s="9">
        <v>351</v>
      </c>
      <c r="AF325" s="9" t="str">
        <f>IFERROR(MID(VLOOKUP($B325,Seqs!$A:$B,2,0),AG325,1),"")</f>
        <v>C</v>
      </c>
      <c r="AG325" s="9">
        <v>363</v>
      </c>
      <c r="AH325" s="9" t="str">
        <f>IFERROR(MID(VLOOKUP($B325,Seqs!$A:$B,2,0),AI325,1),"")</f>
        <v>V</v>
      </c>
      <c r="AI325" s="9">
        <v>365</v>
      </c>
      <c r="AJ325" s="9" t="str">
        <f>IFERROR(MID(VLOOKUP($B325,Seqs!$A:$B,2,0),AK325,1),"")</f>
        <v>N</v>
      </c>
      <c r="AK325" s="9">
        <v>369</v>
      </c>
      <c r="AL325" s="9" t="str">
        <f>IFERROR(MID(VLOOKUP($B325,Seqs!$A:$B,2,0),AM325,1),"")</f>
        <v>S</v>
      </c>
      <c r="AM325" s="9">
        <v>401</v>
      </c>
      <c r="AN325" s="9" t="str">
        <f>IFERROR(MID(VLOOKUP($B325,Seqs!$A:$B,2,0),AO325,1),"")</f>
        <v>S</v>
      </c>
      <c r="AO325" s="9">
        <v>416</v>
      </c>
      <c r="AP325" s="9" t="str">
        <f>IFERROR(MID(VLOOKUP($B325,Seqs!$A:$B,2,0),AQ325,1),"")</f>
        <v>Q</v>
      </c>
      <c r="AQ325" s="9">
        <v>472</v>
      </c>
      <c r="AR325" s="9" t="str">
        <f>IFERROR(MID(VLOOKUP($B325,Seqs!$A:$B,2,0),AS325,1),"")</f>
        <v>S</v>
      </c>
      <c r="AS325" s="9">
        <v>487</v>
      </c>
      <c r="AT325" s="9" t="str">
        <f>IFERROR(MID(VLOOKUP($B325,Seqs!$A:$B,2,0),AU325,1),"")</f>
        <v>W</v>
      </c>
      <c r="AU325" s="9">
        <v>510</v>
      </c>
      <c r="AV325" s="9" t="str">
        <f>IFERROR(MID(VLOOKUP($B325,Seqs!$A:$B,2,0),AW325,1),"")</f>
        <v>T</v>
      </c>
      <c r="AW325" s="9">
        <v>511</v>
      </c>
      <c r="AX325" s="9" t="str">
        <f>IFERROR(MID(VLOOKUP($B325,Seqs!$A:$B,2,0),AY325,1),"")</f>
        <v>R</v>
      </c>
      <c r="AY325" s="9">
        <v>520</v>
      </c>
      <c r="AZ325" s="124" t="str">
        <f>VLOOKUP(B325,Classification!A:D,2,0)</f>
        <v>F</v>
      </c>
      <c r="BA325" s="98" t="str">
        <f>VLOOKUP(B325,Classification!A:D,4,0)</f>
        <v>Frizzled</v>
      </c>
      <c r="BB325" s="125" t="b">
        <f>AND(E325&lt;G325,OR(G325&lt;I325,I325="-"),OR(I325&lt;K325,I325="-"),OR(K325&lt;M325,K325="-"),M325&lt;O325,OR(O325&lt;Q325,Q325="-"),OR(Q325&lt;S325,Q325="-"),OR(S325&lt;U325,S325="-"),U325&lt;W325,OR(W325&lt;Y325,Y325="-"),OR(Y325&lt;AA325,Y325="-"),OR(AA325&lt;AC325,AA325="-"),AC325&lt;AE325,OR(AE325&lt;AG325,AG325="-"),OR(AG325&lt;AI325,AG325="-"),OR(AI325&lt;AK325,AI325="-"),AK325&lt;AM325,AM325&lt;AO325,AO325&lt;AQ325,AQ325&lt;AS325,AS325&lt;AU325,OR(AU325&lt;AW325,AW325="-"),OR(AW325&lt;AY325,AW325="-"))</f>
        <v>1</v>
      </c>
      <c r="BC325" s="109">
        <f>_xlfn.AGGREGATE(9,6,CH325:CS325)-_xlfn.AGGREGATE(9,6,BV325:CG325)+12</f>
        <v>246</v>
      </c>
      <c r="BD325" s="126" t="s">
        <v>23</v>
      </c>
      <c r="BE325" s="9" t="s">
        <v>1381</v>
      </c>
      <c r="BF325" s="120">
        <v>3.9</v>
      </c>
      <c r="BG325" s="51" t="s">
        <v>1</v>
      </c>
      <c r="BH325" s="51" t="s">
        <v>1</v>
      </c>
      <c r="BI325" s="9"/>
      <c r="BJ325" s="127" t="s">
        <v>1293</v>
      </c>
      <c r="BK325" s="112" t="s">
        <v>1293</v>
      </c>
      <c r="BL325" s="112" t="s">
        <v>1293</v>
      </c>
      <c r="BM325" s="112" t="s">
        <v>1293</v>
      </c>
      <c r="BN325" s="112" t="s">
        <v>1293</v>
      </c>
      <c r="BO325" s="112" t="s">
        <v>1293</v>
      </c>
      <c r="BP325" s="112" t="s">
        <v>1293</v>
      </c>
      <c r="BQ325" s="112" t="s">
        <v>1293</v>
      </c>
      <c r="BR325" s="112" t="s">
        <v>1293</v>
      </c>
      <c r="BS325" s="112" t="s">
        <v>1293</v>
      </c>
      <c r="BT325" s="112" t="s">
        <v>1293</v>
      </c>
      <c r="BU325" s="112" t="s">
        <v>1293</v>
      </c>
      <c r="BV325" s="127">
        <f>E325</f>
        <v>196</v>
      </c>
      <c r="BW325" s="113">
        <f>I325</f>
        <v>229</v>
      </c>
      <c r="BX325" s="114">
        <f>M325</f>
        <v>234</v>
      </c>
      <c r="BY325" s="113" t="str">
        <f>Q325</f>
        <v>-</v>
      </c>
      <c r="BZ325" s="114">
        <f>U325</f>
        <v>285</v>
      </c>
      <c r="CA325" s="113" t="str">
        <f>Y325</f>
        <v>-</v>
      </c>
      <c r="CB325" s="114">
        <f>AC325</f>
        <v>329</v>
      </c>
      <c r="CC325" s="113">
        <f>AG325</f>
        <v>363</v>
      </c>
      <c r="CD325" s="114">
        <f>AK325</f>
        <v>369</v>
      </c>
      <c r="CE325" s="113">
        <f>AO325</f>
        <v>416</v>
      </c>
      <c r="CF325" s="114">
        <f>AS325</f>
        <v>487</v>
      </c>
      <c r="CG325" s="113">
        <f>AW325</f>
        <v>511</v>
      </c>
      <c r="CH325" s="127">
        <f>G325</f>
        <v>228</v>
      </c>
      <c r="CI325" s="113">
        <f>K325</f>
        <v>233</v>
      </c>
      <c r="CJ325" s="114">
        <f>O325</f>
        <v>256</v>
      </c>
      <c r="CK325" s="114" t="str">
        <f>S325</f>
        <v>-</v>
      </c>
      <c r="CL325" s="114">
        <f>W325</f>
        <v>317</v>
      </c>
      <c r="CM325" s="114" t="str">
        <f>AA325</f>
        <v>-</v>
      </c>
      <c r="CN325" s="114">
        <f>AE325</f>
        <v>351</v>
      </c>
      <c r="CO325" s="114">
        <f>AI325</f>
        <v>365</v>
      </c>
      <c r="CP325" s="114">
        <f>AM325</f>
        <v>401</v>
      </c>
      <c r="CQ325" s="114">
        <f>AQ325</f>
        <v>472</v>
      </c>
      <c r="CR325" s="114">
        <f>AU325</f>
        <v>510</v>
      </c>
      <c r="CS325" s="114">
        <f>AY325</f>
        <v>520</v>
      </c>
      <c r="CT325" s="109">
        <f>M325-K325</f>
        <v>1</v>
      </c>
    </row>
    <row r="399" spans="52:86" x14ac:dyDescent="0.2">
      <c r="AZ399" s="77"/>
      <c r="BA399" s="28"/>
      <c r="BB399" s="16"/>
      <c r="BD399" s="2"/>
      <c r="BJ399" s="70"/>
      <c r="BV399" s="70"/>
      <c r="CH399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18 BB64 BB26:BB30 BB33:BB37">
    <cfRule type="cellIs" dxfId="70" priority="10" operator="equal">
      <formula>0</formula>
    </cfRule>
  </conditionalFormatting>
  <conditionalFormatting sqref="BB247:BB248">
    <cfRule type="cellIs" dxfId="69" priority="11" operator="equal">
      <formula>0</formula>
    </cfRule>
  </conditionalFormatting>
  <conditionalFormatting sqref="BB9">
    <cfRule type="cellIs" dxfId="68" priority="12" operator="equal">
      <formula>0</formula>
    </cfRule>
  </conditionalFormatting>
  <conditionalFormatting sqref="BB272">
    <cfRule type="cellIs" dxfId="67" priority="13" operator="equal">
      <formula>0</formula>
    </cfRule>
  </conditionalFormatting>
  <conditionalFormatting sqref="E272 AW272 AU272 AS272 AQ272 AO272 AM272 AK272 AI272 AG272 AE272 AC272 AA272 Y272 W272 U272 S272 Q272 O272 M272 K272 I272 G272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5">
    <cfRule type="cellIs" dxfId="64" priority="16" operator="equal">
      <formula>0</formula>
    </cfRule>
  </conditionalFormatting>
  <conditionalFormatting sqref="BB8">
    <cfRule type="cellIs" dxfId="63" priority="20" operator="equal">
      <formula>0</formula>
    </cfRule>
  </conditionalFormatting>
  <conditionalFormatting sqref="E8 AW8 AU8 AS8 AQ8 AO8 AM8 AK8 AI8 AG8 AE8 AC8 AA8 Y8 W8 U8 S8 Q8 O8 M8 K8 I8 G8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0 BB33:BB1048576">
    <cfRule type="cellIs" dxfId="60" priority="8" operator="equal">
      <formula>FALSE</formula>
    </cfRule>
  </conditionalFormatting>
  <conditionalFormatting sqref="BG33:BG44 BG24:BG30 BH24:BH44 BG1:BH23 BG45:BH1048576">
    <cfRule type="cellIs" dxfId="59" priority="7" operator="equal">
      <formula>"?"</formula>
    </cfRule>
  </conditionalFormatting>
  <conditionalFormatting sqref="BB31:BB32">
    <cfRule type="cellIs" dxfId="58" priority="6" operator="equal">
      <formula>FALSE</formula>
    </cfRule>
  </conditionalFormatting>
  <conditionalFormatting sqref="BG31:BG32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180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BE2:BE399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6"/>
  <sheetViews>
    <sheetView workbookViewId="0">
      <pane ySplit="1" topLeftCell="A24" activePane="bottomLeft" state="frozenSplit"/>
      <selection pane="bottomLeft" activeCell="A65" sqref="A65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123" t="s">
        <v>1511</v>
      </c>
      <c r="B53" s="123" t="s">
        <v>1510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">
        <v>1454</v>
      </c>
      <c r="B54" s="2" t="s">
        <v>1451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">
        <v>1466</v>
      </c>
      <c r="B55" s="2" t="s">
        <v>1463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">
        <v>1493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">
        <v>1505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">
        <v>1522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">
        <v>1528</v>
      </c>
      <c r="B59" s="2" t="s">
        <v>1524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">
        <v>1535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">
        <v>1537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">
        <v>1549</v>
      </c>
      <c r="B62" s="2" t="s">
        <v>409</v>
      </c>
      <c r="C62" s="2">
        <f>IFERROR(50+VLOOKUP($A62,'SegEnds_Xtal_Prot#'!$A:$AY,5,FALSE)-VLOOKUP($B62,'SegEnds_NonXtal_Prot#'!$A:$AL,4,FALSE),"-")</f>
        <v>27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38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">
        <v>1558</v>
      </c>
      <c r="B63" s="2" t="s">
        <v>314</v>
      </c>
      <c r="C63" s="2">
        <f>IFERROR(50+VLOOKUP($A63,'SegEnds_Xtal_Prot#'!$A:$AY,5,FALSE)-VLOOKUP($B63,'SegEnds_NonXtal_Prot#'!$A:$AL,4,FALSE),"-")</f>
        <v>31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66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28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3</v>
      </c>
      <c r="AG63" s="49">
        <f>VLOOKUP(B63,'SegEnds_NonXtal_Prot#'!A:AL,13,FALSE)-VLOOKUP(B63,'SegEnds_NonXtal_Prot#'!A:AL,11,FALSE)</f>
        <v>4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36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">
        <v>1567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32</v>
      </c>
      <c r="T64" s="2">
        <f>IFERROR(50+VLOOKUP($A64,'SegEnds_Xtal_Prot#'!$A:$AY,39,FALSE)-VLOOKUP($B64,'SegEnds_NonXtal_Prot#'!$A:$AL,28,FALSE),"-")</f>
        <v>72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">
        <v>1561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 t="str">
        <f>IFERROR(50+VLOOKUP($A65,'SegEnds_Xtal_Prot#'!$A:$AY,17,FALSE)-VLOOKUP($B65,'SegEnds_NonXtal_Prot#'!$A:$AL,13,FALSE),"-")</f>
        <v>-</v>
      </c>
      <c r="J65" s="2" t="str">
        <f>IFERROR(50+VLOOKUP($A65,'SegEnds_Xtal_Prot#'!$A:$AY,19,FALSE)-VLOOKUP($B65,'SegEnds_NonXtal_Prot#'!$A:$AL,13,FALSE),"-")</f>
        <v>-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31</v>
      </c>
      <c r="T65" s="2">
        <f>IFERROR(50+VLOOKUP($A65,'SegEnds_Xtal_Prot#'!$A:$AY,39,FALSE)-VLOOKUP($B65,'SegEnds_NonXtal_Prot#'!$A:$AL,28,FALSE),"-")</f>
        <v>76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 t="e">
        <f>VLOOKUP(B65,'SegEnds_NonXtal_Prot#'!A:AL,13,FALSE)-VLOOKUP(B65,'SegEnds_NonXtal_Prot#'!A:AL,10,FALSE)</f>
        <v>#VALUE!</v>
      </c>
      <c r="AF65" s="49" t="e">
        <f>VLOOKUP(B65,'SegEnds_NonXtal_Prot#'!A:AL,12,FALSE)-VLOOKUP(B65,'SegEnds_NonXtal_Prot#'!A:AL,11,FALSE)</f>
        <v>#VALUE!</v>
      </c>
      <c r="AG65" s="49" t="e">
        <f>VLOOKUP(B65,'SegEnds_NonXtal_Prot#'!A:AL,13,FALSE)-VLOOKUP(B65,'SegEnds_NonXtal_Prot#'!A:AL,11,FALSE)</f>
        <v>#VALUE!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 t="e">
        <f>VLOOKUP(B65,'SegEnds_NonXtal_Prot#'!A:AL,15,FALSE)-VLOOKUP(B65,'SegEnds_NonXtal_Prot#'!A:AL,14,FALSE)</f>
        <v>#VALUE!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4"/>
      <c r="B66" s="4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49"/>
      <c r="AB66" s="96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2"/>
      <c r="AN66" s="38"/>
      <c r="AO66" s="30" t="s">
        <v>1061</v>
      </c>
      <c r="AP66" s="30" t="s">
        <v>1062</v>
      </c>
      <c r="AQ66" s="30" t="s">
        <v>1078</v>
      </c>
      <c r="AR66" s="30" t="s">
        <v>1079</v>
      </c>
      <c r="AS66" s="30" t="s">
        <v>1063</v>
      </c>
      <c r="AT66" s="30" t="s">
        <v>1064</v>
      </c>
      <c r="AU66" s="30" t="s">
        <v>1080</v>
      </c>
      <c r="AV66" s="30" t="s">
        <v>1081</v>
      </c>
      <c r="AW66" s="30" t="s">
        <v>1065</v>
      </c>
      <c r="AX66" s="30" t="s">
        <v>1066</v>
      </c>
      <c r="AY66" s="30" t="s">
        <v>1093</v>
      </c>
      <c r="AZ66" s="30" t="s">
        <v>1094</v>
      </c>
      <c r="BA66" s="30" t="s">
        <v>1067</v>
      </c>
      <c r="BB66" s="30" t="s">
        <v>1068</v>
      </c>
      <c r="BC66" s="30" t="s">
        <v>1096</v>
      </c>
      <c r="BD66" s="30" t="s">
        <v>1097</v>
      </c>
      <c r="BE66" s="30" t="s">
        <v>1069</v>
      </c>
      <c r="BF66" s="30" t="s">
        <v>1070</v>
      </c>
      <c r="BG66" s="30" t="s">
        <v>1071</v>
      </c>
      <c r="BH66" s="30" t="s">
        <v>1072</v>
      </c>
      <c r="BI66" s="30" t="s">
        <v>1073</v>
      </c>
      <c r="BJ66" s="30" t="s">
        <v>1074</v>
      </c>
      <c r="BK66" s="30" t="s">
        <v>1075</v>
      </c>
      <c r="BL66" s="30" t="s">
        <v>1076</v>
      </c>
    </row>
    <row r="67" spans="1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N67" s="38" t="s">
        <v>1</v>
      </c>
      <c r="AO67" s="4">
        <f t="shared" ref="AO67:BL67" si="0">MAX(C2:C42)</f>
        <v>34</v>
      </c>
      <c r="AP67" s="4">
        <f t="shared" si="0"/>
        <v>64</v>
      </c>
      <c r="AQ67" s="4">
        <f t="shared" si="0"/>
        <v>48</v>
      </c>
      <c r="AR67" s="4">
        <f t="shared" si="0"/>
        <v>52</v>
      </c>
      <c r="AS67" s="4">
        <f t="shared" si="0"/>
        <v>38</v>
      </c>
      <c r="AT67" s="4">
        <f t="shared" si="0"/>
        <v>69</v>
      </c>
      <c r="AU67" s="4">
        <f t="shared" si="0"/>
        <v>50</v>
      </c>
      <c r="AV67" s="4">
        <f t="shared" si="0"/>
        <v>53</v>
      </c>
      <c r="AW67" s="4">
        <f t="shared" si="0"/>
        <v>21</v>
      </c>
      <c r="AX67" s="4">
        <f t="shared" si="0"/>
        <v>56</v>
      </c>
      <c r="AY67" s="4">
        <f t="shared" si="0"/>
        <v>50</v>
      </c>
      <c r="AZ67" s="4">
        <f t="shared" si="0"/>
        <v>58</v>
      </c>
      <c r="BA67" s="4">
        <f t="shared" si="0"/>
        <v>38</v>
      </c>
      <c r="BB67" s="4">
        <f t="shared" si="0"/>
        <v>69</v>
      </c>
      <c r="BC67" s="4">
        <f t="shared" si="0"/>
        <v>50</v>
      </c>
      <c r="BD67" s="4">
        <f t="shared" si="0"/>
        <v>52</v>
      </c>
      <c r="BE67" s="4">
        <f t="shared" si="0"/>
        <v>36</v>
      </c>
      <c r="BF67" s="4">
        <f t="shared" si="0"/>
        <v>77</v>
      </c>
      <c r="BG67" s="4">
        <f t="shared" si="0"/>
        <v>30</v>
      </c>
      <c r="BH67" s="4">
        <f t="shared" si="0"/>
        <v>65</v>
      </c>
      <c r="BI67" s="4">
        <f t="shared" si="0"/>
        <v>32</v>
      </c>
      <c r="BJ67" s="4">
        <f t="shared" si="0"/>
        <v>56</v>
      </c>
      <c r="BK67" s="4">
        <f t="shared" si="0"/>
        <v>47</v>
      </c>
      <c r="BL67" s="4">
        <f t="shared" si="0"/>
        <v>69</v>
      </c>
    </row>
    <row r="68" spans="1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1">MIN(C2:C42)</f>
        <v>22</v>
      </c>
      <c r="AP68" s="4">
        <f t="shared" si="1"/>
        <v>60</v>
      </c>
      <c r="AQ68" s="4">
        <f t="shared" si="1"/>
        <v>48</v>
      </c>
      <c r="AR68" s="4">
        <f t="shared" si="1"/>
        <v>51</v>
      </c>
      <c r="AS68" s="4">
        <f t="shared" si="1"/>
        <v>34</v>
      </c>
      <c r="AT68" s="4">
        <f t="shared" si="1"/>
        <v>63</v>
      </c>
      <c r="AU68" s="4">
        <f t="shared" si="1"/>
        <v>47</v>
      </c>
      <c r="AV68" s="4">
        <f t="shared" si="1"/>
        <v>52</v>
      </c>
      <c r="AW68" s="4">
        <f t="shared" si="1"/>
        <v>18</v>
      </c>
      <c r="AX68" s="4">
        <f t="shared" si="1"/>
        <v>55</v>
      </c>
      <c r="AY68" s="4">
        <f t="shared" si="1"/>
        <v>50</v>
      </c>
      <c r="AZ68" s="4">
        <f t="shared" si="1"/>
        <v>53</v>
      </c>
      <c r="BA68" s="4">
        <f t="shared" si="1"/>
        <v>35</v>
      </c>
      <c r="BB68" s="4">
        <f t="shared" si="1"/>
        <v>62</v>
      </c>
      <c r="BC68" s="4">
        <f t="shared" si="1"/>
        <v>50</v>
      </c>
      <c r="BD68" s="4">
        <f t="shared" si="1"/>
        <v>52</v>
      </c>
      <c r="BE68" s="4">
        <f t="shared" si="1"/>
        <v>28</v>
      </c>
      <c r="BF68" s="4">
        <f t="shared" si="1"/>
        <v>67</v>
      </c>
      <c r="BG68" s="4">
        <f t="shared" si="1"/>
        <v>18</v>
      </c>
      <c r="BH68" s="4">
        <f t="shared" si="1"/>
        <v>60</v>
      </c>
      <c r="BI68" s="4">
        <f t="shared" si="1"/>
        <v>24</v>
      </c>
      <c r="BJ68" s="4">
        <f t="shared" si="1"/>
        <v>55</v>
      </c>
      <c r="BK68" s="4">
        <f t="shared" si="1"/>
        <v>47</v>
      </c>
      <c r="BL68" s="4">
        <f t="shared" si="1"/>
        <v>57</v>
      </c>
    </row>
    <row r="69" spans="1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2">AO67-AO68</f>
        <v>12</v>
      </c>
      <c r="AP69" s="4">
        <f t="shared" si="2"/>
        <v>4</v>
      </c>
      <c r="AQ69" s="4">
        <f t="shared" si="2"/>
        <v>0</v>
      </c>
      <c r="AR69" s="4">
        <f t="shared" si="2"/>
        <v>1</v>
      </c>
      <c r="AS69" s="4">
        <f t="shared" si="2"/>
        <v>4</v>
      </c>
      <c r="AT69" s="4">
        <f t="shared" si="2"/>
        <v>6</v>
      </c>
      <c r="AU69" s="4">
        <f t="shared" si="2"/>
        <v>3</v>
      </c>
      <c r="AV69" s="4">
        <f t="shared" si="2"/>
        <v>1</v>
      </c>
      <c r="AW69" s="4">
        <f t="shared" si="2"/>
        <v>3</v>
      </c>
      <c r="AX69" s="4">
        <f t="shared" si="2"/>
        <v>1</v>
      </c>
      <c r="AY69" s="4">
        <f t="shared" si="2"/>
        <v>0</v>
      </c>
      <c r="AZ69" s="4">
        <f t="shared" si="2"/>
        <v>5</v>
      </c>
      <c r="BA69" s="4">
        <f t="shared" si="2"/>
        <v>3</v>
      </c>
      <c r="BB69" s="4">
        <f t="shared" si="2"/>
        <v>7</v>
      </c>
      <c r="BC69" s="4">
        <f t="shared" si="2"/>
        <v>0</v>
      </c>
      <c r="BD69" s="4">
        <f t="shared" si="2"/>
        <v>0</v>
      </c>
      <c r="BE69" s="4">
        <f t="shared" si="2"/>
        <v>8</v>
      </c>
      <c r="BF69" s="4">
        <f t="shared" si="2"/>
        <v>10</v>
      </c>
      <c r="BG69" s="4">
        <f t="shared" si="2"/>
        <v>12</v>
      </c>
      <c r="BH69" s="4">
        <f t="shared" si="2"/>
        <v>5</v>
      </c>
      <c r="BI69" s="4">
        <f t="shared" si="2"/>
        <v>8</v>
      </c>
      <c r="BJ69" s="4">
        <f t="shared" si="2"/>
        <v>1</v>
      </c>
      <c r="BK69" s="4">
        <f t="shared" si="2"/>
        <v>0</v>
      </c>
      <c r="BL69" s="4">
        <f t="shared" si="2"/>
        <v>12</v>
      </c>
    </row>
    <row r="70" spans="1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N70" s="38" t="s">
        <v>1287</v>
      </c>
      <c r="AO70" s="4">
        <f t="shared" ref="AO70:BL70" si="3">MAX(C43:C46)</f>
        <v>29</v>
      </c>
      <c r="AP70" s="4">
        <f t="shared" si="3"/>
        <v>60</v>
      </c>
      <c r="AQ70" s="4">
        <f t="shared" si="3"/>
        <v>48</v>
      </c>
      <c r="AR70" s="4">
        <f t="shared" si="3"/>
        <v>51</v>
      </c>
      <c r="AS70" s="4">
        <f t="shared" si="3"/>
        <v>37</v>
      </c>
      <c r="AT70" s="4">
        <f t="shared" si="3"/>
        <v>66</v>
      </c>
      <c r="AU70" s="4">
        <f t="shared" si="3"/>
        <v>49</v>
      </c>
      <c r="AV70" s="4">
        <f t="shared" si="3"/>
        <v>52</v>
      </c>
      <c r="AW70" s="4">
        <f t="shared" si="3"/>
        <v>23</v>
      </c>
      <c r="AX70" s="4">
        <f t="shared" si="3"/>
        <v>56</v>
      </c>
      <c r="AY70" s="4">
        <f t="shared" si="3"/>
        <v>50</v>
      </c>
      <c r="AZ70" s="4">
        <f t="shared" si="3"/>
        <v>57</v>
      </c>
      <c r="BA70" s="4">
        <f t="shared" si="3"/>
        <v>41</v>
      </c>
      <c r="BB70" s="4">
        <f t="shared" si="3"/>
        <v>68</v>
      </c>
      <c r="BC70" s="4">
        <f t="shared" si="3"/>
        <v>50</v>
      </c>
      <c r="BD70" s="4">
        <f t="shared" si="3"/>
        <v>52</v>
      </c>
      <c r="BE70" s="4">
        <f t="shared" si="3"/>
        <v>40</v>
      </c>
      <c r="BF70" s="4">
        <f t="shared" si="3"/>
        <v>70</v>
      </c>
      <c r="BG70" s="4">
        <f t="shared" si="3"/>
        <v>30</v>
      </c>
      <c r="BH70" s="4">
        <f t="shared" si="3"/>
        <v>65</v>
      </c>
      <c r="BI70" s="4">
        <f t="shared" si="3"/>
        <v>31</v>
      </c>
      <c r="BJ70" s="4">
        <f t="shared" si="3"/>
        <v>56</v>
      </c>
      <c r="BK70" s="4">
        <f t="shared" si="3"/>
        <v>47</v>
      </c>
      <c r="BL70" s="4">
        <f t="shared" si="3"/>
        <v>72</v>
      </c>
    </row>
    <row r="71" spans="1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O71" s="4">
        <f t="shared" ref="AO71:BL71" si="4">MIN(C43:C46)</f>
        <v>19</v>
      </c>
      <c r="AP71" s="4">
        <f t="shared" si="4"/>
        <v>60</v>
      </c>
      <c r="AQ71" s="4">
        <f t="shared" si="4"/>
        <v>48</v>
      </c>
      <c r="AR71" s="4">
        <f t="shared" si="4"/>
        <v>51</v>
      </c>
      <c r="AS71" s="4">
        <f t="shared" si="4"/>
        <v>37</v>
      </c>
      <c r="AT71" s="4">
        <f t="shared" si="4"/>
        <v>63</v>
      </c>
      <c r="AU71" s="4">
        <f t="shared" si="4"/>
        <v>47</v>
      </c>
      <c r="AV71" s="4">
        <f t="shared" si="4"/>
        <v>52</v>
      </c>
      <c r="AW71" s="4">
        <f t="shared" si="4"/>
        <v>21</v>
      </c>
      <c r="AX71" s="4">
        <f t="shared" si="4"/>
        <v>56</v>
      </c>
      <c r="AY71" s="4">
        <f t="shared" si="4"/>
        <v>50</v>
      </c>
      <c r="AZ71" s="4">
        <f t="shared" si="4"/>
        <v>56</v>
      </c>
      <c r="BA71" s="4">
        <f t="shared" si="4"/>
        <v>38</v>
      </c>
      <c r="BB71" s="4">
        <f t="shared" si="4"/>
        <v>62</v>
      </c>
      <c r="BC71" s="4">
        <f t="shared" si="4"/>
        <v>50</v>
      </c>
      <c r="BD71" s="4">
        <f t="shared" si="4"/>
        <v>52</v>
      </c>
      <c r="BE71" s="4">
        <f t="shared" si="4"/>
        <v>31</v>
      </c>
      <c r="BF71" s="4">
        <f t="shared" si="4"/>
        <v>67</v>
      </c>
      <c r="BG71" s="4">
        <f t="shared" si="4"/>
        <v>25</v>
      </c>
      <c r="BH71" s="4">
        <f t="shared" si="4"/>
        <v>53</v>
      </c>
      <c r="BI71" s="4">
        <f t="shared" si="4"/>
        <v>28</v>
      </c>
      <c r="BJ71" s="4">
        <f t="shared" si="4"/>
        <v>56</v>
      </c>
      <c r="BK71" s="4">
        <f t="shared" si="4"/>
        <v>47</v>
      </c>
      <c r="BL71" s="4">
        <f t="shared" si="4"/>
        <v>61</v>
      </c>
    </row>
    <row r="72" spans="1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5">AO70-AO71</f>
        <v>10</v>
      </c>
      <c r="AP72" s="4">
        <f t="shared" si="5"/>
        <v>0</v>
      </c>
      <c r="AQ72" s="4">
        <f t="shared" si="5"/>
        <v>0</v>
      </c>
      <c r="AR72" s="4">
        <f t="shared" si="5"/>
        <v>0</v>
      </c>
      <c r="AS72" s="4">
        <f t="shared" si="5"/>
        <v>0</v>
      </c>
      <c r="AT72" s="4">
        <f t="shared" si="5"/>
        <v>3</v>
      </c>
      <c r="AU72" s="4">
        <f t="shared" si="5"/>
        <v>2</v>
      </c>
      <c r="AV72" s="4">
        <f t="shared" si="5"/>
        <v>0</v>
      </c>
      <c r="AW72" s="4">
        <f t="shared" si="5"/>
        <v>2</v>
      </c>
      <c r="AX72" s="4">
        <f t="shared" si="5"/>
        <v>0</v>
      </c>
      <c r="AY72" s="4">
        <f t="shared" si="5"/>
        <v>0</v>
      </c>
      <c r="AZ72" s="4">
        <f t="shared" si="5"/>
        <v>1</v>
      </c>
      <c r="BA72" s="4">
        <f t="shared" si="5"/>
        <v>3</v>
      </c>
      <c r="BB72" s="4">
        <f t="shared" si="5"/>
        <v>6</v>
      </c>
      <c r="BC72" s="4">
        <f t="shared" si="5"/>
        <v>0</v>
      </c>
      <c r="BD72" s="4">
        <f t="shared" si="5"/>
        <v>0</v>
      </c>
      <c r="BE72" s="4">
        <f t="shared" si="5"/>
        <v>9</v>
      </c>
      <c r="BF72" s="4">
        <f t="shared" si="5"/>
        <v>3</v>
      </c>
      <c r="BG72" s="4">
        <f t="shared" si="5"/>
        <v>5</v>
      </c>
      <c r="BH72" s="4">
        <f t="shared" si="5"/>
        <v>12</v>
      </c>
      <c r="BI72" s="4">
        <f t="shared" si="5"/>
        <v>3</v>
      </c>
      <c r="BJ72" s="4">
        <f t="shared" si="5"/>
        <v>0</v>
      </c>
      <c r="BK72" s="4">
        <f t="shared" si="5"/>
        <v>0</v>
      </c>
      <c r="BL72" s="4">
        <f t="shared" si="5"/>
        <v>11</v>
      </c>
    </row>
    <row r="73" spans="1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N73" s="38" t="s">
        <v>27</v>
      </c>
      <c r="AO73" s="4">
        <f t="shared" ref="AO73:BL73" si="6">MAX(C47:C50)</f>
        <v>34</v>
      </c>
      <c r="AP73" s="4">
        <f t="shared" si="6"/>
        <v>60</v>
      </c>
      <c r="AQ73" s="4">
        <f t="shared" si="6"/>
        <v>48</v>
      </c>
      <c r="AR73" s="4">
        <f t="shared" si="6"/>
        <v>53</v>
      </c>
      <c r="AS73" s="4">
        <f t="shared" si="6"/>
        <v>39</v>
      </c>
      <c r="AT73" s="4">
        <f t="shared" si="6"/>
        <v>74</v>
      </c>
      <c r="AU73" s="4">
        <f t="shared" si="6"/>
        <v>0</v>
      </c>
      <c r="AV73" s="4">
        <f t="shared" si="6"/>
        <v>0</v>
      </c>
      <c r="AW73" s="4">
        <f t="shared" si="6"/>
        <v>23</v>
      </c>
      <c r="AX73" s="4">
        <f t="shared" si="6"/>
        <v>56</v>
      </c>
      <c r="AY73" s="4">
        <f t="shared" si="6"/>
        <v>0</v>
      </c>
      <c r="AZ73" s="4">
        <f t="shared" si="6"/>
        <v>0</v>
      </c>
      <c r="BA73" s="4">
        <f t="shared" si="6"/>
        <v>40</v>
      </c>
      <c r="BB73" s="4">
        <f t="shared" si="6"/>
        <v>68</v>
      </c>
      <c r="BC73" s="4">
        <f t="shared" si="6"/>
        <v>50</v>
      </c>
      <c r="BD73" s="4">
        <f t="shared" si="6"/>
        <v>52</v>
      </c>
      <c r="BE73" s="4">
        <f t="shared" si="6"/>
        <v>39</v>
      </c>
      <c r="BF73" s="4">
        <f t="shared" si="6"/>
        <v>71</v>
      </c>
      <c r="BG73" s="4">
        <f t="shared" si="6"/>
        <v>33</v>
      </c>
      <c r="BH73" s="4">
        <f t="shared" si="6"/>
        <v>57</v>
      </c>
      <c r="BI73" s="4">
        <f t="shared" si="6"/>
        <v>33</v>
      </c>
      <c r="BJ73" s="4">
        <f t="shared" si="6"/>
        <v>64</v>
      </c>
      <c r="BK73" s="4">
        <f t="shared" si="6"/>
        <v>47</v>
      </c>
      <c r="BL73" s="4">
        <f t="shared" si="6"/>
        <v>72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O74" s="4">
        <f t="shared" ref="AO74:BL74" si="7">MIN(C47:C50)</f>
        <v>25</v>
      </c>
      <c r="AP74" s="4">
        <f t="shared" si="7"/>
        <v>60</v>
      </c>
      <c r="AQ74" s="4">
        <f t="shared" si="7"/>
        <v>47</v>
      </c>
      <c r="AR74" s="4">
        <f t="shared" si="7"/>
        <v>51</v>
      </c>
      <c r="AS74" s="4">
        <f t="shared" si="7"/>
        <v>37</v>
      </c>
      <c r="AT74" s="4">
        <f t="shared" si="7"/>
        <v>61</v>
      </c>
      <c r="AU74" s="4">
        <f t="shared" si="7"/>
        <v>0</v>
      </c>
      <c r="AV74" s="4">
        <f t="shared" si="7"/>
        <v>0</v>
      </c>
      <c r="AW74" s="4">
        <f t="shared" si="7"/>
        <v>21</v>
      </c>
      <c r="AX74" s="4">
        <f t="shared" si="7"/>
        <v>54</v>
      </c>
      <c r="AY74" s="4">
        <f t="shared" si="7"/>
        <v>0</v>
      </c>
      <c r="AZ74" s="4">
        <f t="shared" si="7"/>
        <v>0</v>
      </c>
      <c r="BA74" s="4">
        <f t="shared" si="7"/>
        <v>37</v>
      </c>
      <c r="BB74" s="4">
        <f t="shared" si="7"/>
        <v>64</v>
      </c>
      <c r="BC74" s="4">
        <f t="shared" si="7"/>
        <v>50</v>
      </c>
      <c r="BD74" s="4">
        <f t="shared" si="7"/>
        <v>52</v>
      </c>
      <c r="BE74" s="4">
        <f t="shared" si="7"/>
        <v>36</v>
      </c>
      <c r="BF74" s="4">
        <f t="shared" si="7"/>
        <v>61</v>
      </c>
      <c r="BG74" s="4">
        <f t="shared" si="7"/>
        <v>28</v>
      </c>
      <c r="BH74" s="4">
        <f t="shared" si="7"/>
        <v>53</v>
      </c>
      <c r="BI74" s="4">
        <f t="shared" si="7"/>
        <v>27</v>
      </c>
      <c r="BJ74" s="4">
        <f t="shared" si="7"/>
        <v>56</v>
      </c>
      <c r="BK74" s="4">
        <f t="shared" si="7"/>
        <v>46</v>
      </c>
      <c r="BL74" s="4">
        <f t="shared" si="7"/>
        <v>57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8">AO73-AO74</f>
        <v>9</v>
      </c>
      <c r="AP75" s="4">
        <f t="shared" si="8"/>
        <v>0</v>
      </c>
      <c r="AQ75" s="4">
        <f t="shared" si="8"/>
        <v>1</v>
      </c>
      <c r="AR75" s="4">
        <f t="shared" si="8"/>
        <v>2</v>
      </c>
      <c r="AS75" s="4">
        <f t="shared" si="8"/>
        <v>2</v>
      </c>
      <c r="AT75" s="4">
        <f t="shared" si="8"/>
        <v>13</v>
      </c>
      <c r="AU75" s="4">
        <f t="shared" si="8"/>
        <v>0</v>
      </c>
      <c r="AV75" s="4">
        <f t="shared" si="8"/>
        <v>0</v>
      </c>
      <c r="AW75" s="4">
        <f t="shared" si="8"/>
        <v>2</v>
      </c>
      <c r="AX75" s="4">
        <f t="shared" si="8"/>
        <v>2</v>
      </c>
      <c r="AY75" s="4">
        <f t="shared" si="8"/>
        <v>0</v>
      </c>
      <c r="AZ75" s="4">
        <f t="shared" si="8"/>
        <v>0</v>
      </c>
      <c r="BA75" s="4">
        <f t="shared" si="8"/>
        <v>3</v>
      </c>
      <c r="BB75" s="4">
        <f t="shared" si="8"/>
        <v>4</v>
      </c>
      <c r="BC75" s="4">
        <f t="shared" si="8"/>
        <v>0</v>
      </c>
      <c r="BD75" s="4">
        <f t="shared" si="8"/>
        <v>0</v>
      </c>
      <c r="BE75" s="4">
        <f t="shared" si="8"/>
        <v>3</v>
      </c>
      <c r="BF75" s="4">
        <f t="shared" si="8"/>
        <v>10</v>
      </c>
      <c r="BG75" s="4">
        <f t="shared" si="8"/>
        <v>5</v>
      </c>
      <c r="BH75" s="4">
        <f t="shared" si="8"/>
        <v>4</v>
      </c>
      <c r="BI75" s="4">
        <f t="shared" si="8"/>
        <v>6</v>
      </c>
      <c r="BJ75" s="4">
        <f t="shared" si="8"/>
        <v>8</v>
      </c>
      <c r="BK75" s="4">
        <f t="shared" si="8"/>
        <v>1</v>
      </c>
      <c r="BL75" s="4">
        <f t="shared" si="8"/>
        <v>15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N76" s="38" t="s">
        <v>28</v>
      </c>
      <c r="AO76" s="4">
        <f t="shared" ref="AO76:BL76" si="9">MAX(C51)</f>
        <v>34</v>
      </c>
      <c r="AP76" s="4">
        <f t="shared" si="9"/>
        <v>60</v>
      </c>
      <c r="AQ76" s="4">
        <f t="shared" si="9"/>
        <v>47</v>
      </c>
      <c r="AR76" s="4">
        <f t="shared" si="9"/>
        <v>53</v>
      </c>
      <c r="AS76" s="4">
        <f t="shared" si="9"/>
        <v>39</v>
      </c>
      <c r="AT76" s="4">
        <f t="shared" si="9"/>
        <v>61</v>
      </c>
      <c r="AU76" s="4">
        <f t="shared" si="9"/>
        <v>0</v>
      </c>
      <c r="AV76" s="4">
        <f t="shared" si="9"/>
        <v>0</v>
      </c>
      <c r="AW76" s="4">
        <f t="shared" si="9"/>
        <v>22</v>
      </c>
      <c r="AX76" s="4">
        <f t="shared" si="9"/>
        <v>54</v>
      </c>
      <c r="AY76" s="4">
        <f t="shared" si="9"/>
        <v>0</v>
      </c>
      <c r="AZ76" s="4">
        <f t="shared" si="9"/>
        <v>0</v>
      </c>
      <c r="BA76" s="4">
        <f t="shared" si="9"/>
        <v>38</v>
      </c>
      <c r="BB76" s="4">
        <f t="shared" si="9"/>
        <v>64</v>
      </c>
      <c r="BC76" s="4">
        <f t="shared" si="9"/>
        <v>50</v>
      </c>
      <c r="BD76" s="4">
        <f t="shared" si="9"/>
        <v>52</v>
      </c>
      <c r="BE76" s="4">
        <f t="shared" si="9"/>
        <v>36</v>
      </c>
      <c r="BF76" s="4">
        <f t="shared" si="9"/>
        <v>61</v>
      </c>
      <c r="BG76" s="4">
        <f t="shared" si="9"/>
        <v>33</v>
      </c>
      <c r="BH76" s="4">
        <f t="shared" si="9"/>
        <v>57</v>
      </c>
      <c r="BI76" s="4">
        <f t="shared" si="9"/>
        <v>33</v>
      </c>
      <c r="BJ76" s="4">
        <f t="shared" si="9"/>
        <v>64</v>
      </c>
      <c r="BK76" s="4">
        <f t="shared" si="9"/>
        <v>46</v>
      </c>
      <c r="BL76" s="4">
        <f t="shared" si="9"/>
        <v>57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O77" s="4">
        <f t="shared" ref="AO77:BL77" si="10">MIN(C51)</f>
        <v>34</v>
      </c>
      <c r="AP77" s="4">
        <f t="shared" si="10"/>
        <v>60</v>
      </c>
      <c r="AQ77" s="4">
        <f t="shared" si="10"/>
        <v>47</v>
      </c>
      <c r="AR77" s="4">
        <f t="shared" si="10"/>
        <v>53</v>
      </c>
      <c r="AS77" s="4">
        <f t="shared" si="10"/>
        <v>39</v>
      </c>
      <c r="AT77" s="4">
        <f t="shared" si="10"/>
        <v>61</v>
      </c>
      <c r="AU77" s="4">
        <f t="shared" si="10"/>
        <v>0</v>
      </c>
      <c r="AV77" s="4">
        <f t="shared" si="10"/>
        <v>0</v>
      </c>
      <c r="AW77" s="4">
        <f t="shared" si="10"/>
        <v>22</v>
      </c>
      <c r="AX77" s="4">
        <f t="shared" si="10"/>
        <v>54</v>
      </c>
      <c r="AY77" s="4">
        <f t="shared" si="10"/>
        <v>0</v>
      </c>
      <c r="AZ77" s="4">
        <f t="shared" si="10"/>
        <v>0</v>
      </c>
      <c r="BA77" s="4">
        <f t="shared" si="10"/>
        <v>38</v>
      </c>
      <c r="BB77" s="4">
        <f t="shared" si="10"/>
        <v>64</v>
      </c>
      <c r="BC77" s="4">
        <f t="shared" si="10"/>
        <v>50</v>
      </c>
      <c r="BD77" s="4">
        <f t="shared" si="10"/>
        <v>52</v>
      </c>
      <c r="BE77" s="4">
        <f t="shared" si="10"/>
        <v>36</v>
      </c>
      <c r="BF77" s="4">
        <f t="shared" si="10"/>
        <v>61</v>
      </c>
      <c r="BG77" s="4">
        <f t="shared" si="10"/>
        <v>33</v>
      </c>
      <c r="BH77" s="4">
        <f t="shared" si="10"/>
        <v>57</v>
      </c>
      <c r="BI77" s="4">
        <f t="shared" si="10"/>
        <v>33</v>
      </c>
      <c r="BJ77" s="4">
        <f t="shared" si="10"/>
        <v>64</v>
      </c>
      <c r="BK77" s="4">
        <f t="shared" si="10"/>
        <v>46</v>
      </c>
      <c r="BL77" s="4">
        <f t="shared" si="10"/>
        <v>57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11">AO76-AO77</f>
        <v>0</v>
      </c>
      <c r="AP78" s="4">
        <f t="shared" si="11"/>
        <v>0</v>
      </c>
      <c r="AQ78" s="4">
        <f t="shared" si="11"/>
        <v>0</v>
      </c>
      <c r="AR78" s="4">
        <f t="shared" si="11"/>
        <v>0</v>
      </c>
      <c r="AS78" s="4">
        <f t="shared" si="11"/>
        <v>0</v>
      </c>
      <c r="AT78" s="4">
        <f t="shared" si="11"/>
        <v>0</v>
      </c>
      <c r="AU78" s="4">
        <f t="shared" si="11"/>
        <v>0</v>
      </c>
      <c r="AV78" s="4">
        <f t="shared" si="11"/>
        <v>0</v>
      </c>
      <c r="AW78" s="4">
        <f t="shared" si="11"/>
        <v>0</v>
      </c>
      <c r="AX78" s="4">
        <f t="shared" si="11"/>
        <v>0</v>
      </c>
      <c r="AY78" s="4">
        <f t="shared" si="11"/>
        <v>0</v>
      </c>
      <c r="AZ78" s="4">
        <f t="shared" si="11"/>
        <v>0</v>
      </c>
      <c r="BA78" s="4">
        <f t="shared" si="11"/>
        <v>0</v>
      </c>
      <c r="BB78" s="4">
        <f t="shared" si="11"/>
        <v>0</v>
      </c>
      <c r="BC78" s="4">
        <f t="shared" si="11"/>
        <v>0</v>
      </c>
      <c r="BD78" s="4">
        <f t="shared" si="11"/>
        <v>0</v>
      </c>
      <c r="BE78" s="4">
        <f t="shared" si="11"/>
        <v>0</v>
      </c>
      <c r="BF78" s="4">
        <f t="shared" si="11"/>
        <v>0</v>
      </c>
      <c r="BG78" s="4">
        <f t="shared" si="11"/>
        <v>0</v>
      </c>
      <c r="BH78" s="4">
        <f t="shared" si="11"/>
        <v>0</v>
      </c>
      <c r="BI78" s="4">
        <f t="shared" si="11"/>
        <v>0</v>
      </c>
      <c r="BJ78" s="4">
        <f t="shared" si="11"/>
        <v>0</v>
      </c>
      <c r="BK78" s="4">
        <f t="shared" si="11"/>
        <v>0</v>
      </c>
      <c r="BL78" s="4">
        <f t="shared" si="11"/>
        <v>0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12">AO69+AO72+AO75+AO78</f>
        <v>31</v>
      </c>
      <c r="AP79" s="4">
        <f t="shared" si="12"/>
        <v>4</v>
      </c>
      <c r="AQ79" s="4">
        <f t="shared" si="12"/>
        <v>1</v>
      </c>
      <c r="AR79" s="4">
        <f t="shared" si="12"/>
        <v>3</v>
      </c>
      <c r="AS79" s="4">
        <f t="shared" si="12"/>
        <v>6</v>
      </c>
      <c r="AT79" s="4">
        <f t="shared" si="12"/>
        <v>22</v>
      </c>
      <c r="AU79" s="4">
        <f t="shared" si="12"/>
        <v>5</v>
      </c>
      <c r="AV79" s="4">
        <f t="shared" si="12"/>
        <v>1</v>
      </c>
      <c r="AW79" s="4">
        <f t="shared" si="12"/>
        <v>7</v>
      </c>
      <c r="AX79" s="4">
        <f t="shared" si="12"/>
        <v>3</v>
      </c>
      <c r="AY79" s="4">
        <f t="shared" si="12"/>
        <v>0</v>
      </c>
      <c r="AZ79" s="4">
        <f t="shared" si="12"/>
        <v>6</v>
      </c>
      <c r="BA79" s="4">
        <f t="shared" si="12"/>
        <v>9</v>
      </c>
      <c r="BB79" s="4">
        <f t="shared" si="12"/>
        <v>17</v>
      </c>
      <c r="BC79" s="4">
        <f t="shared" si="12"/>
        <v>0</v>
      </c>
      <c r="BD79" s="4">
        <f t="shared" si="12"/>
        <v>0</v>
      </c>
      <c r="BE79" s="4">
        <f t="shared" si="12"/>
        <v>20</v>
      </c>
      <c r="BF79" s="4">
        <f t="shared" si="12"/>
        <v>23</v>
      </c>
      <c r="BG79" s="4">
        <f t="shared" si="12"/>
        <v>22</v>
      </c>
      <c r="BH79" s="4">
        <f t="shared" si="12"/>
        <v>21</v>
      </c>
      <c r="BI79" s="4">
        <f t="shared" si="12"/>
        <v>17</v>
      </c>
      <c r="BJ79" s="4">
        <f t="shared" si="12"/>
        <v>9</v>
      </c>
      <c r="BK79" s="4">
        <f t="shared" si="12"/>
        <v>1</v>
      </c>
      <c r="BL79" s="4">
        <f t="shared" si="12"/>
        <v>38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A10" sqref="A10:XF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1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1430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8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232" activePane="bottomLeft" state="frozenSplit"/>
      <selection pane="bottomLeft" activeCell="Z252" sqref="Z252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1398</v>
      </c>
      <c r="AI1" s="30" t="s">
        <v>1243</v>
      </c>
      <c r="AJ1" s="30" t="s">
        <v>1240</v>
      </c>
      <c r="AK1" s="30" t="s">
        <v>1494</v>
      </c>
      <c r="AL1" s="30" t="s">
        <v>1227</v>
      </c>
    </row>
    <row r="2" spans="1:38" x14ac:dyDescent="0.2">
      <c r="A2" s="1" t="s">
        <v>125</v>
      </c>
      <c r="B2" s="1" t="str">
        <f>VLOOKUP(A2,Xtal_Templ!A:B,2,FALSE)</f>
        <v>adrb2_human</v>
      </c>
      <c r="C2" s="5">
        <f>VLOOKUP($B2&amp;"__wt",'SegEnds_Xtal_BW#'!$A:$Z,3,FALSE)</f>
        <v>25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35</v>
      </c>
      <c r="T2" s="1">
        <f t="array" ref="T2">INDEX(ICL3_classA!$G$2:$G$37,MATCH(MIN(ABS(AI2-ICL3_classA!$F$2:$F$37)),ABS(AI2-ICL3_classA!$F$2:$F$37),0))</f>
        <v>74</v>
      </c>
      <c r="U2" s="1">
        <f t="array" ref="U2">INDEX(ICL3_classA!$H$2:$H$37,MATCH(MIN(ABS(AI2-ICL3_classA!$F$2:$F$37)),ABS(AI2-ICL3_classA!$F$2:$F$37),0))</f>
        <v>24</v>
      </c>
      <c r="V2" s="1">
        <v>61</v>
      </c>
      <c r="W2" s="1">
        <v>31</v>
      </c>
      <c r="X2" s="1">
        <f>VLOOKUP($B2&amp;"__wt",'SegEnds_Xtal_BW#'!$A:$Z,24,FALSE)</f>
        <v>55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>
        <f>VLOOKUP(A2,'SegEnds_NonXtal_Prot#'!A:AL,13,FALSE)-VLOOKUP(A2,'SegEnds_NonXtal_Prot#'!A:AL,10,FALSE)</f>
        <v>20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20</v>
      </c>
      <c r="AH2" s="1">
        <f>VLOOKUP(A2,'SegEnds_NonXtal_Prot#'!A:AL,28,FALSE)-VLOOKUP(A2,'SegEnds_NonXtal_Prot#'!A:AL,22,FALSE)</f>
        <v>53</v>
      </c>
      <c r="AI2" s="1">
        <f>VLOOKUP(A2,'SegEnds_NonXtal_Prot#'!A:AL,31,FALSE)-VLOOKUP(A2,'SegEnds_NonXtal_Prot#'!A:AL,28,FALSE)</f>
        <v>103</v>
      </c>
      <c r="AJ2" s="1">
        <f>VLOOKUP(A2,'SegEnds_NonXtal_Prot#'!A:AL,34,FALSE)-VLOOKUP(A2,'SegEnds_NonXtal_Prot#'!A:AL,31,FALSE)</f>
        <v>35</v>
      </c>
      <c r="AK2" s="1">
        <f>VLOOKUP(A2,'SegEnds_NonXtal_Prot#'!A:AL,37,FALSE)-VLOOKUP(A2,'SegEnds_NonXtal_Prot#'!A:AL,34,FALSE)</f>
        <v>9</v>
      </c>
      <c r="AL2" s="1" t="str">
        <f>IF(ISERROR(MATCH(A2,'SegEnds_Xtal_Prot#'!B:B, 0)), "NoXtal", "Xtal")</f>
        <v>NoXtal</v>
      </c>
    </row>
    <row r="3" spans="1:38" x14ac:dyDescent="0.2">
      <c r="A3" s="1" t="s">
        <v>912</v>
      </c>
      <c r="B3" s="1" t="str">
        <f>VLOOKUP(A3,Xtal_Templ!A:B,2,FALSE)</f>
        <v>adrb1_melga</v>
      </c>
      <c r="C3" s="5">
        <f>VLOOKUP($B3&amp;"__wt",'SegEnds_Xtal_BW#'!$A:$Z,3,FALSE)</f>
        <v>24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7">
        <f>VLOOKUP($B3&amp;"__wt",'SegEnds_Xtal_BW#'!$A:$Z,15,FALSE)</f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35</v>
      </c>
      <c r="T3" s="1">
        <f t="array" ref="T3">INDEX(ICL3_classA!$G$2:$G$37,MATCH(MIN(ABS(AI3-ICL3_classA!$F$2:$F$37)),ABS(AI3-ICL3_classA!$F$2:$F$37),0))</f>
        <v>76</v>
      </c>
      <c r="U3" s="1">
        <v>20</v>
      </c>
      <c r="V3" s="1">
        <v>61</v>
      </c>
      <c r="W3" s="1">
        <v>31</v>
      </c>
      <c r="X3" s="1">
        <f>VLOOKUP($B3&amp;"__wt",'SegEnds_Xtal_BW#'!$A:$Z,24,FALSE)</f>
        <v>55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28</v>
      </c>
      <c r="AC3" s="1">
        <f>VLOOKUP(A3,'SegEnds_NonXtal_Prot#'!A:AL,10,FALSE)-VLOOKUP(A3,'SegEnds_NonXtal_Prot#'!A:AL,7,FALSE)</f>
        <v>15</v>
      </c>
      <c r="AD3" s="1">
        <f>VLOOKUP(A3,'SegEnds_NonXtal_Prot#'!A:AL,13,FALSE)-VLOOKUP(A3,'SegEnds_NonXtal_Prot#'!A:AL,10,FALSE)</f>
        <v>20</v>
      </c>
      <c r="AE3" s="1">
        <f>VLOOKUP(A3,'SegEnds_NonXtal_Prot#'!A:AL,16,FALSE)-VLOOKUP(A3,'SegEnds_NonXtal_Prot#'!A:AL,10,FALSE)</f>
        <v>52</v>
      </c>
      <c r="AF3" s="1">
        <f>VLOOKUP(A3,'SegEnds_NonXtal_Prot#'!A:AL,22,FALSE)-VLOOKUP(A3,'SegEnds_NonXtal_Prot#'!A:AL,19,FALSE)</f>
        <v>20</v>
      </c>
      <c r="AG3" s="1">
        <f>VLOOKUP(A3,'SegEnds_NonXtal_Prot#'!A:AL,28,FALSE)-VLOOKUP(A3,'SegEnds_NonXtal_Prot#'!A:AL,25,FALSE)</f>
        <v>20</v>
      </c>
      <c r="AH3" s="1">
        <f>VLOOKUP(A3,'SegEnds_NonXtal_Prot#'!A:AL,28,FALSE)-VLOOKUP(A3,'SegEnds_NonXtal_Prot#'!A:AL,22,FALSE)</f>
        <v>53</v>
      </c>
      <c r="AI3" s="1">
        <f>VLOOKUP(A3,'SegEnds_NonXtal_Prot#'!A:AL,31,FALSE)-VLOOKUP(A3,'SegEnds_NonXtal_Prot#'!A:AL,28,FALSE)</f>
        <v>86</v>
      </c>
      <c r="AJ3" s="1">
        <f>VLOOKUP(A3,'SegEnds_NonXtal_Prot#'!A:AL,34,FALSE)-VLOOKUP(A3,'SegEnds_NonXtal_Prot#'!A:AL,31,FALSE)</f>
        <v>35</v>
      </c>
      <c r="AK3" s="1">
        <f>VLOOKUP(A3,'SegEnds_NonXtal_Prot#'!A:AL,37,FALSE)-VLOOKUP(A3,'SegEnds_NonXtal_Prot#'!A:AL,34,FALSE)</f>
        <v>9</v>
      </c>
      <c r="AL3" s="1" t="str">
        <f>IF(ISERROR(MATCH(A3,'SegEnds_Xtal_Prot#'!B:B, 0)), "NoXtal", "Xtal")</f>
        <v>Xtal</v>
      </c>
    </row>
    <row r="4" spans="1:38" x14ac:dyDescent="0.2">
      <c r="A4" s="1" t="s">
        <v>126</v>
      </c>
      <c r="B4" s="1" t="str">
        <f>VLOOKUP(A4,Xtal_Templ!A:B,2,FALSE)</f>
        <v>adrb2_human</v>
      </c>
      <c r="C4" s="5">
        <f>VLOOKUP($B4&amp;"__wt",'SegEnds_Xtal_BW#'!$A:$Z,3,FALSE)</f>
        <v>25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67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f>VLOOKUP($B4&amp;"__wt",'SegEnds_Xtal_BW#'!$A:$Z,15,FALSE)</f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35</v>
      </c>
      <c r="T4" s="1">
        <f t="array" ref="T4">INDEX(ICL3_classA!$G$2:$G$37,MATCH(MIN(ABS(AI4-ICL3_classA!$F$2:$F$37)),ABS(AI4-ICL3_classA!$F$2:$F$37),0))</f>
        <v>76</v>
      </c>
      <c r="U4" s="1">
        <f t="array" ref="U4">INDEX(ICL3_classA!$H$2:$H$37,MATCH(MIN(ABS(AI4-ICL3_classA!$F$2:$F$37)),ABS(AI4-ICL3_classA!$F$2:$F$37),0))</f>
        <v>24</v>
      </c>
      <c r="V4" s="1">
        <v>61</v>
      </c>
      <c r="W4" s="1">
        <v>31</v>
      </c>
      <c r="X4" s="1">
        <f>VLOOKUP($B4&amp;"__wt",'SegEnds_Xtal_BW#'!$A:$Z,24,FALSE)</f>
        <v>55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>
        <f>VLOOKUP(A4,'SegEnds_NonXtal_Prot#'!A:AL,13,FALSE)-VLOOKUP(A4,'SegEnds_NonXtal_Prot#'!A:AL,10,FALSE)</f>
        <v>20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>
        <f>VLOOKUP(A4,'SegEnds_NonXtal_Prot#'!A:AL,28,FALSE)-VLOOKUP(A4,'SegEnds_NonXtal_Prot#'!A:AL,25,FALSE)</f>
        <v>20</v>
      </c>
      <c r="AH4" s="1">
        <f>VLOOKUP(A4,'SegEnds_NonXtal_Prot#'!A:AL,28,FALSE)-VLOOKUP(A4,'SegEnds_NonXtal_Prot#'!A:AL,22,FALSE)</f>
        <v>53</v>
      </c>
      <c r="AI4" s="1">
        <f>VLOOKUP(A4,'SegEnds_NonXtal_Prot#'!A:AL,31,FALSE)-VLOOKUP(A4,'SegEnds_NonXtal_Prot#'!A:AL,28,FALSE)</f>
        <v>77</v>
      </c>
      <c r="AJ4" s="1">
        <f>VLOOKUP(A4,'SegEnds_NonXtal_Prot#'!A:AL,34,FALSE)-VLOOKUP(A4,'SegEnds_NonXtal_Prot#'!A:AL,31,FALSE)</f>
        <v>35</v>
      </c>
      <c r="AK4" s="1">
        <f>VLOOKUP(A4,'SegEnds_NonXtal_Prot#'!A:AL,37,FALSE)-VLOOKUP(A4,'SegEnds_NonXtal_Prot#'!A:AL,34,FALSE)</f>
        <v>9</v>
      </c>
      <c r="AL4" s="1" t="str">
        <f>IF(ISERROR(MATCH(A4,'SegEnds_Xtal_Prot#'!B:B, 0)), "NoXtal", "Xtal")</f>
        <v>Xtal</v>
      </c>
    </row>
    <row r="5" spans="1:38" x14ac:dyDescent="0.2">
      <c r="A5" s="1" t="s">
        <v>102</v>
      </c>
      <c r="B5" s="1" t="str">
        <f>VLOOKUP(A5,Xtal_Templ!A:B,2,FALSE)</f>
        <v>adrb2_human</v>
      </c>
      <c r="C5" s="5">
        <f>VLOOKUP($B5&amp;"__wt",'SegEnds_Xtal_BW#'!$A:$Z,3,FALSE)</f>
        <v>25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f>VLOOKUP($B5&amp;"__wt",'SegEnds_Xtal_BW#'!$A:$Z,8,FALSE)</f>
        <v>67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v>35</v>
      </c>
      <c r="T5" s="1">
        <f t="array" ref="T5">INDEX(ICL3_classA!$G$2:$G$37,MATCH(MIN(ABS(AI5-ICL3_classA!$F$2:$F$37)),ABS(AI5-ICL3_classA!$F$2:$F$37),0))</f>
        <v>76</v>
      </c>
      <c r="U5" s="1">
        <f t="array" ref="U5">INDEX(ICL3_classA!$H$2:$H$37,MATCH(MIN(ABS(AI5-ICL3_classA!$F$2:$F$37)),ABS(AI5-ICL3_classA!$F$2:$F$37),0))</f>
        <v>24</v>
      </c>
      <c r="V5" s="1">
        <v>61</v>
      </c>
      <c r="W5" s="1">
        <v>31</v>
      </c>
      <c r="X5" s="128">
        <f>VLOOKUP($B5&amp;"__wt",'SegEnds_Xtal_BW#'!$A:$Z,24,FALSE)</f>
        <v>55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>
        <f>VLOOKUP(A5,'SegEnds_NonXtal_Prot#'!A:AL,13,FALSE)-VLOOKUP(A5,'SegEnds_NonXtal_Prot#'!A:AL,10,FALSE)</f>
        <v>20</v>
      </c>
      <c r="AE5" s="1">
        <f>VLOOKUP(A5,'SegEnds_NonXtal_Prot#'!A:AL,16,FALSE)-VLOOKUP(A5,'SegEnds_NonXtal_Prot#'!A:AL,10,FALSE)</f>
        <v>52</v>
      </c>
      <c r="AF5" s="1">
        <f>VLOOKUP(A5,'SegEnds_NonXtal_Prot#'!A:AL,22,FALSE)-VLOOKUP(A5,'SegEnds_NonXtal_Prot#'!A:AL,19,FALSE)</f>
        <v>20</v>
      </c>
      <c r="AG5" s="1">
        <f>VLOOKUP(A5,'SegEnds_NonXtal_Prot#'!A:AL,28,FALSE)-VLOOKUP(A5,'SegEnds_NonXtal_Prot#'!A:AL,25,FALSE)</f>
        <v>20</v>
      </c>
      <c r="AH5" s="1">
        <f>VLOOKUP(A5,'SegEnds_NonXtal_Prot#'!A:AL,28,FALSE)-VLOOKUP(A5,'SegEnds_NonXtal_Prot#'!A:AL,22,FALSE)</f>
        <v>54</v>
      </c>
      <c r="AI5" s="1">
        <f>VLOOKUP(A5,'SegEnds_NonXtal_Prot#'!A:AL,31,FALSE)-VLOOKUP(A5,'SegEnds_NonXtal_Prot#'!A:AL,28,FALSE)</f>
        <v>91</v>
      </c>
      <c r="AJ5" s="1">
        <f>VLOOKUP(A5,'SegEnds_NonXtal_Prot#'!A:AL,34,FALSE)-VLOOKUP(A5,'SegEnds_NonXtal_Prot#'!A:AL,31,FALSE)</f>
        <v>36</v>
      </c>
      <c r="AK5" s="1">
        <f>VLOOKUP(A5,'SegEnds_NonXtal_Prot#'!A:AL,37,FALSE)-VLOOKUP(A5,'SegEnds_NonXtal_Prot#'!A:AL,34,FALSE)</f>
        <v>9</v>
      </c>
      <c r="AL5" s="1" t="str">
        <f>IF(ISERROR(MATCH(A5,'SegEnds_Xtal_Prot#'!B:B, 0)), "NoXtal", "Xtal")</f>
        <v>NoXtal</v>
      </c>
    </row>
    <row r="6" spans="1:38" x14ac:dyDescent="0.2">
      <c r="A6" s="1" t="s">
        <v>225</v>
      </c>
      <c r="B6" s="1" t="str">
        <f>VLOOKUP(A6,Xtal_Templ!A:B,2,FALSE)</f>
        <v>ox2r_human</v>
      </c>
      <c r="C6" s="5">
        <f>VLOOKUP($B6&amp;"__wt",'SegEnds_Xtal_BW#'!$A:$Z,3,FALSE)</f>
        <v>31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68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f>VLOOKUP($B6&amp;"__wt",'SegEnds_Xtal_BW#'!$A:$Z,15,FALSE)</f>
        <v>38</v>
      </c>
      <c r="P6" s="1">
        <v>63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v>35</v>
      </c>
      <c r="T6" s="1">
        <f t="array" ref="T6">INDEX(ICL3_classA!$G$2:$G$37,MATCH(MIN(ABS(AI6-ICL3_classA!$F$2:$F$37)),ABS(AI6-ICL3_classA!$F$2:$F$37),0))</f>
        <v>76</v>
      </c>
      <c r="U6" s="1">
        <f t="array" ref="U6">INDEX(ICL3_classA!$H$2:$H$37,MATCH(MIN(ABS(AI6-ICL3_classA!$F$2:$F$37)),ABS(AI6-ICL3_classA!$F$2:$F$37),0))</f>
        <v>24</v>
      </c>
      <c r="V6" s="1">
        <v>61</v>
      </c>
      <c r="W6" s="1">
        <v>32</v>
      </c>
      <c r="X6" s="108">
        <v>55</v>
      </c>
      <c r="Y6" s="1">
        <f>VLOOKUP($B6&amp;"__wt",'SegEnds_Xtal_BW#'!$A:$Z,25,FALSE)</f>
        <v>47</v>
      </c>
      <c r="Z6" s="1">
        <f>VLOOKUP($B6&amp;"__wt",'SegEnds_Xtal_BW#'!$A:$Z,26,FALSE)</f>
        <v>58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27</v>
      </c>
      <c r="AC6" s="1">
        <f>VLOOKUP(A6,'SegEnds_NonXtal_Prot#'!A:AL,10,FALSE)-VLOOKUP(A6,'SegEnds_NonXtal_Prot#'!A:AL,7,FALSE)</f>
        <v>14</v>
      </c>
      <c r="AD6" s="1">
        <f>VLOOKUP(A6,'SegEnds_NonXtal_Prot#'!A:AL,13,FALSE)-VLOOKUP(A6,'SegEnds_NonXtal_Prot#'!A:AL,10,FALSE)</f>
        <v>24</v>
      </c>
      <c r="AE6" s="1">
        <f>VLOOKUP(A6,'SegEnds_NonXtal_Prot#'!A:AL,16,FALSE)-VLOOKUP(A6,'SegEnds_NonXtal_Prot#'!A:AL,10,FALSE)</f>
        <v>56</v>
      </c>
      <c r="AF6" s="1">
        <f>VLOOKUP(A6,'SegEnds_NonXtal_Prot#'!A:AL,22,FALSE)-VLOOKUP(A6,'SegEnds_NonXtal_Prot#'!A:AL,19,FALSE)</f>
        <v>20</v>
      </c>
      <c r="AG6" s="1">
        <f>VLOOKUP(A6,'SegEnds_NonXtal_Prot#'!A:AL,28,FALSE)-VLOOKUP(A6,'SegEnds_NonXtal_Prot#'!A:AL,25,FALSE)</f>
        <v>23</v>
      </c>
      <c r="AH6" s="1">
        <f>VLOOKUP(A6,'SegEnds_NonXtal_Prot#'!A:AL,28,FALSE)-VLOOKUP(A6,'SegEnds_NonXtal_Prot#'!A:AL,22,FALSE)</f>
        <v>49</v>
      </c>
      <c r="AI6" s="1">
        <f>VLOOKUP(A6,'SegEnds_NonXtal_Prot#'!A:AL,31,FALSE)-VLOOKUP(A6,'SegEnds_NonXtal_Prot#'!A:AL,28,FALSE)</f>
        <v>76</v>
      </c>
      <c r="AJ6" s="1">
        <f>VLOOKUP(A6,'SegEnds_NonXtal_Prot#'!A:AL,34,FALSE)-VLOOKUP(A6,'SegEnds_NonXtal_Prot#'!A:AL,31,FALSE)</f>
        <v>34</v>
      </c>
      <c r="AK6" s="1">
        <f>VLOOKUP(A6,'SegEnds_NonXtal_Prot#'!A:AL,37,FALSE)-VLOOKUP(A6,'SegEnds_NonXtal_Prot#'!A:AL,34,FALSE)</f>
        <v>9</v>
      </c>
      <c r="AL6" s="1" t="str">
        <f>IF(ISERROR(MATCH(A6,'SegEnds_Xtal_Prot#'!B:B, 0)), "NoXtal", "Xtal")</f>
        <v>NoXtal</v>
      </c>
    </row>
    <row r="7" spans="1:38" x14ac:dyDescent="0.2">
      <c r="A7" s="1" t="s">
        <v>228</v>
      </c>
      <c r="B7" s="1" t="str">
        <f>VLOOKUP(A7,Xtal_Templ!A:B,2,FALSE)</f>
        <v>npy1r_human</v>
      </c>
      <c r="C7" s="5">
        <f>VLOOKUP($B7&amp;"__wt",'SegEnds_Xtal_BW#'!$A:$Z,3,FALSE)</f>
        <v>28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68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08"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INDEX(ICL3_classA!$G$2:$G$37,MATCH(MIN(ABS(AI7-ICL3_classA!$F$2:$F$37)),ABS(AI7-ICL3_classA!$F$2:$F$37),0))</f>
        <v>74</v>
      </c>
      <c r="U7" s="1">
        <f t="array" ref="U7">INDEX(ICL3_classA!$H$2:$H$37,MATCH(MIN(ABS(AI7-ICL3_classA!$F$2:$F$37)),ABS(AI7-ICL3_classA!$F$2:$F$37),0))</f>
        <v>24</v>
      </c>
      <c r="V7" s="1">
        <v>61</v>
      </c>
      <c r="W7" s="1">
        <v>32</v>
      </c>
      <c r="X7" s="108">
        <v>55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27</v>
      </c>
      <c r="AC7" s="1">
        <f>VLOOKUP(A7,'SegEnds_NonXtal_Prot#'!A:AL,10,FALSE)-VLOOKUP(A7,'SegEnds_NonXtal_Prot#'!A:AL,7,FALSE)</f>
        <v>14</v>
      </c>
      <c r="AD7" s="1">
        <f>VLOOKUP(A7,'SegEnds_NonXtal_Prot#'!A:AL,13,FALSE)-VLOOKUP(A7,'SegEnds_NonXtal_Prot#'!A:AL,10,FALSE)</f>
        <v>25</v>
      </c>
      <c r="AE7" s="1">
        <f>VLOOKUP(A7,'SegEnds_NonXtal_Prot#'!A:AL,16,FALSE)-VLOOKUP(A7,'SegEnds_NonXtal_Prot#'!A:AL,10,FALSE)</f>
        <v>57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23</v>
      </c>
      <c r="AH7" s="1">
        <f>VLOOKUP(A7,'SegEnds_NonXtal_Prot#'!A:AL,28,FALSE)-VLOOKUP(A7,'SegEnds_NonXtal_Prot#'!A:AL,22,FALSE)</f>
        <v>49</v>
      </c>
      <c r="AI7" s="1">
        <f>VLOOKUP(A7,'SegEnds_NonXtal_Prot#'!A:AL,31,FALSE)-VLOOKUP(A7,'SegEnds_NonXtal_Prot#'!A:AL,28,FALSE)</f>
        <v>96</v>
      </c>
      <c r="AJ7" s="1">
        <f>VLOOKUP(A7,'SegEnds_NonXtal_Prot#'!A:AL,34,FALSE)-VLOOKUP(A7,'SegEnds_NonXtal_Prot#'!A:AL,31,FALSE)</f>
        <v>34</v>
      </c>
      <c r="AK7" s="1">
        <f>VLOOKUP(A7,'SegEnds_NonXtal_Prot#'!A:AL,37,FALSE)-VLOOKUP(A7,'SegEnds_NonXtal_Prot#'!A:AL,34,FALSE)</f>
        <v>9</v>
      </c>
      <c r="AL7" s="1" t="str">
        <f>IF(ISERROR(MATCH(A7,'SegEnds_Xtal_Prot#'!B:B, 0)), "NoXtal", "Xtal")</f>
        <v>NoXtal</v>
      </c>
    </row>
    <row r="8" spans="1:38" x14ac:dyDescent="0.2">
      <c r="A8" s="1" t="s">
        <v>128</v>
      </c>
      <c r="B8" s="1" t="str">
        <f>VLOOKUP(A8,Xtal_Templ!A:B,2,FALSE)</f>
        <v>5ht1b_human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68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63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v>35</v>
      </c>
      <c r="T8" s="1">
        <f t="array" ref="T8">INDEX(ICL3_classA!$G$2:$G$37,MATCH(MIN(ABS(AI8-ICL3_classA!$F$2:$F$37)),ABS(AI8-ICL3_classA!$F$2:$F$37),0))</f>
        <v>76</v>
      </c>
      <c r="U8" s="1">
        <f t="array" ref="U8">INDEX(ICL3_classA!$H$2:$H$37,MATCH(MIN(ABS(AI8-ICL3_classA!$F$2:$F$37)),ABS(AI8-ICL3_classA!$F$2:$F$37),0))</f>
        <v>24</v>
      </c>
      <c r="V8" s="1">
        <v>60</v>
      </c>
      <c r="W8" s="1">
        <v>31</v>
      </c>
      <c r="X8" s="128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58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20</v>
      </c>
      <c r="AH8" s="1">
        <f>VLOOKUP(A8,'SegEnds_NonXtal_Prot#'!A:AL,28,FALSE)-VLOOKUP(A8,'SegEnds_NonXtal_Prot#'!A:AL,22,FALSE)</f>
        <v>46</v>
      </c>
      <c r="AI8" s="1">
        <f>VLOOKUP(A8,'SegEnds_NonXtal_Prot#'!A:AL,31,FALSE)-VLOOKUP(A8,'SegEnds_NonXtal_Prot#'!A:AL,28,FALSE)</f>
        <v>153</v>
      </c>
      <c r="AJ8" s="1">
        <f>VLOOKUP(A8,'SegEnds_NonXtal_Prot#'!A:AL,34,FALSE)-VLOOKUP(A8,'SegEnds_NonXtal_Prot#'!A:AL,31,FALSE)</f>
        <v>37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34</v>
      </c>
      <c r="B9" s="1" t="str">
        <f>VLOOKUP(A9,Xtal_Templ!A:B,2,FALSE)</f>
        <v>5ht1b_human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68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f>VLOOKUP($B9&amp;"__wt",'SegEnds_Xtal_BW#'!$A:$Z,14,FALSE)</f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v>35</v>
      </c>
      <c r="T9" s="1">
        <f t="array" ref="T9">INDEX(ICL3_classA!$G$2:$G$37,MATCH(MIN(ABS(AI9-ICL3_classA!$F$2:$F$37)),ABS(AI9-ICL3_classA!$F$2:$F$37),0))</f>
        <v>74</v>
      </c>
      <c r="U9" s="1">
        <f t="array" ref="U9">INDEX(ICL3_classA!$H$2:$H$37,MATCH(MIN(ABS(AI9-ICL3_classA!$F$2:$F$37)),ABS(AI9-ICL3_classA!$F$2:$F$37),0))</f>
        <v>24</v>
      </c>
      <c r="V9" s="1">
        <v>60</v>
      </c>
      <c r="W9" s="1">
        <v>31</v>
      </c>
      <c r="X9" s="128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58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>
        <f>VLOOKUP(A9,'SegEnds_NonXtal_Prot#'!A:AL,10,FALSE)-VLOOKUP(A9,'SegEnds_NonXtal_Prot#'!A:AL,7,FALSE)</f>
        <v>15</v>
      </c>
      <c r="AD9" s="1">
        <f>VLOOKUP(A9,'SegEnds_NonXtal_Prot#'!A:AL,13,FALSE)-VLOOKUP(A9,'SegEnds_NonXtal_Prot#'!A:AL,10,FALSE)</f>
        <v>20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>
        <f>VLOOKUP(A9,'SegEnds_NonXtal_Prot#'!A:AL,28,FALSE)-VLOOKUP(A9,'SegEnds_NonXtal_Prot#'!A:AL,25,FALSE)</f>
        <v>21</v>
      </c>
      <c r="AH9" s="1">
        <f>VLOOKUP(A9,'SegEnds_NonXtal_Prot#'!A:AL,28,FALSE)-VLOOKUP(A9,'SegEnds_NonXtal_Prot#'!A:AL,22,FALSE)</f>
        <v>46</v>
      </c>
      <c r="AI9" s="1">
        <f>VLOOKUP(A9,'SegEnds_NonXtal_Prot#'!A:AL,31,FALSE)-VLOOKUP(A9,'SegEnds_NonXtal_Prot#'!A:AL,28,FALSE)</f>
        <v>109</v>
      </c>
      <c r="AJ9" s="1">
        <f>VLOOKUP(A9,'SegEnds_NonXtal_Prot#'!A:AL,34,FALSE)-VLOOKUP(A9,'SegEnds_NonXtal_Prot#'!A:AL,31,FALSE)</f>
        <v>37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Xtal</v>
      </c>
    </row>
    <row r="10" spans="1:38" x14ac:dyDescent="0.2">
      <c r="A10" s="1" t="s">
        <v>129</v>
      </c>
      <c r="B10" s="1" t="str">
        <f>VLOOKUP(A10,Xtal_Templ!A:B,2,FALSE)</f>
        <v>5ht1b_human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68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v>35</v>
      </c>
      <c r="T10" s="1">
        <f t="array" ref="T10">INDEX(ICL3_classA!$G$2:$G$37,MATCH(MIN(ABS(AI10-ICL3_classA!$F$2:$F$37)),ABS(AI10-ICL3_classA!$F$2:$F$37),0))</f>
        <v>74</v>
      </c>
      <c r="U10" s="1">
        <f t="array" ref="U10">INDEX(ICL3_classA!$H$2:$H$37,MATCH(MIN(ABS(AI10-ICL3_classA!$F$2:$F$37)),ABS(AI10-ICL3_classA!$F$2:$F$37),0))</f>
        <v>24</v>
      </c>
      <c r="V10" s="1">
        <v>60</v>
      </c>
      <c r="W10" s="1">
        <v>31</v>
      </c>
      <c r="X10" s="128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58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28</v>
      </c>
      <c r="AC10" s="1">
        <f>VLOOKUP(A10,'SegEnds_NonXtal_Prot#'!A:AL,10,FALSE)-VLOOKUP(A10,'SegEnds_NonXtal_Prot#'!A:AL,7,FALSE)</f>
        <v>15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21</v>
      </c>
      <c r="AH10" s="1">
        <f>VLOOKUP(A10,'SegEnds_NonXtal_Prot#'!A:AL,28,FALSE)-VLOOKUP(A10,'SegEnds_NonXtal_Prot#'!A:AL,22,FALSE)</f>
        <v>46</v>
      </c>
      <c r="AI10" s="1">
        <f>VLOOKUP(A10,'SegEnds_NonXtal_Prot#'!A:AL,31,FALSE)-VLOOKUP(A10,'SegEnds_NonXtal_Prot#'!A:AL,28,FALSE)</f>
        <v>107</v>
      </c>
      <c r="AJ10" s="1">
        <f>VLOOKUP(A10,'SegEnds_NonXtal_Prot#'!A:AL,34,FALSE)-VLOOKUP(A10,'SegEnds_NonXtal_Prot#'!A:AL,31,FALSE)</f>
        <v>37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130</v>
      </c>
      <c r="B11" s="1" t="str">
        <f>VLOOKUP(A11,Xtal_Templ!A:B,2,FALSE)</f>
        <v>5ht1b_human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63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35</v>
      </c>
      <c r="T11" s="1">
        <f t="array" ref="T11">INDEX(ICL3_classA!$G$2:$G$37,MATCH(MIN(ABS(AI11-ICL3_classA!$F$2:$F$37)),ABS(AI11-ICL3_classA!$F$2:$F$37),0))</f>
        <v>76</v>
      </c>
      <c r="U11" s="1">
        <f t="array" ref="U11">INDEX(ICL3_classA!$H$2:$H$37,MATCH(MIN(ABS(AI11-ICL3_classA!$F$2:$F$37)),ABS(AI11-ICL3_classA!$F$2:$F$37),0))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58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>
        <f>VLOOKUP(A11,'SegEnds_NonXtal_Prot#'!A:AL,13,FALSE)-VLOOKUP(A11,'SegEnds_NonXtal_Prot#'!A:AL,10,FALSE)</f>
        <v>20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21</v>
      </c>
      <c r="AH11" s="1">
        <f>VLOOKUP(A11,'SegEnds_NonXtal_Prot#'!A:AL,28,FALSE)-VLOOKUP(A11,'SegEnds_NonXtal_Prot#'!A:AL,22,FALSE)</f>
        <v>47</v>
      </c>
      <c r="AI11" s="1">
        <f>VLOOKUP(A11,'SegEnds_NonXtal_Prot#'!A:AL,31,FALSE)-VLOOKUP(A11,'SegEnds_NonXtal_Prot#'!A:AL,28,FALSE)</f>
        <v>112</v>
      </c>
      <c r="AJ11" s="1">
        <f>VLOOKUP(A11,'SegEnds_NonXtal_Prot#'!A:AL,34,FALSE)-VLOOKUP(A11,'SegEnds_NonXtal_Prot#'!A:AL,31,FALSE)</f>
        <v>35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131</v>
      </c>
      <c r="B12" s="1" t="str">
        <f>VLOOKUP(A12,Xtal_Templ!A:B,2,FALSE)</f>
        <v>5ht1b_human</v>
      </c>
      <c r="C12" s="5">
        <f>VLOOKUP($B12&amp;"__wt",'SegEnds_Xtal_BW#'!$A:$Z,3,FALSE)</f>
        <v>28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INDEX(ICL3_classA!$G$2:$G$37,MATCH(MIN(ABS(AI12-ICL3_classA!$F$2:$F$37)),ABS(AI12-ICL3_classA!$F$2:$F$37),0))</f>
        <v>76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">
        <v>31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28</v>
      </c>
      <c r="AC12" s="1">
        <f>VLOOKUP(A12,'SegEnds_NonXtal_Prot#'!A:AL,10,FALSE)-VLOOKUP(A12,'SegEnds_NonXtal_Prot#'!A:AL,7,FALSE)</f>
        <v>15</v>
      </c>
      <c r="AD12" s="1">
        <f>VLOOKUP(A12,'SegEnds_NonXtal_Prot#'!A:AL,13,FALSE)-VLOOKUP(A12,'SegEnds_NonXtal_Prot#'!A:AL,10,FALSE)</f>
        <v>20</v>
      </c>
      <c r="AE12" s="1">
        <f>VLOOKUP(A12,'SegEnds_NonXtal_Prot#'!A:AL,16,FALSE)-VLOOKUP(A12,'SegEnds_NonXtal_Prot#'!A:AL,10,FALSE)</f>
        <v>52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21</v>
      </c>
      <c r="AH12" s="1">
        <f>VLOOKUP(A12,'SegEnds_NonXtal_Prot#'!A:AL,28,FALSE)-VLOOKUP(A12,'SegEnds_NonXtal_Prot#'!A:AL,22,FALSE)</f>
        <v>45</v>
      </c>
      <c r="AI12" s="1">
        <f>VLOOKUP(A12,'SegEnds_NonXtal_Prot#'!A:AL,31,FALSE)-VLOOKUP(A12,'SegEnds_NonXtal_Prot#'!A:AL,28,FALSE)</f>
        <v>115</v>
      </c>
      <c r="AJ12" s="1">
        <f>VLOOKUP(A12,'SegEnds_NonXtal_Prot#'!A:AL,34,FALSE)-VLOOKUP(A12,'SegEnds_NonXtal_Prot#'!A:AL,31,FALSE)</f>
        <v>36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132</v>
      </c>
      <c r="B13" s="1" t="str">
        <f>VLOOKUP(A13,Xtal_Templ!A:B,2,FALSE)</f>
        <v>5ht2c_human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f>VLOOKUP($B13&amp;"__wt",'SegEnds_Xtal_BW#'!$A:$Z,15,FALSE)</f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08">
        <v>27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>
        <f>VLOOKUP(A13,'SegEnds_NonXtal_Prot#'!A:AL,13,FALSE)-VLOOKUP(A13,'SegEnds_NonXtal_Prot#'!A:AL,10,FALSE)</f>
        <v>21</v>
      </c>
      <c r="AE13" s="1">
        <f>VLOOKUP(A13,'SegEnds_NonXtal_Prot#'!A:AL,16,FALSE)-VLOOKUP(A13,'SegEnds_NonXtal_Prot#'!A:AL,10,FALSE)</f>
        <v>53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19</v>
      </c>
      <c r="AH13" s="1">
        <f>VLOOKUP(A13,'SegEnds_NonXtal_Prot#'!A:AL,28,FALSE)-VLOOKUP(A13,'SegEnds_NonXtal_Prot#'!A:AL,22,FALSE)</f>
        <v>46</v>
      </c>
      <c r="AI13" s="1">
        <f>VLOOKUP(A13,'SegEnds_NonXtal_Prot#'!A:AL,31,FALSE)-VLOOKUP(A13,'SegEnds_NonXtal_Prot#'!A:AL,28,FALSE)</f>
        <v>92</v>
      </c>
      <c r="AJ13" s="1">
        <f>VLOOKUP(A13,'SegEnds_NonXtal_Prot#'!A:AL,34,FALSE)-VLOOKUP(A13,'SegEnds_NonXtal_Prot#'!A:AL,31,FALSE)</f>
        <v>39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35</v>
      </c>
      <c r="B14" s="1" t="str">
        <f>VLOOKUP(A14,Xtal_Templ!A:B,2,FALSE)</f>
        <v>5ht2b_human</v>
      </c>
      <c r="C14" s="5">
        <f>VLOOKUP($B14&amp;"__wt",'SegEnds_Xtal_BW#'!$A:$Z,3,FALSE)</f>
        <v>31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f>VLOOKUP($B14&amp;"__wt",'SegEnds_Xtal_BW#'!$A:$Z,8,FALSE)</f>
        <v>67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f>VLOOKUP($B14&amp;"__wt",'SegEnds_Xtal_BW#'!$A:$Z,14,FALSE)</f>
        <v>57</v>
      </c>
      <c r="O14" s="87">
        <f>VLOOKUP($B14&amp;"__wt",'SegEnds_Xtal_BW#'!$A:$Z,15,FALSE)</f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INDEX(ICL3_classA!$G$2:$G$37,MATCH(MIN(ABS(AI14-ICL3_classA!$F$2:$F$37)),ABS(AI14-ICL3_classA!$F$2:$F$37),0))</f>
        <v>76</v>
      </c>
      <c r="U14" s="1">
        <f t="array" ref="U14">INDEX(ICL3_classA!$H$2:$H$37,MATCH(MIN(ABS(AI14-ICL3_classA!$F$2:$F$37)),ABS(AI14-ICL3_classA!$F$2:$F$37),0))</f>
        <v>24</v>
      </c>
      <c r="V14" s="1">
        <v>61</v>
      </c>
      <c r="W14" s="108">
        <v>27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58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>
        <f>VLOOKUP(A14,'SegEnds_NonXtal_Prot#'!A:AL,13,FALSE)-VLOOKUP(A14,'SegEnds_NonXtal_Prot#'!A:AL,10,FALSE)</f>
        <v>21</v>
      </c>
      <c r="AE14" s="1">
        <f>VLOOKUP(A14,'SegEnds_NonXtal_Prot#'!A:AL,16,FALSE)-VLOOKUP(A14,'SegEnds_NonXtal_Prot#'!A:AL,10,FALSE)</f>
        <v>53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22</v>
      </c>
      <c r="AH14" s="1">
        <f>VLOOKUP(A14,'SegEnds_NonXtal_Prot#'!A:AL,28,FALSE)-VLOOKUP(A14,'SegEnds_NonXtal_Prot#'!A:AL,22,FALSE)</f>
        <v>49</v>
      </c>
      <c r="AI14" s="1">
        <f>VLOOKUP(A14,'SegEnds_NonXtal_Prot#'!A:AL,31,FALSE)-VLOOKUP(A14,'SegEnds_NonXtal_Prot#'!A:AL,28,FALSE)</f>
        <v>110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Xtal</v>
      </c>
    </row>
    <row r="15" spans="1:38" x14ac:dyDescent="0.2">
      <c r="A15" s="1" t="s">
        <v>133</v>
      </c>
      <c r="B15" s="1" t="str">
        <f>VLOOKUP(A15,Xtal_Templ!A:B,2,FALSE)</f>
        <v>5ht2c_human</v>
      </c>
      <c r="C15" s="5">
        <f>VLOOKUP($B15&amp;"__wt",'SegEnds_Xtal_BW#'!$A:$Z,3,FALSE)</f>
        <v>33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67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35</v>
      </c>
      <c r="T15" s="1">
        <f t="array" ref="T15">INDEX(ICL3_classA!$G$2:$G$37,MATCH(MIN(ABS(AI15-ICL3_classA!$F$2:$F$37)),ABS(AI15-ICL3_classA!$F$2:$F$37),0))</f>
        <v>74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08">
        <v>27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60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>
        <f>VLOOKUP(A15,'SegEnds_NonXtal_Prot#'!A:AL,10,FALSE)-VLOOKUP(A15,'SegEnds_NonXtal_Prot#'!A:AL,7,FALSE)</f>
        <v>15</v>
      </c>
      <c r="AD15" s="1">
        <f>VLOOKUP(A15,'SegEnds_NonXtal_Prot#'!A:AL,13,FALSE)-VLOOKUP(A15,'SegEnds_NonXtal_Prot#'!A:AL,10,FALSE)</f>
        <v>21</v>
      </c>
      <c r="AE15" s="1">
        <f>VLOOKUP(A15,'SegEnds_NonXtal_Prot#'!A:AL,16,FALSE)-VLOOKUP(A15,'SegEnds_NonXtal_Prot#'!A:AL,10,FALSE)</f>
        <v>53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19</v>
      </c>
      <c r="AH15" s="1">
        <f>VLOOKUP(A15,'SegEnds_NonXtal_Prot#'!A:AL,28,FALSE)-VLOOKUP(A15,'SegEnds_NonXtal_Prot#'!A:AL,22,FALSE)</f>
        <v>47</v>
      </c>
      <c r="AI15" s="1">
        <f>VLOOKUP(A15,'SegEnds_NonXtal_Prot#'!A:AL,31,FALSE)-VLOOKUP(A15,'SegEnds_NonXtal_Prot#'!A:AL,28,FALSE)</f>
        <v>100</v>
      </c>
      <c r="AJ15" s="1">
        <f>VLOOKUP(A15,'SegEnds_NonXtal_Prot#'!A:AL,34,FALSE)-VLOOKUP(A15,'SegEnds_NonXtal_Prot#'!A:AL,31,FALSE)</f>
        <v>39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Xtal</v>
      </c>
    </row>
    <row r="16" spans="1:38" x14ac:dyDescent="0.2">
      <c r="A16" s="1" t="s">
        <v>134</v>
      </c>
      <c r="B16" s="1" t="str">
        <f>VLOOKUP(A16,Xtal_Templ!A:B,2,FALSE)</f>
        <v>drd2_human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68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62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35</v>
      </c>
      <c r="T16" s="1">
        <f t="array" ref="T16">INDEX(ICL3_classA!$G$2:$G$37,MATCH(MIN(ABS(AI16-ICL3_classA!$F$2:$F$37)),ABS(AI16-ICL3_classA!$F$2:$F$37),0))</f>
        <v>76</v>
      </c>
      <c r="U16" s="1">
        <f t="array" ref="U16">INDEX(ICL3_classA!$H$2:$H$37,MATCH(MIN(ABS(AI16-ICL3_classA!$F$2:$F$37)),ABS(AI16-ICL3_classA!$F$2:$F$37),0))</f>
        <v>24</v>
      </c>
      <c r="V16" s="1">
        <v>61</v>
      </c>
      <c r="W16" s="1">
        <v>31</v>
      </c>
      <c r="X16" s="129"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29</v>
      </c>
      <c r="AC16" s="1">
        <f>VLOOKUP(A16,'SegEnds_NonXtal_Prot#'!A:AL,10,FALSE)-VLOOKUP(A16,'SegEnds_NonXtal_Prot#'!A:AL,7,FALSE)</f>
        <v>16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20</v>
      </c>
      <c r="AH16" s="1">
        <f>VLOOKUP(A16,'SegEnds_NonXtal_Prot#'!A:AL,28,FALSE)-VLOOKUP(A16,'SegEnds_NonXtal_Prot#'!A:AL,22,FALSE)</f>
        <v>58</v>
      </c>
      <c r="AI16" s="1">
        <f>VLOOKUP(A16,'SegEnds_NonXtal_Prot#'!A:AL,31,FALSE)-VLOOKUP(A16,'SegEnds_NonXtal_Prot#'!A:AL,28,FALSE)</f>
        <v>70</v>
      </c>
      <c r="AJ16" s="1">
        <f>VLOOKUP(A16,'SegEnds_NonXtal_Prot#'!A:AL,34,FALSE)-VLOOKUP(A16,'SegEnds_NonXtal_Prot#'!A:AL,31,FALSE)</f>
        <v>35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135</v>
      </c>
      <c r="B17" s="1" t="str">
        <f>VLOOKUP(A17,Xtal_Templ!A:B,2,FALSE)</f>
        <v>5ht1b_human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68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35</v>
      </c>
      <c r="T17" s="1">
        <f t="array" ref="T17">INDEX(ICL3_classA!$G$2:$G$37,MATCH(MIN(ABS(AI17-ICL3_classA!$F$2:$F$37)),ABS(AI17-ICL3_classA!$F$2:$F$37),0))</f>
        <v>76</v>
      </c>
      <c r="U17" s="1">
        <f t="array" ref="U17">INDEX(ICL3_classA!$H$2:$H$37,MATCH(MIN(ABS(AI17-ICL3_classA!$F$2:$F$37)),ABS(AI17-ICL3_classA!$F$2:$F$37),0))</f>
        <v>24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58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21</v>
      </c>
      <c r="AE17" s="1">
        <f>VLOOKUP(A17,'SegEnds_NonXtal_Prot#'!A:AL,16,FALSE)-VLOOKUP(A17,'SegEnds_NonXtal_Prot#'!A:AL,10,FALSE)</f>
        <v>53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20</v>
      </c>
      <c r="AH17" s="1">
        <f>VLOOKUP(A17,'SegEnds_NonXtal_Prot#'!A:AL,28,FALSE)-VLOOKUP(A17,'SegEnds_NonXtal_Prot#'!A:AL,22,FALSE)</f>
        <v>46</v>
      </c>
      <c r="AI17" s="1">
        <f>VLOOKUP(A17,'SegEnds_NonXtal_Prot#'!A:AL,31,FALSE)-VLOOKUP(A17,'SegEnds_NonXtal_Prot#'!A:AL,28,FALSE)</f>
        <v>88</v>
      </c>
      <c r="AJ17" s="1">
        <f>VLOOKUP(A17,'SegEnds_NonXtal_Prot#'!A:AL,34,FALSE)-VLOOKUP(A17,'SegEnds_NonXtal_Prot#'!A:AL,31,FALSE)</f>
        <v>35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136</v>
      </c>
      <c r="B18" s="1" t="str">
        <f>VLOOKUP(A18,Xtal_Templ!A:B,2,FALSE)</f>
        <v>5ht2c_human</v>
      </c>
      <c r="C18" s="5">
        <f>VLOOKUP($B18&amp;"__wt",'SegEnds_Xtal_BW#'!$A:$Z,3,FALSE)</f>
        <v>33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67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INDEX(ICL3_classA!$G$2:$G$37,MATCH(MIN(ABS(AI18-ICL3_classA!$F$2:$F$37)),ABS(AI18-ICL3_classA!$F$2:$F$37),0))</f>
        <v>76</v>
      </c>
      <c r="U18" s="1">
        <f t="array" ref="U18">INDEX(ICL3_classA!$H$2:$H$37,MATCH(MIN(ABS(AI18-ICL3_classA!$F$2:$F$37)),ABS(AI18-ICL3_classA!$F$2:$F$37),0))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60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20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20</v>
      </c>
      <c r="AH18" s="1">
        <f>VLOOKUP(A18,'SegEnds_NonXtal_Prot#'!A:AL,28,FALSE)-VLOOKUP(A18,'SegEnds_NonXtal_Prot#'!A:AL,22,FALSE)</f>
        <v>49</v>
      </c>
      <c r="AI18" s="1">
        <f>VLOOKUP(A18,'SegEnds_NonXtal_Prot#'!A:AL,31,FALSE)-VLOOKUP(A18,'SegEnds_NonXtal_Prot#'!A:AL,28,FALSE)</f>
        <v>83</v>
      </c>
      <c r="AJ18" s="1">
        <f>VLOOKUP(A18,'SegEnds_NonXtal_Prot#'!A:AL,34,FALSE)-VLOOKUP(A18,'SegEnds_NonXtal_Prot#'!A:AL,31,FALSE)</f>
        <v>34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137</v>
      </c>
      <c r="B19" s="1" t="str">
        <f>VLOOKUP(A19,Xtal_Templ!A:B,2,FALSE)</f>
        <v>5ht1b_human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68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f>VLOOKUP($B19&amp;"__wt",'SegEnds_Xtal_BW#'!$A:$Z,15,FALSE)</f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INDEX(ICL3_classA!$G$2:$G$37,MATCH(MIN(ABS(AI19-ICL3_classA!$F$2:$F$37)),ABS(AI19-ICL3_classA!$F$2:$F$37),0))</f>
        <v>76</v>
      </c>
      <c r="U19" s="1">
        <f t="array" ref="U19">INDEX(ICL3_classA!$H$2:$H$37,MATCH(MIN(ABS(AI19-ICL3_classA!$F$2:$F$37)),ABS(AI19-ICL3_classA!$F$2:$F$37),0))</f>
        <v>24</v>
      </c>
      <c r="V19" s="1">
        <v>61</v>
      </c>
      <c r="W19" s="108">
        <v>27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21</v>
      </c>
      <c r="AE19" s="1">
        <f>VLOOKUP(A19,'SegEnds_NonXtal_Prot#'!A:AL,16,FALSE)-VLOOKUP(A19,'SegEnds_NonXtal_Prot#'!A:AL,10,FALSE)</f>
        <v>53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20</v>
      </c>
      <c r="AH19" s="1">
        <f>VLOOKUP(A19,'SegEnds_NonXtal_Prot#'!A:AL,28,FALSE)-VLOOKUP(A19,'SegEnds_NonXtal_Prot#'!A:AL,22,FALSE)</f>
        <v>44</v>
      </c>
      <c r="AI19" s="1">
        <f>VLOOKUP(A19,'SegEnds_NonXtal_Prot#'!A:AL,31,FALSE)-VLOOKUP(A19,'SegEnds_NonXtal_Prot#'!A:AL,28,FALSE)</f>
        <v>91</v>
      </c>
      <c r="AJ19" s="1">
        <f>VLOOKUP(A19,'SegEnds_NonXtal_Prot#'!A:AL,34,FALSE)-VLOOKUP(A19,'SegEnds_NonXtal_Prot#'!A:AL,31,FALSE)</f>
        <v>39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138</v>
      </c>
      <c r="B20" s="1" t="str">
        <f>VLOOKUP(A20,Xtal_Templ!A:B,2,FALSE)</f>
        <v>aa1r_human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50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63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INDEX(ICL3_classA!$G$2:$G$37,MATCH(MIN(ABS(AI20-ICL3_classA!$F$2:$F$37)),ABS(AI20-ICL3_classA!$F$2:$F$37),0))</f>
        <v>73</v>
      </c>
      <c r="U20" s="1">
        <f t="array" ref="U20">INDEX(ICL3_classA!$H$2:$H$37,MATCH(MIN(ABS(AI20-ICL3_classA!$F$2:$F$37)),ABS(AI20-ICL3_classA!$F$2:$F$37),0))</f>
        <v>22</v>
      </c>
      <c r="V20" s="1">
        <v>61</v>
      </c>
      <c r="W20" s="1">
        <v>31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18</v>
      </c>
      <c r="AE20" s="1">
        <f>VLOOKUP(A20,'SegEnds_NonXtal_Prot#'!A:AL,16,FALSE)-VLOOKUP(A20,'SegEnds_NonXtal_Prot#'!A:AL,10,FALSE)</f>
        <v>50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23</v>
      </c>
      <c r="AH20" s="1">
        <f>VLOOKUP(A20,'SegEnds_NonXtal_Prot#'!A:AL,28,FALSE)-VLOOKUP(A20,'SegEnds_NonXtal_Prot#'!A:AL,22,FALSE)</f>
        <v>60</v>
      </c>
      <c r="AI20" s="1">
        <f>VLOOKUP(A20,'SegEnds_NonXtal_Prot#'!A:AL,31,FALSE)-VLOOKUP(A20,'SegEnds_NonXtal_Prot#'!A:AL,28,FALSE)</f>
        <v>57</v>
      </c>
      <c r="AJ20" s="1">
        <f>VLOOKUP(A20,'SegEnds_NonXtal_Prot#'!A:AL,34,FALSE)-VLOOKUP(A20,'SegEnds_NonXtal_Prot#'!A:AL,31,FALSE)</f>
        <v>36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Xtal</v>
      </c>
    </row>
    <row r="21" spans="1:38" x14ac:dyDescent="0.2">
      <c r="A21" s="1" t="s">
        <v>139</v>
      </c>
      <c r="B21" s="1" t="str">
        <f>VLOOKUP(A21,Xtal_Templ!A:B,2,FALSE)</f>
        <v>aa2ar_human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50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57</v>
      </c>
      <c r="O21" s="87">
        <f>VLOOKUP($B21&amp;"__wt",'SegEnds_Xtal_BW#'!$A:$Z,15,FALSE)</f>
        <v>38</v>
      </c>
      <c r="P21" s="1">
        <f>VLOOKUP($B21&amp;"__wt",'SegEnds_Xtal_BW#'!$A:$Z,16,FALSE)</f>
        <v>63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34</v>
      </c>
      <c r="T21" s="1">
        <f t="array" ref="T21">INDEX(ICL3_classA!$G$2:$G$37,MATCH(MIN(ABS(AI21-ICL3_classA!$F$2:$F$37)),ABS(AI21-ICL3_classA!$F$2:$F$37),0))</f>
        <v>74</v>
      </c>
      <c r="U21" s="1">
        <f t="array" ref="U21">INDEX(ICL3_classA!$H$2:$H$37,MATCH(MIN(ABS(AI21-ICL3_classA!$F$2:$F$37)),ABS(AI21-ICL3_classA!$F$2:$F$37),0))</f>
        <v>21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69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>
        <f>VLOOKUP(A21,'SegEnds_NonXtal_Prot#'!A:AL,22,FALSE)-VLOOKUP(A21,'SegEnds_NonXtal_Prot#'!A:AL,19,FALSE)</f>
        <v>20</v>
      </c>
      <c r="AG21" s="1">
        <f>VLOOKUP(A21,'SegEnds_NonXtal_Prot#'!A:AL,28,FALSE)-VLOOKUP(A21,'SegEnds_NonXtal_Prot#'!A:AL,25,FALSE)</f>
        <v>23</v>
      </c>
      <c r="AH21" s="1">
        <f>VLOOKUP(A21,'SegEnds_NonXtal_Prot#'!A:AL,28,FALSE)-VLOOKUP(A21,'SegEnds_NonXtal_Prot#'!A:AL,22,FALSE)</f>
        <v>60</v>
      </c>
      <c r="AI21" s="1">
        <f>VLOOKUP(A21,'SegEnds_NonXtal_Prot#'!A:AL,31,FALSE)-VLOOKUP(A21,'SegEnds_NonXtal_Prot#'!A:AL,28,FALSE)</f>
        <v>59</v>
      </c>
      <c r="AJ21" s="1">
        <f>VLOOKUP(A21,'SegEnds_NonXtal_Prot#'!A:AL,34,FALSE)-VLOOKUP(A21,'SegEnds_NonXtal_Prot#'!A:AL,31,FALSE)</f>
        <v>37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Xtal</v>
      </c>
    </row>
    <row r="22" spans="1:38" x14ac:dyDescent="0.2">
      <c r="A22" s="1" t="s">
        <v>140</v>
      </c>
      <c r="B22" s="1" t="str">
        <f>VLOOKUP(A22,Xtal_Templ!A:B,2,FALSE)</f>
        <v>aa2ar_human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50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v>38</v>
      </c>
      <c r="P22" s="1">
        <f>VLOOKUP($B22&amp;"__wt",'SegEnds_Xtal_BW#'!$A:$Z,16,FALSE)</f>
        <v>63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INDEX(ICL3_classA!$G$2:$G$37,MATCH(MIN(ABS(AI22-ICL3_classA!$F$2:$F$37)),ABS(AI22-ICL3_classA!$F$2:$F$37),0))</f>
        <v>73</v>
      </c>
      <c r="U22" s="1">
        <f t="array" ref="U22">INDEX(ICL3_classA!$H$2:$H$37,MATCH(MIN(ABS(AI22-ICL3_classA!$F$2:$F$37)),ABS(AI22-ICL3_classA!$F$2:$F$37),0))</f>
        <v>22</v>
      </c>
      <c r="V22" s="1">
        <v>61</v>
      </c>
      <c r="W22" s="1">
        <v>28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>
        <f>VLOOKUP(A22,'SegEnds_NonXtal_Prot#'!A:AL,13,FALSE)-VLOOKUP(A22,'SegEnds_NonXtal_Prot#'!A:AL,10,FALSE)</f>
        <v>18</v>
      </c>
      <c r="AE22" s="1">
        <f>VLOOKUP(A22,'SegEnds_NonXtal_Prot#'!A:AL,16,FALSE)-VLOOKUP(A22,'SegEnds_NonXtal_Prot#'!A:AL,10,FALSE)</f>
        <v>50</v>
      </c>
      <c r="AF22" s="1">
        <f>VLOOKUP(A22,'SegEnds_NonXtal_Prot#'!A:AL,22,FALSE)-VLOOKUP(A22,'SegEnds_NonXtal_Prot#'!A:AL,19,FALSE)</f>
        <v>20</v>
      </c>
      <c r="AG22" s="1">
        <f>VLOOKUP(A22,'SegEnds_NonXtal_Prot#'!A:AL,28,FALSE)-VLOOKUP(A22,'SegEnds_NonXtal_Prot#'!A:AL,25,FALSE)</f>
        <v>23</v>
      </c>
      <c r="AH22" s="1">
        <f>VLOOKUP(A22,'SegEnds_NonXtal_Prot#'!A:AL,28,FALSE)-VLOOKUP(A22,'SegEnds_NonXtal_Prot#'!A:AL,22,FALSE)</f>
        <v>64</v>
      </c>
      <c r="AI22" s="1">
        <f>VLOOKUP(A22,'SegEnds_NonXtal_Prot#'!A:AL,31,FALSE)-VLOOKUP(A22,'SegEnds_NonXtal_Prot#'!A:AL,28,FALSE)</f>
        <v>55</v>
      </c>
      <c r="AJ22" s="1">
        <f>VLOOKUP(A22,'SegEnds_NonXtal_Prot#'!A:AL,34,FALSE)-VLOOKUP(A22,'SegEnds_NonXtal_Prot#'!A:AL,31,FALSE)</f>
        <v>38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141</v>
      </c>
      <c r="B23" s="1" t="str">
        <f>VLOOKUP(A23,Xtal_Templ!A:B,2,FALSE)</f>
        <v>aa1r_human</v>
      </c>
      <c r="C23" s="5">
        <f>VLOOKUP($B23&amp;"__wt",'SegEnds_Xtal_BW#'!$A:$Z,3,FALSE)</f>
        <v>29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08">
        <v>66</v>
      </c>
      <c r="I23" s="1">
        <f>VLOOKUP($B23&amp;"__wt",'SegEnds_Xtal_BW#'!$A:$Z,9,FALSE)</f>
        <v>50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v>38</v>
      </c>
      <c r="P23" s="1">
        <f>VLOOKUP($B23&amp;"__wt",'SegEnds_Xtal_BW#'!$A:$Z,16,FALSE)</f>
        <v>63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INDEX(ICL3_classA!$G$2:$G$37,MATCH(MIN(ABS(AI23-ICL3_classA!$F$2:$F$37)),ABS(AI23-ICL3_classA!$F$2:$F$37),0))</f>
        <v>73</v>
      </c>
      <c r="U23" s="1">
        <f t="array" ref="U23">INDEX(ICL3_classA!$H$2:$H$37,MATCH(MIN(ABS(AI23-ICL3_classA!$F$2:$F$37)),ABS(AI23-ICL3_classA!$F$2:$F$37),0))</f>
        <v>22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23</v>
      </c>
      <c r="AH23" s="1">
        <f>VLOOKUP(A23,'SegEnds_NonXtal_Prot#'!A:AL,28,FALSE)-VLOOKUP(A23,'SegEnds_NonXtal_Prot#'!A:AL,22,FALSE)</f>
        <v>54</v>
      </c>
      <c r="AI23" s="1">
        <f>VLOOKUP(A23,'SegEnds_NonXtal_Prot#'!A:AL,31,FALSE)-VLOOKUP(A23,'SegEnds_NonXtal_Prot#'!A:AL,28,FALSE)</f>
        <v>56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142</v>
      </c>
      <c r="B24" s="1" t="str">
        <f>VLOOKUP(A24,Xtal_Templ!A:B,2,FALSE)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INDEX(ICL3_classA!$G$2:$G$37,MATCH(MIN(ABS(AI24-ICL3_classA!$F$2:$F$37)),ABS(AI24-ICL3_classA!$F$2:$F$37),0))</f>
        <v>64</v>
      </c>
      <c r="U24" s="1">
        <f t="array" ref="U24">INDEX(ICL3_classA!$H$2:$H$37,MATCH(MIN(ABS(AI24-ICL3_classA!$F$2:$F$37)),ABS(AI24-ICL3_classA!$F$2:$F$37),0))</f>
        <v>34</v>
      </c>
      <c r="V24" s="1">
        <v>64</v>
      </c>
      <c r="W24" s="1">
        <v>24</v>
      </c>
      <c r="X24" s="108">
        <v>56</v>
      </c>
      <c r="Y24" s="1">
        <f>VLOOKUP($B24&amp;"__wt",'SegEnds_Xtal_BW#'!$A:$Z,25,FALSE)</f>
        <v>47</v>
      </c>
      <c r="Z24" s="1">
        <f>VLOOKUP($B24&amp;"__wt",'SegEnds_Xtal_BW#'!$A:$Z,26,FALSE)</f>
        <v>56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30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48</v>
      </c>
      <c r="AF24" s="1" t="e">
        <f>VLOOKUP(A24,'SegEnds_NonXtal_Prot#'!A:AL,22,FALSE)-VLOOKUP(A24,'SegEnds_NonXtal_Prot#'!A:AL,19,FALSE)</f>
        <v>#VALUE!</v>
      </c>
      <c r="AG24" s="1">
        <f>VLOOKUP(A24,'SegEnds_NonXtal_Prot#'!A:AL,28,FALSE)-VLOOKUP(A24,'SegEnds_NonXtal_Prot#'!A:AL,25,FALSE)</f>
        <v>23</v>
      </c>
      <c r="AH24" s="1">
        <f>VLOOKUP(A24,'SegEnds_NonXtal_Prot#'!A:AL,28,FALSE)-VLOOKUP(A24,'SegEnds_NonXtal_Prot#'!A:AL,22,FALSE)</f>
        <v>44</v>
      </c>
      <c r="AI24" s="1">
        <f>VLOOKUP(A24,'SegEnds_NonXtal_Prot#'!A:AL,31,FALSE)-VLOOKUP(A24,'SegEnds_NonXtal_Prot#'!A:AL,28,FALSE)</f>
        <v>37</v>
      </c>
      <c r="AJ24" s="1">
        <f>VLOOKUP(A24,'SegEnds_NonXtal_Prot#'!A:AL,34,FALSE)-VLOOKUP(A24,'SegEnds_NonXtal_Prot#'!A:AL,31,FALSE)</f>
        <v>46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143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08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INDEX(ICL3_classA!$G$2:$G$37,MATCH(MIN(ABS(AI25-ICL3_classA!$F$2:$F$37)),ABS(AI25-ICL3_classA!$F$2:$F$37),0))</f>
        <v>68</v>
      </c>
      <c r="U25" s="1">
        <f t="array" ref="U25">INDEX(ICL3_classA!$H$2:$H$37,MATCH(MIN(ABS(AI25-ICL3_classA!$F$2:$F$37)),ABS(AI25-ICL3_classA!$F$2:$F$37),0))</f>
        <v>30</v>
      </c>
      <c r="V25" s="1">
        <v>64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27</v>
      </c>
      <c r="AH25" s="1">
        <f>VLOOKUP(A25,'SegEnds_NonXtal_Prot#'!A:AL,28,FALSE)-VLOOKUP(A25,'SegEnds_NonXtal_Prot#'!A:AL,22,FALSE)</f>
        <v>53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144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21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f>VLOOKUP($B26&amp;"__wt",'SegEnds_Xtal_BW#'!$A:$Z,14,FALSE)</f>
        <v>57</v>
      </c>
      <c r="O26" s="87">
        <f>VLOOKUP($B26&amp;"__wt",'SegEnds_Xtal_BW#'!$A:$Z,15,FALSE)</f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64</v>
      </c>
      <c r="W26" s="1">
        <v>24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20</v>
      </c>
      <c r="AE26" s="1">
        <f>VLOOKUP(A26,'SegEnds_NonXtal_Prot#'!A:AL,16,FALSE)-VLOOKUP(A26,'SegEnds_NonXtal_Prot#'!A:AL,10,FALSE)</f>
        <v>52</v>
      </c>
      <c r="AF26" s="1" t="e">
        <f>VLOOKUP(A26,'SegEnds_NonXtal_Prot#'!A:AL,22,FALSE)-VLOOKUP(A26,'SegEnds_NonXtal_Prot#'!A:AL,19,FALSE)</f>
        <v>#VALUE!</v>
      </c>
      <c r="AG26" s="1">
        <f>VLOOKUP(A26,'SegEnds_NonXtal_Prot#'!A:AL,28,FALSE)-VLOOKUP(A26,'SegEnds_NonXtal_Prot#'!A:AL,25,FALSE)</f>
        <v>28</v>
      </c>
      <c r="AH26" s="1">
        <f>VLOOKUP(A26,'SegEnds_NonXtal_Prot#'!A:AL,28,FALSE)-VLOOKUP(A26,'SegEnds_NonXtal_Prot#'!A:AL,22,FALSE)</f>
        <v>55</v>
      </c>
      <c r="AI26" s="1">
        <f>VLOOKUP(A26,'SegEnds_NonXtal_Prot#'!A:AL,31,FALSE)-VLOOKUP(A26,'SegEnds_NonXtal_Prot#'!A:AL,28,FALSE)</f>
        <v>43</v>
      </c>
      <c r="AJ26" s="1">
        <f>VLOOKUP(A26,'SegEnds_NonXtal_Prot#'!A:AL,34,FALSE)-VLOOKUP(A26,'SegEnds_NonXtal_Prot#'!A:AL,31,FALSE)</f>
        <v>45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145</v>
      </c>
      <c r="B27" s="1" t="str">
        <f>VLOOKUP(A27,Xtal_Templ!A:B,2,FALSE)</f>
        <v>ccr9_human</v>
      </c>
      <c r="C27" s="5">
        <f>VLOOKUP($B27&amp;"__wt",'SegEnds_Xtal_BW#'!$A:$Z,3,FALSE)</f>
        <v>27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08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f>VLOOKUP($B27&amp;"__wt",'SegEnds_Xtal_BW#'!$A:$Z,14,FALSE)</f>
        <v>56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33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30</v>
      </c>
      <c r="V27" s="1">
        <v>64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67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18</v>
      </c>
      <c r="AE27" s="1">
        <f>VLOOKUP(A27,'SegEnds_NonXtal_Prot#'!A:AL,16,FALSE)-VLOOKUP(A27,'SegEnds_NonXtal_Prot#'!A:AL,10,FALSE)</f>
        <v>50</v>
      </c>
      <c r="AF27" s="1" t="e">
        <f>VLOOKUP(A27,'SegEnds_NonXtal_Prot#'!A:AL,22,FALSE)-VLOOKUP(A27,'SegEnds_NonXtal_Prot#'!A:AL,19,FALSE)</f>
        <v>#VALUE!</v>
      </c>
      <c r="AG27" s="1">
        <f>VLOOKUP(A27,'SegEnds_NonXtal_Prot#'!A:AL,28,FALSE)-VLOOKUP(A27,'SegEnds_NonXtal_Prot#'!A:AL,25,FALSE)</f>
        <v>28</v>
      </c>
      <c r="AH27" s="1">
        <f>VLOOKUP(A27,'SegEnds_NonXtal_Prot#'!A:AL,28,FALSE)-VLOOKUP(A27,'SegEnds_NonXtal_Prot#'!A:AL,22,FALSE)</f>
        <v>50</v>
      </c>
      <c r="AI27" s="1">
        <f>VLOOKUP(A27,'SegEnds_NonXtal_Prot#'!A:AL,31,FALSE)-VLOOKUP(A27,'SegEnds_NonXtal_Prot#'!A:AL,28,FALSE)</f>
        <v>43</v>
      </c>
      <c r="AJ27" s="1">
        <f>VLOOKUP(A27,'SegEnds_NonXtal_Prot#'!A:AL,34,FALSE)-VLOOKUP(A27,'SegEnds_NonXtal_Prot#'!A:AL,31,FALSE)</f>
        <v>45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146</v>
      </c>
      <c r="B28" s="1" t="str">
        <f>VLOOKUP(A28,Xtal_Templ!A:B,2,FALSE)</f>
        <v>acm1_human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68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f>VLOOKUP($B28&amp;"__wt",'SegEnds_Xtal_BW#'!$A:$Z,14,FALSE)</f>
        <v>57</v>
      </c>
      <c r="O28" s="87">
        <f>VLOOKUP($B28&amp;"__wt",'SegEnds_Xtal_BW#'!$A:$Z,15,FALSE)</f>
        <v>38</v>
      </c>
      <c r="P28" s="1">
        <f>VLOOKUP($B28&amp;"__wt",'SegEnds_Xtal_BW#'!$A:$Z,16,FALSE)</f>
        <v>69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35</v>
      </c>
      <c r="T28" s="1">
        <f t="array" ref="T28">INDEX(ICL3_classA!$G$2:$G$37,MATCH(MIN(ABS(AI28-ICL3_classA!$F$2:$F$37)),ABS(AI28-ICL3_classA!$F$2:$F$37),0))</f>
        <v>75</v>
      </c>
      <c r="U28" s="1">
        <f t="array" ref="U28">INDEX(ICL3_classA!$H$2:$H$37,MATCH(MIN(ABS(AI28-ICL3_classA!$F$2:$F$37)),ABS(AI28-ICL3_classA!$F$2:$F$37),0))</f>
        <v>24</v>
      </c>
      <c r="V28" s="1"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20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22</v>
      </c>
      <c r="AH28" s="1">
        <f>VLOOKUP(A28,'SegEnds_NonXtal_Prot#'!A:AL,28,FALSE)-VLOOKUP(A28,'SegEnds_NonXtal_Prot#'!A:AL,22,FALSE)</f>
        <v>50</v>
      </c>
      <c r="AI28" s="1">
        <f>VLOOKUP(A28,'SegEnds_NonXtal_Prot#'!A:AL,31,FALSE)-VLOOKUP(A28,'SegEnds_NonXtal_Prot#'!A:AL,28,FALSE)</f>
        <v>180</v>
      </c>
      <c r="AJ28" s="1">
        <f>VLOOKUP(A28,'SegEnds_NonXtal_Prot#'!A:AL,34,FALSE)-VLOOKUP(A28,'SegEnds_NonXtal_Prot#'!A:AL,31,FALSE)</f>
        <v>35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Xtal</v>
      </c>
    </row>
    <row r="29" spans="1:38" x14ac:dyDescent="0.2">
      <c r="A29" s="1" t="s">
        <v>147</v>
      </c>
      <c r="B29" s="1" t="str">
        <f>VLOOKUP(A29,Xtal_Templ!A:B,2,FALSE)</f>
        <v>acm2_human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68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f>VLOOKUP($B29&amp;"__wt",'SegEnds_Xtal_BW#'!$A:$Z,14,FALSE)</f>
        <v>57</v>
      </c>
      <c r="O29" s="87">
        <f>VLOOKUP($B29&amp;"__wt",'SegEnds_Xtal_BW#'!$A:$Z,15,FALSE)</f>
        <v>38</v>
      </c>
      <c r="P29" s="1">
        <f>VLOOKUP($B29&amp;"__wt",'SegEnds_Xtal_BW#'!$A:$Z,16,FALSE)</f>
        <v>69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35</v>
      </c>
      <c r="T29" s="1">
        <f t="array" ref="T29">INDEX(ICL3_classA!$G$2:$G$37,MATCH(MIN(ABS(AI29-ICL3_classA!$F$2:$F$37)),ABS(AI29-ICL3_classA!$F$2:$F$37),0))</f>
        <v>75</v>
      </c>
      <c r="U29" s="1">
        <f t="array" ref="U29">INDEX(ICL3_classA!$H$2:$H$37,MATCH(MIN(ABS(AI29-ICL3_classA!$F$2:$F$37)),ABS(AI29-ICL3_classA!$F$2:$F$37),0))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22</v>
      </c>
      <c r="AH29" s="1">
        <f>VLOOKUP(A29,'SegEnds_NonXtal_Prot#'!A:AL,28,FALSE)-VLOOKUP(A29,'SegEnds_NonXtal_Prot#'!A:AL,22,FALSE)</f>
        <v>50</v>
      </c>
      <c r="AI29" s="1">
        <f>VLOOKUP(A29,'SegEnds_NonXtal_Prot#'!A:AL,31,FALSE)-VLOOKUP(A29,'SegEnds_NonXtal_Prot#'!A:AL,28,FALSE)</f>
        <v>204</v>
      </c>
      <c r="AJ29" s="1">
        <f>VLOOKUP(A29,'SegEnds_NonXtal_Prot#'!A:AL,34,FALSE)-VLOOKUP(A29,'SegEnds_NonXtal_Prot#'!A:AL,31,FALSE)</f>
        <v>35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Xtal</v>
      </c>
    </row>
    <row r="30" spans="1:38" x14ac:dyDescent="0.2">
      <c r="A30" s="1" t="s">
        <v>148</v>
      </c>
      <c r="B30" s="1" t="str">
        <f>VLOOKUP(A30,Xtal_Templ!A:B,2,FALSE)</f>
        <v>acm3_rat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69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75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31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20</v>
      </c>
      <c r="AG30" s="1">
        <f>VLOOKUP(A30,'SegEnds_NonXtal_Prot#'!A:AL,28,FALSE)-VLOOKUP(A30,'SegEnds_NonXtal_Prot#'!A:AL,25,FALSE)</f>
        <v>22</v>
      </c>
      <c r="AH30" s="1">
        <f>VLOOKUP(A30,'SegEnds_NonXtal_Prot#'!A:AL,28,FALSE)-VLOOKUP(A30,'SegEnds_NonXtal_Prot#'!A:AL,22,FALSE)</f>
        <v>50</v>
      </c>
      <c r="AI30" s="1">
        <f>VLOOKUP(A30,'SegEnds_NonXtal_Prot#'!A:AL,31,FALSE)-VLOOKUP(A30,'SegEnds_NonXtal_Prot#'!A:AL,28,FALSE)</f>
        <v>263</v>
      </c>
      <c r="AJ30" s="1">
        <f>VLOOKUP(A30,'SegEnds_NonXtal_Prot#'!A:AL,34,FALSE)-VLOOKUP(A30,'SegEnds_NonXtal_Prot#'!A:AL,31,FALSE)</f>
        <v>35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4" t="s">
        <v>910</v>
      </c>
      <c r="B31" s="4" t="str">
        <f>VLOOKUP(A31,Xtal_Templ!A:B,2,FALSE)</f>
        <v>acm3_rat</v>
      </c>
      <c r="C31" s="5">
        <f>VLOOKUP($B31&amp;"__wt",'SegEnds_Xtal_BW#'!$A:$Z,3,FALSE)</f>
        <v>29</v>
      </c>
      <c r="D31" s="4">
        <f>VLOOKUP($B31&amp;"__wt",'SegEnds_Xtal_BW#'!$A:$Z,4,FALSE)</f>
        <v>60</v>
      </c>
      <c r="E31" s="4">
        <f>VLOOKUP($B31&amp;"__wt",'SegEnds_Xtal_BW#'!$A:$Z,5,FALSE)</f>
        <v>48</v>
      </c>
      <c r="F31" s="4">
        <f>VLOOKUP($B31&amp;"__wt",'SegEnds_Xtal_BW#'!$A:$Z,6,FALSE)</f>
        <v>51</v>
      </c>
      <c r="G31" s="4">
        <v>37</v>
      </c>
      <c r="H31" s="11">
        <f>VLOOKUP($B31&amp;"__wt",'SegEnds_Xtal_BW#'!$A:$Z,8,FALSE)</f>
        <v>67</v>
      </c>
      <c r="I31" s="4">
        <f>VLOOKUP($B31&amp;"__wt",'SegEnds_Xtal_BW#'!$A:$Z,9,FALSE)</f>
        <v>49</v>
      </c>
      <c r="J31" s="4">
        <f>VLOOKUP($B31&amp;"__wt",'SegEnds_Xtal_BW#'!$A:$Z,10,FALSE)</f>
        <v>52</v>
      </c>
      <c r="K31" s="11">
        <v>18</v>
      </c>
      <c r="L31" s="4">
        <f>VLOOKUP($B31&amp;"__wt",'SegEnds_Xtal_BW#'!$A:$Z,12,FALSE)</f>
        <v>56</v>
      </c>
      <c r="M31" s="4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4">
        <f>VLOOKUP($B31&amp;"__wt",'SegEnds_Xtal_BW#'!$A:$Z,16,FALSE)</f>
        <v>69</v>
      </c>
      <c r="Q31" s="4">
        <f>VLOOKUP($B31&amp;"__wt",'SegEnds_Xtal_BW#'!$A:$Z,17,FALSE)</f>
        <v>50</v>
      </c>
      <c r="R31" s="4">
        <f>VLOOKUP($B31&amp;"__wt",'SegEnds_Xtal_BW#'!$A:$Z,18,FALSE)</f>
        <v>52</v>
      </c>
      <c r="S31" s="1">
        <f>VLOOKUP($B31&amp;"__wt",'SegEnds_Xtal_BW#'!$A:$Z,19,FALSE)</f>
        <v>35</v>
      </c>
      <c r="T31" s="4">
        <f t="array" ref="T31">INDEX(ICL3_classA!$G$2:$G$37,MATCH(MIN(ABS(AI31-ICL3_classA!$F$2:$F$37)),ABS(AI31-ICL3_classA!$F$2:$F$37),0))</f>
        <v>75</v>
      </c>
      <c r="U31" s="4">
        <f t="array" ref="U31">INDEX(ICL3_classA!$H$2:$H$37,MATCH(MIN(ABS(AI31-ICL3_classA!$F$2:$F$37)),ABS(AI31-ICL3_classA!$F$2:$F$37),0))</f>
        <v>24</v>
      </c>
      <c r="V31" s="4">
        <v>61</v>
      </c>
      <c r="W31" s="4">
        <v>31</v>
      </c>
      <c r="X31" s="4">
        <f>VLOOKUP($B31&amp;"__wt",'SegEnds_Xtal_BW#'!$A:$Z,24,FALSE)</f>
        <v>56</v>
      </c>
      <c r="Y31" s="4">
        <f>VLOOKUP($B31&amp;"__wt",'SegEnds_Xtal_BW#'!$A:$Z,25,FALSE)</f>
        <v>47</v>
      </c>
      <c r="Z31" s="4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4">
        <f>VLOOKUP(A31,'SegEnds_NonXtal_Prot#'!A:AL,10,FALSE)-VLOOKUP(A31,'SegEnds_NonXtal_Prot#'!A:AL,7,FALSE)</f>
        <v>15</v>
      </c>
      <c r="AD31" s="4">
        <f>VLOOKUP(A31,'SegEnds_NonXtal_Prot#'!A:AL,13,FALSE)-VLOOKUP(A31,'SegEnds_NonXtal_Prot#'!A:AL,10,FALSE)</f>
        <v>20</v>
      </c>
      <c r="AE31" s="4">
        <f>VLOOKUP(A31,'SegEnds_NonXtal_Prot#'!A:AL,16,FALSE)-VLOOKUP(A31,'SegEnds_NonXtal_Prot#'!A:AL,10,FALSE)</f>
        <v>52</v>
      </c>
      <c r="AF31" s="1">
        <f>VLOOKUP(A31,'SegEnds_NonXtal_Prot#'!A:AL,22,FALSE)-VLOOKUP(A31,'SegEnds_NonXtal_Prot#'!A:AL,19,FALSE)</f>
        <v>20</v>
      </c>
      <c r="AG31" s="4">
        <f>VLOOKUP(A31,'SegEnds_NonXtal_Prot#'!A:AL,28,FALSE)-VLOOKUP(A31,'SegEnds_NonXtal_Prot#'!A:AL,25,FALSE)</f>
        <v>22</v>
      </c>
      <c r="AH31" s="1">
        <f>VLOOKUP(A31,'SegEnds_NonXtal_Prot#'!A:AL,28,FALSE)-VLOOKUP(A31,'SegEnds_NonXtal_Prot#'!A:AL,22,FALSE)</f>
        <v>50</v>
      </c>
      <c r="AI31" s="4">
        <f>VLOOKUP(A31,'SegEnds_NonXtal_Prot#'!A:AL,31,FALSE)-VLOOKUP(A31,'SegEnds_NonXtal_Prot#'!A:AL,28,FALSE)</f>
        <v>263</v>
      </c>
      <c r="AJ31" s="4">
        <f>VLOOKUP(A31,'SegEnds_NonXtal_Prot#'!A:AL,34,FALSE)-VLOOKUP(A31,'SegEnds_NonXtal_Prot#'!A:AL,31,FALSE)</f>
        <v>35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Xtal</v>
      </c>
    </row>
    <row r="32" spans="1:38" x14ac:dyDescent="0.2">
      <c r="A32" s="1" t="s">
        <v>149</v>
      </c>
      <c r="B32" s="1" t="str">
        <f>VLOOKUP(A32,Xtal_Templ!A:B,2,FALSE)</f>
        <v>acm4_human</v>
      </c>
      <c r="C32" s="5">
        <f>VLOOKUP($B32&amp;"__wt",'SegEnds_Xtal_BW#'!$A:$Z,3,FALSE)</f>
        <v>26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7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INDEX(ICL3_classA!$G$2:$G$37,MATCH(MIN(ABS(AI32-ICL3_classA!$F$2:$F$37)),ABS(AI32-ICL3_classA!$F$2:$F$37),0))</f>
        <v>75</v>
      </c>
      <c r="U32" s="1">
        <f t="array" ref="U32">INDEX(ICL3_classA!$H$2:$H$37,MATCH(MIN(ABS(AI32-ICL3_classA!$F$2:$F$37)),ABS(AI32-ICL3_classA!$F$2:$F$37),0))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22</v>
      </c>
      <c r="AH32" s="1">
        <f>VLOOKUP(A32,'SegEnds_NonXtal_Prot#'!A:AL,28,FALSE)-VLOOKUP(A32,'SegEnds_NonXtal_Prot#'!A:AL,22,FALSE)</f>
        <v>50</v>
      </c>
      <c r="AI32" s="1">
        <f>VLOOKUP(A32,'SegEnds_NonXtal_Prot#'!A:AL,31,FALSE)-VLOOKUP(A32,'SegEnds_NonXtal_Prot#'!A:AL,28,FALSE)</f>
        <v>208</v>
      </c>
      <c r="AJ32" s="1">
        <f>VLOOKUP(A32,'SegEnds_NonXtal_Prot#'!A:AL,34,FALSE)-VLOOKUP(A32,'SegEnds_NonXtal_Prot#'!A:AL,31,FALSE)</f>
        <v>35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Xtal</v>
      </c>
    </row>
    <row r="33" spans="1:38" x14ac:dyDescent="0.2">
      <c r="A33" s="1" t="s">
        <v>150</v>
      </c>
      <c r="B33" s="1" t="str">
        <f>VLOOKUP(A33,Xtal_Templ!A:B,2,FALSE)</f>
        <v>acm3_rat</v>
      </c>
      <c r="C33" s="5">
        <f>VLOOKUP($B33&amp;"__wt",'SegEnds_Xtal_BW#'!$A:$Z,3,FALSE)</f>
        <v>29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75</v>
      </c>
      <c r="U33" s="1">
        <f t="array" ref="U33">INDEX(ICL3_classA!$H$2:$H$37,MATCH(MIN(ABS(AI33-ICL3_classA!$F$2:$F$37)),ABS(AI33-ICL3_classA!$F$2:$F$37),0))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58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22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252</v>
      </c>
      <c r="AJ33" s="1">
        <f>VLOOKUP(A33,'SegEnds_NonXtal_Prot#'!A:AL,34,FALSE)-VLOOKUP(A33,'SegEnds_NonXtal_Prot#'!A:AL,31,FALSE)</f>
        <v>35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151</v>
      </c>
      <c r="B34" s="1" t="str">
        <f>VLOOKUP(A34,Xtal_Templ!A:B,2,FALSE)</f>
        <v>s1pr1_human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67</v>
      </c>
      <c r="I34" s="1" t="s">
        <v>23</v>
      </c>
      <c r="J34" s="1" t="s">
        <v>23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f>VLOOKUP($B34&amp;"__wt",'SegEnds_Xtal_BW#'!$A:$Z,15,FALSE)</f>
        <v>38</v>
      </c>
      <c r="P34" s="1">
        <f>VLOOKUP($B34&amp;"__wt",'SegEnds_Xtal_BW#'!$A:$Z,16,FALSE)</f>
        <v>63</v>
      </c>
      <c r="Q34" s="1" t="str">
        <f>VLOOKUP($B34&amp;"__wt",'SegEnds_Xtal_BW#'!$A:$Z,17,FALSE)</f>
        <v>-</v>
      </c>
      <c r="R34" s="1" t="str">
        <f>VLOOKUP($B34&amp;"__wt",'SegEnds_Xtal_BW#'!$A:$Z,18,FALSE)</f>
        <v>-</v>
      </c>
      <c r="S34" s="108">
        <v>33</v>
      </c>
      <c r="T34" s="1">
        <f t="array" ref="T34">INDEX(ICL3_classA!$G$2:$G$37,MATCH(MIN(ABS(AI34-ICL3_classA!$F$2:$F$37)),ABS(AI34-ICL3_classA!$F$2:$F$37),0))</f>
        <v>66</v>
      </c>
      <c r="U34" s="1">
        <f t="array" ref="U34">INDEX(ICL3_classA!$H$2:$H$37,MATCH(MIN(ABS(AI34-ICL3_classA!$F$2:$F$37)),ABS(AI34-ICL3_classA!$F$2:$F$37),0))</f>
        <v>30</v>
      </c>
      <c r="V34" s="1">
        <v>61</v>
      </c>
      <c r="W34" s="1">
        <v>28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 t="e">
        <f>VLOOKUP(A34,'SegEnds_NonXtal_Prot#'!A:AL,13,FALSE)-VLOOKUP(A34,'SegEnds_NonXtal_Prot#'!A:AL,10,FALSE)</f>
        <v>#VALUE!</v>
      </c>
      <c r="AE34" s="1">
        <f>VLOOKUP(A34,'SegEnds_NonXtal_Prot#'!A:AL,16,FALSE)-VLOOKUP(A34,'SegEnds_NonXtal_Prot#'!A:AL,10,FALSE)</f>
        <v>58</v>
      </c>
      <c r="AF34" s="1">
        <f>VLOOKUP(A34,'SegEnds_NonXtal_Prot#'!A:AL,22,FALSE)-VLOOKUP(A34,'SegEnds_NonXtal_Prot#'!A:AL,19,FALSE)</f>
        <v>20</v>
      </c>
      <c r="AG34" s="1" t="e">
        <f>VLOOKUP(A34,'SegEnds_NonXtal_Prot#'!A:AL,28,FALSE)-VLOOKUP(A34,'SegEnds_NonXtal_Prot#'!A:AL,25,FALSE)</f>
        <v>#VALUE!</v>
      </c>
      <c r="AH34" s="1">
        <f>VLOOKUP(A34,'SegEnds_NonXtal_Prot#'!A:AL,28,FALSE)-VLOOKUP(A34,'SegEnds_NonXtal_Prot#'!A:AL,22,FALSE)</f>
        <v>40</v>
      </c>
      <c r="AI34" s="1">
        <f>VLOOKUP(A34,'SegEnds_NonXtal_Prot#'!A:AL,31,FALSE)-VLOOKUP(A34,'SegEnds_NonXtal_Prot#'!A:AL,28,FALSE)</f>
        <v>39</v>
      </c>
      <c r="AJ34" s="1">
        <f>VLOOKUP(A34,'SegEnds_NonXtal_Prot#'!A:AL,34,FALSE)-VLOOKUP(A34,'SegEnds_NonXtal_Prot#'!A:AL,31,FALSE)</f>
        <v>39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" t="s">
        <v>152</v>
      </c>
      <c r="B35" s="1" t="str">
        <f>VLOOKUP(A35,Xtal_Templ!A:B,2,FALSE)</f>
        <v>drd2_human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68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v>38</v>
      </c>
      <c r="P35" s="1">
        <f>VLOOKUP($B35&amp;"__wt",'SegEnds_Xtal_BW#'!$A:$Z,16,FALSE)</f>
        <v>62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v>35</v>
      </c>
      <c r="T35" s="1">
        <f t="array" ref="T35">INDEX(ICL3_classA!$G$2:$G$37,MATCH(MIN(ABS(AI35-ICL3_classA!$F$2:$F$37)),ABS(AI35-ICL3_classA!$F$2:$F$37),0))</f>
        <v>76</v>
      </c>
      <c r="U35" s="1">
        <f t="array" ref="U35">INDEX(ICL3_classA!$H$2:$H$37,MATCH(MIN(ABS(AI35-ICL3_classA!$F$2:$F$37)),ABS(AI35-ICL3_classA!$F$2:$F$37),0))</f>
        <v>24</v>
      </c>
      <c r="V35" s="1">
        <v>61</v>
      </c>
      <c r="W35" s="1">
        <v>31</v>
      </c>
      <c r="X35" s="108">
        <v>56</v>
      </c>
      <c r="Y35" s="1">
        <f>VLOOKUP($B35&amp;"__wt",'SegEnds_Xtal_BW#'!$A:$Z,25,FALSE)</f>
        <v>47</v>
      </c>
      <c r="Z35" s="1">
        <f>VLOOKUP($B35&amp;"__wt",'SegEnds_Xtal_BW#'!$A:$Z,26,FALSE)</f>
        <v>59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">
        <f>VLOOKUP(A35,'SegEnds_NonXtal_Prot#'!A:AL,10,FALSE)-VLOOKUP(A35,'SegEnds_NonXtal_Prot#'!A:AL,7,FALSE)</f>
        <v>15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20</v>
      </c>
      <c r="AH35" s="1">
        <f>VLOOKUP(A35,'SegEnds_NonXtal_Prot#'!A:AL,28,FALSE)-VLOOKUP(A35,'SegEnds_NonXtal_Prot#'!A:AL,22,FALSE)</f>
        <v>45</v>
      </c>
      <c r="AI35" s="1">
        <f>VLOOKUP(A35,'SegEnds_NonXtal_Prot#'!A:AL,31,FALSE)-VLOOKUP(A35,'SegEnds_NonXtal_Prot#'!A:AL,28,FALSE)</f>
        <v>91</v>
      </c>
      <c r="AJ35" s="1">
        <f>VLOOKUP(A35,'SegEnds_NonXtal_Prot#'!A:AL,34,FALSE)-VLOOKUP(A35,'SegEnds_NonXtal_Prot#'!A:AL,31,FALSE)</f>
        <v>36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153</v>
      </c>
      <c r="B36" s="1" t="str">
        <f>VLOOKUP(A36,Xtal_Templ!A:B,2,FALSE)</f>
        <v>drd2_human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62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INDEX(ICL3_classA!$G$2:$G$37,MATCH(MIN(ABS(AI36-ICL3_classA!$F$2:$F$37)),ABS(AI36-ICL3_classA!$F$2:$F$37),0))</f>
        <v>74</v>
      </c>
      <c r="U36" s="1">
        <f t="array" ref="U36">INDEX(ICL3_classA!$H$2:$H$37,MATCH(MIN(ABS(AI36-ICL3_classA!$F$2:$F$37)),ABS(AI36-ICL3_classA!$F$2:$F$37),0))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20</v>
      </c>
      <c r="AH36" s="1">
        <f>VLOOKUP(A36,'SegEnds_NonXtal_Prot#'!A:AL,28,FALSE)-VLOOKUP(A36,'SegEnds_NonXtal_Prot#'!A:AL,22,FALSE)</f>
        <v>45</v>
      </c>
      <c r="AI36" s="1">
        <f>VLOOKUP(A36,'SegEnds_NonXtal_Prot#'!A:AL,31,FALSE)-VLOOKUP(A36,'SegEnds_NonXtal_Prot#'!A:AL,28,FALSE)</f>
        <v>94</v>
      </c>
      <c r="AJ36" s="1">
        <f>VLOOKUP(A36,'SegEnds_NonXtal_Prot#'!A:AL,34,FALSE)-VLOOKUP(A36,'SegEnds_NonXtal_Prot#'!A:AL,31,FALSE)</f>
        <v>36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154</v>
      </c>
      <c r="B37" s="1" t="str">
        <f>VLOOKUP(A37,Xtal_Templ!A:B,2,FALSE)</f>
        <v>drd2_human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62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INDEX(ICL3_classA!$G$2:$G$37,MATCH(MIN(ABS(AI37-ICL3_classA!$F$2:$F$37)),ABS(AI37-ICL3_classA!$F$2:$F$37),0))</f>
        <v>74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20</v>
      </c>
      <c r="AH37" s="1">
        <f>VLOOKUP(A37,'SegEnds_NonXtal_Prot#'!A:AL,28,FALSE)-VLOOKUP(A37,'SegEnds_NonXtal_Prot#'!A:AL,22,FALSE)</f>
        <v>45</v>
      </c>
      <c r="AI37" s="1">
        <f>VLOOKUP(A37,'SegEnds_NonXtal_Prot#'!A:AL,31,FALSE)-VLOOKUP(A37,'SegEnds_NonXtal_Prot#'!A:AL,28,FALSE)</f>
        <v>97</v>
      </c>
      <c r="AJ37" s="1">
        <f>VLOOKUP(A37,'SegEnds_NonXtal_Prot#'!A:AL,34,FALSE)-VLOOKUP(A37,'SegEnds_NonXtal_Prot#'!A:AL,31,FALSE)</f>
        <v>36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155</v>
      </c>
      <c r="B38" s="1" t="str">
        <f>VLOOKUP(A38,Xtal_Templ!A:B,2,FALSE)</f>
        <v>drd2_human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INDEX(ICL3_classA!$G$2:$G$37,MATCH(MIN(ABS(AI38-ICL3_classA!$F$2:$F$37)),ABS(AI38-ICL3_classA!$F$2:$F$37),0))</f>
        <v>75</v>
      </c>
      <c r="U38" s="1">
        <f t="array" ref="U38">INDEX(ICL3_classA!$H$2:$H$37,MATCH(MIN(ABS(AI38-ICL3_classA!$F$2:$F$37)),ABS(AI38-ICL3_classA!$F$2:$F$37),0))</f>
        <v>24</v>
      </c>
      <c r="V38" s="1">
        <v>61</v>
      </c>
      <c r="W38" s="1">
        <v>32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50</v>
      </c>
      <c r="AI38" s="1">
        <f>VLOOKUP(A38,'SegEnds_NonXtal_Prot#'!A:AL,31,FALSE)-VLOOKUP(A38,'SegEnds_NonXtal_Prot#'!A:AL,28,FALSE)</f>
        <v>181</v>
      </c>
      <c r="AJ38" s="1">
        <f>VLOOKUP(A38,'SegEnds_NonXtal_Prot#'!A:AL,34,FALSE)-VLOOKUP(A38,'SegEnds_NonXtal_Prot#'!A:AL,31,FALSE)</f>
        <v>34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156</v>
      </c>
      <c r="B39" s="1" t="str">
        <f>VLOOKUP(A39,Xtal_Templ!A:B,2,FALSE)</f>
        <v>drd2_human</v>
      </c>
      <c r="C39" s="5">
        <f>VLOOKUP($B39&amp;"__wt",'SegEnds_Xtal_BW#'!$A:$Z,3,FALSE)</f>
        <v>29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INDEX(ICL3_classA!$G$2:$G$37,MATCH(MIN(ABS(AI39-ICL3_classA!$F$2:$F$37)),ABS(AI39-ICL3_classA!$F$2:$F$37),0))</f>
        <v>75</v>
      </c>
      <c r="U39" s="1">
        <f t="array" ref="U39">INDEX(ICL3_classA!$H$2:$H$37,MATCH(MIN(ABS(AI39-ICL3_classA!$F$2:$F$37)),ABS(AI39-ICL3_classA!$F$2:$F$37),0))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47</v>
      </c>
      <c r="AI39" s="1">
        <f>VLOOKUP(A39,'SegEnds_NonXtal_Prot#'!A:AL,31,FALSE)-VLOOKUP(A39,'SegEnds_NonXtal_Prot#'!A:AL,28,FALSE)</f>
        <v>199</v>
      </c>
      <c r="AJ39" s="1">
        <f>VLOOKUP(A39,'SegEnds_NonXtal_Prot#'!A:AL,34,FALSE)-VLOOKUP(A39,'SegEnds_NonXtal_Prot#'!A:AL,31,FALSE)</f>
        <v>37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157</v>
      </c>
      <c r="B40" s="1" t="str">
        <f>VLOOKUP(A40,Xtal_Templ!A:B,2,FALSE)</f>
        <v>drd2_human</v>
      </c>
      <c r="C40" s="5">
        <f>VLOOKUP($B40&amp;"__wt",'SegEnds_Xtal_BW#'!$A:$Z,3,FALSE)</f>
        <v>29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62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INDEX(ICL3_classA!$G$2:$G$37,MATCH(MIN(ABS(AI40-ICL3_classA!$F$2:$F$37)),ABS(AI40-ICL3_classA!$F$2:$F$37),0))</f>
        <v>75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20</v>
      </c>
      <c r="AH40" s="1">
        <f>VLOOKUP(A40,'SegEnds_NonXtal_Prot#'!A:AL,28,FALSE)-VLOOKUP(A40,'SegEnds_NonXtal_Prot#'!A:AL,22,FALSE)</f>
        <v>46</v>
      </c>
      <c r="AI40" s="1">
        <f>VLOOKUP(A40,'SegEnds_NonXtal_Prot#'!A:AL,31,FALSE)-VLOOKUP(A40,'SegEnds_NonXtal_Prot#'!A:AL,28,FALSE)</f>
        <v>175</v>
      </c>
      <c r="AJ40" s="1">
        <f>VLOOKUP(A40,'SegEnds_NonXtal_Prot#'!A:AL,34,FALSE)-VLOOKUP(A40,'SegEnds_NonXtal_Prot#'!A:AL,31,FALSE)</f>
        <v>37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158</v>
      </c>
      <c r="B41" s="1" t="str">
        <f>VLOOKUP(A41,Xtal_Templ!A:B,2,FALSE)</f>
        <v>agtr1_human</v>
      </c>
      <c r="C41" s="5">
        <f>VLOOKUP($B41&amp;"__wt",'SegEnds_Xtal_BW#'!$A:$Z,3,FALSE)</f>
        <v>30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34</v>
      </c>
      <c r="T41" s="1">
        <f t="array" ref="T41">INDEX(ICL3_classA!$G$2:$G$37,MATCH(MIN(ABS(AI41-ICL3_classA!$F$2:$F$37)),ABS(AI41-ICL3_classA!$F$2:$F$37),0))</f>
        <v>68</v>
      </c>
      <c r="U41" s="1">
        <f t="array" ref="U41">INDEX(ICL3_classA!$H$2:$H$37,MATCH(MIN(ABS(AI41-ICL3_classA!$F$2:$F$37)),ABS(AI41-ICL3_classA!$F$2:$F$37),0))</f>
        <v>24</v>
      </c>
      <c r="V41" s="1">
        <v>64</v>
      </c>
      <c r="W41" s="1">
        <v>24</v>
      </c>
      <c r="X41" s="128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61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27</v>
      </c>
      <c r="AH41" s="1">
        <f>VLOOKUP(A41,'SegEnds_NonXtal_Prot#'!A:AL,28,FALSE)-VLOOKUP(A41,'SegEnds_NonXtal_Prot#'!A:AL,22,FALSE)</f>
        <v>54</v>
      </c>
      <c r="AI41" s="1">
        <f>VLOOKUP(A41,'SegEnds_NonXtal_Prot#'!A:AL,31,FALSE)-VLOOKUP(A41,'SegEnds_NonXtal_Prot#'!A:AL,28,FALSE)</f>
        <v>48</v>
      </c>
      <c r="AJ41" s="1">
        <f>VLOOKUP(A41,'SegEnds_NonXtal_Prot#'!A:AL,34,FALSE)-VLOOKUP(A41,'SegEnds_NonXtal_Prot#'!A:AL,31,FALSE)</f>
        <v>44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Xtal</v>
      </c>
    </row>
    <row r="42" spans="1:38" x14ac:dyDescent="0.2">
      <c r="A42" s="1" t="s">
        <v>159</v>
      </c>
      <c r="B42" s="1" t="str">
        <f>VLOOKUP(A42,Xtal_Templ!A:B,2,FALSE)</f>
        <v>agtr2_human</v>
      </c>
      <c r="C42" s="5">
        <f>VLOOKUP($B42&amp;"__wt",'SegEnds_Xtal_BW#'!$A:$Z,3,FALSE)</f>
        <v>33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08">
        <v>38</v>
      </c>
      <c r="H42" s="12">
        <f>VLOOKUP($B42&amp;"__wt",'SegEnds_Xtal_BW#'!$A:$Z,8,FALSE)</f>
        <v>66</v>
      </c>
      <c r="I42" s="1">
        <f>VLOOKUP($B42&amp;"__wt",'SegEnds_Xtal_BW#'!$A:$Z,9,FALSE)</f>
        <v>47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56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24</v>
      </c>
      <c r="V42" s="1">
        <v>64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 t="e">
        <f>VLOOKUP(A42,'SegEnds_NonXtal_Prot#'!A:AL,10,FALSE)-VLOOKUP(A42,'SegEnds_NonXtal_Prot#'!A:AL,7,FALSE)</f>
        <v>#VALUE!</v>
      </c>
      <c r="AD42" s="1">
        <f>VLOOKUP(A42,'SegEnds_NonXtal_Prot#'!A:AL,13,FALSE)-VLOOKUP(A42,'SegEnds_NonXtal_Prot#'!A:AL,10,FALSE)</f>
        <v>20</v>
      </c>
      <c r="AE42" s="1">
        <f>VLOOKUP(A42,'SegEnds_NonXtal_Prot#'!A:AL,16,FALSE)-VLOOKUP(A42,'SegEnds_NonXtal_Prot#'!A:AL,10,FALSE)</f>
        <v>52</v>
      </c>
      <c r="AF42" s="1">
        <f>VLOOKUP(A42,'SegEnds_NonXtal_Prot#'!A:AL,22,FALSE)-VLOOKUP(A42,'SegEnds_NonXtal_Prot#'!A:AL,19,FALSE)</f>
        <v>19</v>
      </c>
      <c r="AG42" s="1">
        <f>VLOOKUP(A42,'SegEnds_NonXtal_Prot#'!A:AL,28,FALSE)-VLOOKUP(A42,'SegEnds_NonXtal_Prot#'!A:AL,25,FALSE)</f>
        <v>28</v>
      </c>
      <c r="AH42" s="1">
        <f>VLOOKUP(A42,'SegEnds_NonXtal_Prot#'!A:AL,28,FALSE)-VLOOKUP(A42,'SegEnds_NonXtal_Prot#'!A:AL,22,FALSE)</f>
        <v>55</v>
      </c>
      <c r="AI42" s="1">
        <f>VLOOKUP(A42,'SegEnds_NonXtal_Prot#'!A:AL,31,FALSE)-VLOOKUP(A42,'SegEnds_NonXtal_Prot#'!A:AL,28,FALSE)</f>
        <v>48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Xtal</v>
      </c>
    </row>
    <row r="43" spans="1:38" x14ac:dyDescent="0.2">
      <c r="A43" s="1" t="s">
        <v>160</v>
      </c>
      <c r="B43" s="1" t="str">
        <f>VLOOKUP(A43,Xtal_Templ!A:B,2,FALSE)</f>
        <v>apj_human</v>
      </c>
      <c r="C43" s="5">
        <f>VLOOKUP($B43&amp;"__wt",'SegEnds_Xtal_BW#'!$A:$Z,3,FALSE)</f>
        <v>33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52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7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30</v>
      </c>
      <c r="T43" s="1">
        <f t="array" ref="T43">INDEX(ICL3_classA!$G$2:$G$37,MATCH(MIN(ABS(AI43-ICL3_classA!$F$2:$F$37)),ABS(AI43-ICL3_classA!$F$2:$F$37),0))</f>
        <v>72</v>
      </c>
      <c r="U43" s="1">
        <f t="array" ref="U43">INDEX(ICL3_classA!$H$2:$H$37,MATCH(MIN(ABS(AI43-ICL3_classA!$F$2:$F$37)),ABS(AI43-ICL3_classA!$F$2:$F$37),0))</f>
        <v>29</v>
      </c>
      <c r="V43" s="108">
        <v>63</v>
      </c>
      <c r="W43" s="1">
        <v>24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61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29</v>
      </c>
      <c r="AC43" s="1">
        <f>VLOOKUP(A43,'SegEnds_NonXtal_Prot#'!A:AL,10,FALSE)-VLOOKUP(A43,'SegEnds_NonXtal_Prot#'!A:AL,7,FALSE)</f>
        <v>16</v>
      </c>
      <c r="AD43" s="1">
        <f>VLOOKUP(A43,'SegEnds_NonXtal_Prot#'!A:AL,13,FALSE)-VLOOKUP(A43,'SegEnds_NonXtal_Prot#'!A:AL,10,FALSE)</f>
        <v>20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32</v>
      </c>
      <c r="AH43" s="1">
        <f>VLOOKUP(A43,'SegEnds_NonXtal_Prot#'!A:AL,28,FALSE)-VLOOKUP(A43,'SegEnds_NonXtal_Prot#'!A:AL,22,FALSE)</f>
        <v>59</v>
      </c>
      <c r="AI43" s="1">
        <f>VLOOKUP(A43,'SegEnds_NonXtal_Prot#'!A:AL,31,FALSE)-VLOOKUP(A43,'SegEnds_NonXtal_Prot#'!A:AL,28,FALSE)</f>
        <v>50</v>
      </c>
      <c r="AJ43" s="1">
        <f>VLOOKUP(A43,'SegEnds_NonXtal_Prot#'!A:AL,34,FALSE)-VLOOKUP(A43,'SegEnds_NonXtal_Prot#'!A:AL,31,FALSE)</f>
        <v>43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Xtal</v>
      </c>
    </row>
    <row r="44" spans="1:38" x14ac:dyDescent="0.2">
      <c r="A44" s="1" t="s">
        <v>161</v>
      </c>
      <c r="B44" s="1" t="str">
        <f>VLOOKUP(A44,Xtal_Templ!A:B,2,FALSE)</f>
        <v>agtr1_human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66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7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34</v>
      </c>
      <c r="T44" s="1">
        <f t="array" ref="T44">INDEX(ICL3_classA!$G$2:$G$37,MATCH(MIN(ABS(AI44-ICL3_classA!$F$2:$F$37)),ABS(AI44-ICL3_classA!$F$2:$F$37),0))</f>
        <v>68</v>
      </c>
      <c r="U44" s="1">
        <f t="array" ref="U44">INDEX(ICL3_classA!$H$2:$H$37,MATCH(MIN(ABS(AI44-ICL3_classA!$F$2:$F$37)),ABS(AI44-ICL3_classA!$F$2:$F$37),0))</f>
        <v>23</v>
      </c>
      <c r="V44" s="1">
        <v>64</v>
      </c>
      <c r="W44" s="1">
        <v>24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61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25</v>
      </c>
      <c r="AH44" s="1">
        <f>VLOOKUP(A44,'SegEnds_NonXtal_Prot#'!A:AL,28,FALSE)-VLOOKUP(A44,'SegEnds_NonXtal_Prot#'!A:AL,22,FALSE)</f>
        <v>52</v>
      </c>
      <c r="AI44" s="1">
        <f>VLOOKUP(A44,'SegEnds_NonXtal_Prot#'!A:AL,31,FALSE)-VLOOKUP(A44,'SegEnds_NonXtal_Prot#'!A:AL,28,FALSE)</f>
        <v>51</v>
      </c>
      <c r="AJ44" s="1">
        <f>VLOOKUP(A44,'SegEnds_NonXtal_Prot#'!A:AL,34,FALSE)-VLOOKUP(A44,'SegEnds_NonXtal_Prot#'!A:AL,31,FALSE)</f>
        <v>44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162</v>
      </c>
      <c r="B45" s="1" t="str">
        <f>VLOOKUP(A45,Xtal_Templ!A:B,2,FALSE)</f>
        <v>agtr2_human</v>
      </c>
      <c r="C45" s="5">
        <f>VLOOKUP($B45&amp;"__wt",'SegEnds_Xtal_BW#'!$A:$Z,3,FALSE)</f>
        <v>33</v>
      </c>
      <c r="D45" s="1">
        <f>VLOOKUP($B45&amp;"__wt",'SegEnds_Xtal_BW#'!$A:$Z,4,FALSE)</f>
        <v>60</v>
      </c>
      <c r="E45" s="1" t="str">
        <f>VLOOKUP($B45&amp;"__wt",'SegEnds_Xtal_BW#'!$A:$Z,5,FALSE)</f>
        <v>-</v>
      </c>
      <c r="F45" s="1" t="str">
        <f>VLOOKUP($B45&amp;"__wt",'SegEnds_Xtal_BW#'!$A:$Z,6,FALSE)</f>
        <v>-</v>
      </c>
      <c r="G45" s="1">
        <v>37</v>
      </c>
      <c r="H45" s="12">
        <f>VLOOKUP($B45&amp;"__wt",'SegEnds_Xtal_BW#'!$A:$Z,8,FALSE)</f>
        <v>66</v>
      </c>
      <c r="I45" s="1">
        <f>VLOOKUP($B45&amp;"__wt",'SegEnds_Xtal_BW#'!$A:$Z,9,FALSE)</f>
        <v>47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08">
        <v>57</v>
      </c>
      <c r="O45" s="87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30</v>
      </c>
      <c r="T45" s="1">
        <f t="array" ref="T45">INDEX(ICL3_classA!$G$2:$G$37,MATCH(MIN(ABS(AI45-ICL3_classA!$F$2:$F$37)),ABS(AI45-ICL3_classA!$F$2:$F$37),0))</f>
        <v>68</v>
      </c>
      <c r="U45" s="1">
        <f t="array" ref="U45">INDEX(ICL3_classA!$H$2:$H$37,MATCH(MIN(ABS(AI45-ICL3_classA!$F$2:$F$37)),ABS(AI45-ICL3_classA!$F$2:$F$37),0))</f>
        <v>24</v>
      </c>
      <c r="V45" s="1">
        <v>64</v>
      </c>
      <c r="W45" s="1">
        <v>24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61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20</v>
      </c>
      <c r="AE45" s="1">
        <f>VLOOKUP(A45,'SegEnds_NonXtal_Prot#'!A:AL,16,FALSE)-VLOOKUP(A45,'SegEnds_NonXtal_Prot#'!A:AL,10,FALSE)</f>
        <v>52</v>
      </c>
      <c r="AF45" s="1">
        <f>VLOOKUP(A45,'SegEnds_NonXtal_Prot#'!A:AL,22,FALSE)-VLOOKUP(A45,'SegEnds_NonXtal_Prot#'!A:AL,19,FALSE)</f>
        <v>20</v>
      </c>
      <c r="AG45" s="1">
        <f>VLOOKUP(A45,'SegEnds_NonXtal_Prot#'!A:AL,28,FALSE)-VLOOKUP(A45,'SegEnds_NonXtal_Prot#'!A:AL,25,FALSE)</f>
        <v>25</v>
      </c>
      <c r="AH45" s="1">
        <f>VLOOKUP(A45,'SegEnds_NonXtal_Prot#'!A:AL,28,FALSE)-VLOOKUP(A45,'SegEnds_NonXtal_Prot#'!A:AL,22,FALSE)</f>
        <v>54</v>
      </c>
      <c r="AI45" s="1">
        <f>VLOOKUP(A45,'SegEnds_NonXtal_Prot#'!A:AL,31,FALSE)-VLOOKUP(A45,'SegEnds_NonXtal_Prot#'!A:AL,28,FALSE)</f>
        <v>49</v>
      </c>
      <c r="AJ45" s="1">
        <f>VLOOKUP(A45,'SegEnds_NonXtal_Prot#'!A:AL,34,FALSE)-VLOOKUP(A45,'SegEnds_NonXtal_Prot#'!A:AL,31,FALSE)</f>
        <v>44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163</v>
      </c>
      <c r="B46" s="1" t="str">
        <f>VLOOKUP(A46,Xtal_Templ!A:B,2,FALSE)</f>
        <v>ednrb_human</v>
      </c>
      <c r="C46" s="5">
        <f>VLOOKUP($B46&amp;"__wt",'SegEnds_Xtal_BW#'!$A:$Z,3,FALSE)</f>
        <v>22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52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28</v>
      </c>
      <c r="T46" s="1">
        <f t="array" ref="T46">INDEX(ICL3_classA!$G$2:$G$37,MATCH(MIN(ABS(AI46-ICL3_classA!$F$2:$F$37)),ABS(AI46-ICL3_classA!$F$2:$F$37),0))</f>
        <v>73</v>
      </c>
      <c r="U46" s="1">
        <f t="array" ref="U46">INDEX(ICL3_classA!$H$2:$H$37,MATCH(MIN(ABS(AI46-ICL3_classA!$F$2:$F$37)),ABS(AI46-ICL3_classA!$F$2:$F$37),0))</f>
        <v>22</v>
      </c>
      <c r="V46" s="1">
        <v>61</v>
      </c>
      <c r="W46" s="1">
        <v>28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60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26</v>
      </c>
      <c r="AH46" s="1">
        <f>VLOOKUP(A46,'SegEnds_NonXtal_Prot#'!A:AL,28,FALSE)-VLOOKUP(A46,'SegEnds_NonXtal_Prot#'!A:AL,22,FALSE)</f>
        <v>57</v>
      </c>
      <c r="AI46" s="1">
        <f>VLOOKUP(A46,'SegEnds_NonXtal_Prot#'!A:AL,31,FALSE)-VLOOKUP(A46,'SegEnds_NonXtal_Prot#'!A:AL,28,FALSE)</f>
        <v>57</v>
      </c>
      <c r="AJ46" s="1">
        <f>VLOOKUP(A46,'SegEnds_NonXtal_Prot#'!A:AL,34,FALSE)-VLOOKUP(A46,'SegEnds_NonXtal_Prot#'!A:AL,31,FALSE)</f>
        <v>41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164</v>
      </c>
      <c r="B47" s="1" t="str">
        <f>VLOOKUP(A47,Xtal_Templ!A:B,2,FALSE)</f>
        <v>c5ar1_human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 t="str">
        <f>VLOOKUP($B47&amp;"__wt",'SegEnds_Xtal_BW#'!$A:$Z,5,FALSE)</f>
        <v>-</v>
      </c>
      <c r="F47" s="1" t="str">
        <f>VLOOKUP($B47&amp;"__wt",'SegEnds_Xtal_BW#'!$A:$Z,6,FALSE)</f>
        <v>-</v>
      </c>
      <c r="G47" s="1">
        <v>37</v>
      </c>
      <c r="H47" s="12">
        <f>VLOOKUP($B47&amp;"__wt",'SegEnds_Xtal_BW#'!$A:$Z,8,FALSE)</f>
        <v>67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31</v>
      </c>
      <c r="T47" s="1">
        <f t="array" ref="T47">INDEX(ICL3_classA!$G$2:$G$37,MATCH(MIN(ABS(AI47-ICL3_classA!$F$2:$F$37)),ABS(AI47-ICL3_classA!$F$2:$F$37),0))</f>
        <v>68</v>
      </c>
      <c r="U47" s="108">
        <v>31</v>
      </c>
      <c r="V47" s="1">
        <v>61</v>
      </c>
      <c r="W47" s="108">
        <v>25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56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27</v>
      </c>
      <c r="AC47" s="1" t="e">
        <f>VLOOKUP(A47,'SegEnds_NonXtal_Prot#'!A:AL,10,FALSE)-VLOOKUP(A47,'SegEnds_NonXtal_Prot#'!A:AL,7,FALSE)</f>
        <v>#VALUE!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52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176</v>
      </c>
      <c r="AH47" s="1">
        <f>VLOOKUP(A47,'SegEnds_NonXtal_Prot#'!A:AL,28,FALSE)-VLOOKUP(A47,'SegEnds_NonXtal_Prot#'!A:AL,22,FALSE)</f>
        <v>201</v>
      </c>
      <c r="AI47" s="1">
        <f>VLOOKUP(A47,'SegEnds_NonXtal_Prot#'!A:AL,31,FALSE)-VLOOKUP(A47,'SegEnds_NonXtal_Prot#'!A:AL,28,FALSE)</f>
        <v>44</v>
      </c>
      <c r="AJ47" s="1">
        <f>VLOOKUP(A47,'SegEnds_NonXtal_Prot#'!A:AL,34,FALSE)-VLOOKUP(A47,'SegEnds_NonXtal_Prot#'!A:AL,31,FALSE)</f>
        <v>40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165</v>
      </c>
      <c r="B48" s="1" t="str">
        <f>VLOOKUP(A48,Xtal_Templ!A:B,2,FALSE)</f>
        <v>c5ar1_human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f>VLOOKUP($B48&amp;"__wt",'SegEnds_Xtal_BW#'!$A:$Z,8,FALSE)</f>
        <v>67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31</v>
      </c>
      <c r="T48" s="1">
        <f t="array" ref="T48">INDEX(ICL3_classA!$G$2:$G$37,MATCH(MIN(ABS(AI48-ICL3_classA!$F$2:$F$37)),ABS(AI48-ICL3_classA!$F$2:$F$37),0))</f>
        <v>68</v>
      </c>
      <c r="U48" s="108">
        <v>31</v>
      </c>
      <c r="V48" s="1">
        <v>61</v>
      </c>
      <c r="W48" s="108">
        <v>25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56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27</v>
      </c>
      <c r="AC48" s="1" t="e">
        <f>VLOOKUP(A48,'SegEnds_NonXtal_Prot#'!A:AL,10,FALSE)-VLOOKUP(A48,'SegEnds_NonXtal_Prot#'!A:AL,7,FALSE)</f>
        <v>#VALUE!</v>
      </c>
      <c r="AD48" s="1">
        <f>VLOOKUP(A48,'SegEnds_NonXtal_Prot#'!A:AL,13,FALSE)-VLOOKUP(A48,'SegEnds_NonXtal_Prot#'!A:AL,10,FALSE)</f>
        <v>20</v>
      </c>
      <c r="AE48" s="1">
        <f>VLOOKUP(A48,'SegEnds_NonXtal_Prot#'!A:AL,16,FALSE)-VLOOKUP(A48,'SegEnds_NonXtal_Prot#'!A:AL,10,FALSE)</f>
        <v>52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26</v>
      </c>
      <c r="AH48" s="1">
        <f>VLOOKUP(A48,'SegEnds_NonXtal_Prot#'!A:AL,28,FALSE)-VLOOKUP(A48,'SegEnds_NonXtal_Prot#'!A:AL,22,FALSE)</f>
        <v>53</v>
      </c>
      <c r="AI48" s="1">
        <f>VLOOKUP(A48,'SegEnds_NonXtal_Prot#'!A:AL,31,FALSE)-VLOOKUP(A48,'SegEnds_NonXtal_Prot#'!A:AL,28,FALSE)</f>
        <v>43</v>
      </c>
      <c r="AJ48" s="1">
        <f>VLOOKUP(A48,'SegEnds_NonXtal_Prot#'!A:AL,34,FALSE)-VLOOKUP(A48,'SegEnds_NonXtal_Prot#'!A:AL,31,FALSE)</f>
        <v>40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Xtal</v>
      </c>
    </row>
    <row r="49" spans="1:38" x14ac:dyDescent="0.2">
      <c r="A49" s="1" t="s">
        <v>166</v>
      </c>
      <c r="B49" s="1" t="str">
        <f>VLOOKUP(A49,Xtal_Templ!A:B,2,FALSE)</f>
        <v>c5ar1_human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31</v>
      </c>
      <c r="T49" s="1">
        <f t="array" ref="T49">INDEX(ICL3_classA!$G$2:$G$37,MATCH(MIN(ABS(AI49-ICL3_classA!$F$2:$F$37)),ABS(AI49-ICL3_classA!$F$2:$F$37),0))</f>
        <v>64</v>
      </c>
      <c r="U49" s="108">
        <v>31</v>
      </c>
      <c r="V49" s="1">
        <v>61</v>
      </c>
      <c r="W49" s="108">
        <v>25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56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27</v>
      </c>
      <c r="AC49" s="1" t="e">
        <f>VLOOKUP(A49,'SegEnds_NonXtal_Prot#'!A:AL,10,FALSE)-VLOOKUP(A49,'SegEnds_NonXtal_Prot#'!A:AL,7,FALSE)</f>
        <v>#VALUE!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26</v>
      </c>
      <c r="AH49" s="1">
        <f>VLOOKUP(A49,'SegEnds_NonXtal_Prot#'!A:AL,28,FALSE)-VLOOKUP(A49,'SegEnds_NonXtal_Prot#'!A:AL,22,FALSE)</f>
        <v>53</v>
      </c>
      <c r="AI49" s="1">
        <f>VLOOKUP(A49,'SegEnds_NonXtal_Prot#'!A:AL,31,FALSE)-VLOOKUP(A49,'SegEnds_NonXtal_Prot#'!A:AL,28,FALSE)</f>
        <v>36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167</v>
      </c>
      <c r="B50" s="1" t="str">
        <f>VLOOKUP(A50,Xtal_Templ!A:B,2,FALSE)</f>
        <v>ox1r_human</v>
      </c>
      <c r="C50" s="5">
        <f>VLOOKUP($B50&amp;"__wt",'SegEnds_Xtal_BW#'!$A:$Z,3,FALSE)</f>
        <v>32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INDEX(ICL3_classA!$G$2:$G$37,MATCH(MIN(ABS(AI50-ICL3_classA!$F$2:$F$37)),ABS(AI50-ICL3_classA!$F$2:$F$37),0))</f>
        <v>74</v>
      </c>
      <c r="U50" s="1">
        <f t="array" ref="U50">INDEX(ICL3_classA!$H$2:$H$37,MATCH(MIN(ABS(AI50-ICL3_classA!$F$2:$F$37)),ABS(AI50-ICL3_classA!$F$2:$F$37),0))</f>
        <v>24</v>
      </c>
      <c r="V50" s="1">
        <v>61</v>
      </c>
      <c r="W50" s="1">
        <v>28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20</v>
      </c>
      <c r="AE50" s="1">
        <f>VLOOKUP(A50,'SegEnds_NonXtal_Prot#'!A:AL,16,FALSE)-VLOOKUP(A50,'SegEnds_NonXtal_Prot#'!A:AL,10,FALSE)</f>
        <v>52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25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107</v>
      </c>
      <c r="AJ50" s="1">
        <f>VLOOKUP(A50,'SegEnds_NonXtal_Prot#'!A:AL,34,FALSE)-VLOOKUP(A50,'SegEnds_NonXtal_Prot#'!A:AL,31,FALSE)</f>
        <v>39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168</v>
      </c>
      <c r="B51" s="1" t="str">
        <f>VLOOKUP(A51,Xtal_Templ!A:B,2,FALSE)</f>
        <v>ccr5_human</v>
      </c>
      <c r="C51" s="5">
        <f>VLOOKUP($B51&amp;"__wt",'SegEnds_Xtal_BW#'!$A:$Z,3,FALSE)</f>
        <v>24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30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19</v>
      </c>
      <c r="AE51" s="1">
        <f>VLOOKUP(A51,'SegEnds_NonXtal_Prot#'!A:AL,16,FALSE)-VLOOKUP(A51,'SegEnds_NonXtal_Prot#'!A:AL,10,FALSE)</f>
        <v>51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28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43</v>
      </c>
      <c r="AJ51" s="1">
        <f>VLOOKUP(A51,'SegEnds_NonXtal_Prot#'!A:AL,34,FALSE)-VLOOKUP(A51,'SegEnds_NonXtal_Prot#'!A:AL,31,FALSE)</f>
        <v>44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169</v>
      </c>
      <c r="B52" s="1" t="str">
        <f>VLOOKUP(A52,Xtal_Templ!A:B,2,FALSE)</f>
        <v>ccr9_human</v>
      </c>
      <c r="C52" s="5">
        <f>VLOOKUP($B52&amp;"__wt",'SegEnds_Xtal_BW#'!$A:$Z,3,FALSE)</f>
        <v>27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24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56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33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30</v>
      </c>
      <c r="V52" s="1">
        <v>65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67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29</v>
      </c>
      <c r="AC52" s="1">
        <f>VLOOKUP(A52,'SegEnds_NonXtal_Prot#'!A:AL,10,FALSE)-VLOOKUP(A52,'SegEnds_NonXtal_Prot#'!A:AL,7,FALSE)</f>
        <v>16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 t="e">
        <f>VLOOKUP(A52,'SegEnds_NonXtal_Prot#'!A:AL,22,FALSE)-VLOOKUP(A52,'SegEnds_NonXtal_Prot#'!A:AL,19,FALSE)</f>
        <v>#VALUE!</v>
      </c>
      <c r="AG52" s="1">
        <f>VLOOKUP(A52,'SegEnds_NonXtal_Prot#'!A:AL,28,FALSE)-VLOOKUP(A52,'SegEnds_NonXtal_Prot#'!A:AL,25,FALSE)</f>
        <v>28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170</v>
      </c>
      <c r="B53" s="1" t="str">
        <f>VLOOKUP(A53,Xtal_Templ!A:B,2,FALSE)</f>
        <v>ccr2_human</v>
      </c>
      <c r="C53" s="5">
        <f>VLOOKUP($B53&amp;"__wt",'SegEnds_Xtal_BW#'!$A:$Z,3,FALSE)</f>
        <v>27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24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7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31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28</v>
      </c>
      <c r="V53" s="1">
        <v>65</v>
      </c>
      <c r="W53" s="1">
        <v>24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58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18</v>
      </c>
      <c r="AE53" s="1">
        <f>VLOOKUP(A53,'SegEnds_NonXtal_Prot#'!A:AL,16,FALSE)-VLOOKUP(A53,'SegEnds_NonXtal_Prot#'!A:AL,10,FALSE)</f>
        <v>50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24</v>
      </c>
      <c r="AH53" s="1">
        <f>VLOOKUP(A53,'SegEnds_NonXtal_Prot#'!A:AL,28,FALSE)-VLOOKUP(A53,'SegEnds_NonXtal_Prot#'!A:AL,22,FALSE)</f>
        <v>49</v>
      </c>
      <c r="AI53" s="1">
        <f>VLOOKUP(A53,'SegEnds_NonXtal_Prot#'!A:AL,31,FALSE)-VLOOKUP(A53,'SegEnds_NonXtal_Prot#'!A:AL,28,FALSE)</f>
        <v>44</v>
      </c>
      <c r="AJ53" s="1">
        <f>VLOOKUP(A53,'SegEnds_NonXtal_Prot#'!A:AL,34,FALSE)-VLOOKUP(A53,'SegEnds_NonXtal_Prot#'!A:AL,31,FALSE)</f>
        <v>44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Xtal</v>
      </c>
    </row>
    <row r="54" spans="1:38" x14ac:dyDescent="0.2">
      <c r="A54" s="1" t="s">
        <v>171</v>
      </c>
      <c r="B54" s="1" t="str">
        <f>VLOOKUP(A54,Xtal_Templ!A:B,2,FALSE)</f>
        <v>ccr5_human</v>
      </c>
      <c r="C54" s="5">
        <f>VLOOKUP($B54&amp;"__wt",'SegEnds_Xtal_BW#'!$A:$Z,3,FALSE)</f>
        <v>24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7">
        <f>VLOOKUP($B54&amp;"__wt",'SegEnds_Xtal_BW#'!$A:$Z,15,FALSE)</f>
        <v>38</v>
      </c>
      <c r="P54" s="1">
        <f>VLOOKUP($B54&amp;"__wt",'SegEnds_Xtal_BW#'!$A:$Z,16,FALSE)</f>
        <v>64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30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30</v>
      </c>
      <c r="V54" s="1">
        <v>65</v>
      </c>
      <c r="W54" s="1">
        <v>24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19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28</v>
      </c>
      <c r="AH54" s="1">
        <f>VLOOKUP(A54,'SegEnds_NonXtal_Prot#'!A:AL,28,FALSE)-VLOOKUP(A54,'SegEnds_NonXtal_Prot#'!A:AL,22,FALSE)</f>
        <v>53</v>
      </c>
      <c r="AI54" s="1">
        <f>VLOOKUP(A54,'SegEnds_NonXtal_Prot#'!A:AL,31,FALSE)-VLOOKUP(A54,'SegEnds_NonXtal_Prot#'!A:AL,28,FALSE)</f>
        <v>43</v>
      </c>
      <c r="AJ54" s="1">
        <f>VLOOKUP(A54,'SegEnds_NonXtal_Prot#'!A:AL,34,FALSE)-VLOOKUP(A54,'SegEnds_NonXtal_Prot#'!A:AL,31,FALSE)</f>
        <v>44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172</v>
      </c>
      <c r="B55" s="1" t="str">
        <f>VLOOKUP(A55,Xtal_Templ!A:B,2,FALSE)</f>
        <v>ccr5_human</v>
      </c>
      <c r="C55" s="5">
        <f>VLOOKUP($B55&amp;"__wt",'SegEnds_Xtal_BW#'!$A:$Z,3,FALSE)</f>
        <v>24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v>66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24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f>VLOOKUP($B55&amp;"__wt",'SegEnds_Xtal_BW#'!$A:$Z,14,FALSE)</f>
        <v>57</v>
      </c>
      <c r="O55" s="87">
        <v>38</v>
      </c>
      <c r="P55" s="1">
        <f>VLOOKUP($B55&amp;"__wt",'SegEnds_Xtal_BW#'!$A:$Z,16,FALSE)</f>
        <v>64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30</v>
      </c>
      <c r="T55" s="1">
        <f t="array" ref="T55">INDEX(ICL3_classA!$G$2:$G$37,MATCH(MIN(ABS(AI55-ICL3_classA!$F$2:$F$37)),ABS(AI55-ICL3_classA!$F$2:$F$37),0))</f>
        <v>68</v>
      </c>
      <c r="U55" s="1">
        <f t="array" ref="U55">INDEX(ICL3_classA!$H$2:$H$37,MATCH(MIN(ABS(AI55-ICL3_classA!$F$2:$F$37)),ABS(AI55-ICL3_classA!$F$2:$F$37),0))</f>
        <v>30</v>
      </c>
      <c r="V55" s="1">
        <v>65</v>
      </c>
      <c r="W55" s="1">
        <v>24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18</v>
      </c>
      <c r="AE55" s="1">
        <f>VLOOKUP(A55,'SegEnds_NonXtal_Prot#'!A:AL,16,FALSE)-VLOOKUP(A55,'SegEnds_NonXtal_Prot#'!A:AL,10,FALSE)</f>
        <v>50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27</v>
      </c>
      <c r="AH55" s="1">
        <f>VLOOKUP(A55,'SegEnds_NonXtal_Prot#'!A:AL,28,FALSE)-VLOOKUP(A55,'SegEnds_NonXtal_Prot#'!A:AL,22,FALSE)</f>
        <v>52</v>
      </c>
      <c r="AI55" s="1">
        <f>VLOOKUP(A55,'SegEnds_NonXtal_Prot#'!A:AL,31,FALSE)-VLOOKUP(A55,'SegEnds_NonXtal_Prot#'!A:AL,28,FALSE)</f>
        <v>43</v>
      </c>
      <c r="AJ55" s="1">
        <f>VLOOKUP(A55,'SegEnds_NonXtal_Prot#'!A:AL,34,FALSE)-VLOOKUP(A55,'SegEnds_NonXtal_Prot#'!A:AL,31,FALSE)</f>
        <v>44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173</v>
      </c>
      <c r="B56" s="1" t="str">
        <f>VLOOKUP(A56,Xtal_Templ!A:B,2,FALSE)</f>
        <v>ccr5_human</v>
      </c>
      <c r="C56" s="5">
        <f>VLOOKUP($B56&amp;"__wt",'SegEnds_Xtal_BW#'!$A:$Z,3,FALSE)</f>
        <v>24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24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f>VLOOKUP($B56&amp;"__wt",'SegEnds_Xtal_BW#'!$A:$Z,14,FALSE)</f>
        <v>57</v>
      </c>
      <c r="O56" s="87">
        <f>VLOOKUP($B56&amp;"__wt",'SegEnds_Xtal_BW#'!$A:$Z,15,FALSE)</f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30</v>
      </c>
      <c r="T56" s="1">
        <f t="array" ref="T56">INDEX(ICL3_classA!$G$2:$G$37,MATCH(MIN(ABS(AI56-ICL3_classA!$F$2:$F$37)),ABS(AI56-ICL3_classA!$F$2:$F$37),0))</f>
        <v>68</v>
      </c>
      <c r="U56" s="1">
        <f t="array" ref="U56">INDEX(ICL3_classA!$H$2:$H$37,MATCH(MIN(ABS(AI56-ICL3_classA!$F$2:$F$37)),ABS(AI56-ICL3_classA!$F$2:$F$37),0))</f>
        <v>28</v>
      </c>
      <c r="V56" s="1">
        <v>65</v>
      </c>
      <c r="W56" s="1">
        <v>24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18</v>
      </c>
      <c r="AE56" s="1">
        <f>VLOOKUP(A56,'SegEnds_NonXtal_Prot#'!A:AL,16,FALSE)-VLOOKUP(A56,'SegEnds_NonXtal_Prot#'!A:AL,10,FALSE)</f>
        <v>50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28</v>
      </c>
      <c r="AH56" s="1">
        <f>VLOOKUP(A56,'SegEnds_NonXtal_Prot#'!A:AL,28,FALSE)-VLOOKUP(A56,'SegEnds_NonXtal_Prot#'!A:AL,22,FALSE)</f>
        <v>53</v>
      </c>
      <c r="AI56" s="1">
        <f>VLOOKUP(A56,'SegEnds_NonXtal_Prot#'!A:AL,31,FALSE)-VLOOKUP(A56,'SegEnds_NonXtal_Prot#'!A:AL,28,FALSE)</f>
        <v>44</v>
      </c>
      <c r="AJ56" s="1">
        <f>VLOOKUP(A56,'SegEnds_NonXtal_Prot#'!A:AL,34,FALSE)-VLOOKUP(A56,'SegEnds_NonXtal_Prot#'!A:AL,31,FALSE)</f>
        <v>44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Xtal</v>
      </c>
    </row>
    <row r="57" spans="1:38" x14ac:dyDescent="0.2">
      <c r="A57" s="12" t="s">
        <v>174</v>
      </c>
      <c r="B57" s="12" t="str">
        <f>VLOOKUP(A57,Xtal_Templ!A:B,2,FALSE)</f>
        <v>ccr9_human</v>
      </c>
      <c r="C57" s="13">
        <f>VLOOKUP($B57&amp;"__wt",'SegEnds_Xtal_BW#'!$A:$Z,3,FALSE)</f>
        <v>27</v>
      </c>
      <c r="D57" s="12">
        <f>VLOOKUP($B57&amp;"__wt",'SegEnds_Xtal_BW#'!$A:$Z,4,FALSE)</f>
        <v>60</v>
      </c>
      <c r="E57" s="12">
        <f>VLOOKUP($B57&amp;"__wt",'SegEnds_Xtal_BW#'!$A:$Z,5,FALSE)</f>
        <v>48</v>
      </c>
      <c r="F57" s="12">
        <f>VLOOKUP($B57&amp;"__wt",'SegEnds_Xtal_BW#'!$A:$Z,6,FALSE)</f>
        <v>51</v>
      </c>
      <c r="G57" s="12">
        <v>37</v>
      </c>
      <c r="H57" s="12">
        <v>66</v>
      </c>
      <c r="I57" s="12">
        <f>VLOOKUP($B57&amp;"__wt",'SegEnds_Xtal_BW#'!$A:$Z,9,FALSE)</f>
        <v>49</v>
      </c>
      <c r="J57" s="12">
        <f>VLOOKUP($B57&amp;"__wt",'SegEnds_Xtal_BW#'!$A:$Z,10,FALSE)</f>
        <v>52</v>
      </c>
      <c r="K57" s="12">
        <v>21</v>
      </c>
      <c r="L57" s="12">
        <f>VLOOKUP($B57&amp;"__wt",'SegEnds_Xtal_BW#'!$A:$Z,12,FALSE)</f>
        <v>56</v>
      </c>
      <c r="M57" s="12">
        <f>VLOOKUP($B57&amp;"__wt",'SegEnds_Xtal_BW#'!$A:$Z,13,FALSE)</f>
        <v>50</v>
      </c>
      <c r="N57" s="12">
        <v>58</v>
      </c>
      <c r="O57" s="87">
        <v>38</v>
      </c>
      <c r="P57" s="12">
        <f>VLOOKUP($B57&amp;"__wt",'SegEnds_Xtal_BW#'!$A:$Z,16,FALSE)</f>
        <v>64</v>
      </c>
      <c r="Q57" s="12">
        <f>VLOOKUP($B57&amp;"__wt",'SegEnds_Xtal_BW#'!$A:$Z,17,FALSE)</f>
        <v>50</v>
      </c>
      <c r="R57" s="12">
        <f>VLOOKUP($B57&amp;"__wt",'SegEnds_Xtal_BW#'!$A:$Z,18,FALSE)</f>
        <v>52</v>
      </c>
      <c r="S57" s="12">
        <f>VLOOKUP($B57&amp;"__wt",'SegEnds_Xtal_BW#'!$A:$Z,19,FALSE)</f>
        <v>33</v>
      </c>
      <c r="T57" s="12">
        <f t="array" ref="T57">INDEX(ICL3_classA!$G$2:$G$37,MATCH(MIN(ABS(AI57-ICL3_classA!$F$2:$F$37)),ABS(AI57-ICL3_classA!$F$2:$F$37),0))</f>
        <v>68</v>
      </c>
      <c r="U57" s="12">
        <f t="array" ref="U57">INDEX(ICL3_classA!$H$2:$H$37,MATCH(MIN(ABS(AI57-ICL3_classA!$F$2:$F$37)),ABS(AI57-ICL3_classA!$F$2:$F$37),0))</f>
        <v>30</v>
      </c>
      <c r="V57" s="12">
        <v>65</v>
      </c>
      <c r="W57" s="12">
        <v>24</v>
      </c>
      <c r="X57" s="12">
        <f>VLOOKUP($B57&amp;"__wt",'SegEnds_Xtal_BW#'!$A:$Z,24,FALSE)</f>
        <v>56</v>
      </c>
      <c r="Y57" s="12">
        <f>VLOOKUP($B57&amp;"__wt",'SegEnds_Xtal_BW#'!$A:$Z,25,FALSE)</f>
        <v>47</v>
      </c>
      <c r="Z57" s="12">
        <f>VLOOKUP($B57&amp;"__wt",'SegEnds_Xtal_BW#'!$A:$Z,26,FALSE)</f>
        <v>67</v>
      </c>
      <c r="AA57" s="36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2">
        <f>VLOOKUP(A57,'SegEnds_NonXtal_Prot#'!A:AL,10,FALSE)-VLOOKUP(A57,'SegEnds_NonXtal_Prot#'!A:AL,7,FALSE)</f>
        <v>15</v>
      </c>
      <c r="AD57" s="12">
        <f>VLOOKUP(A57,'SegEnds_NonXtal_Prot#'!A:AL,13,FALSE)-VLOOKUP(A57,'SegEnds_NonXtal_Prot#'!A:AL,10,FALSE)</f>
        <v>19</v>
      </c>
      <c r="AE57" s="12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22</v>
      </c>
      <c r="AG57" s="12">
        <f>VLOOKUP(A57,'SegEnds_NonXtal_Prot#'!A:AL,28,FALSE)-VLOOKUP(A57,'SegEnds_NonXtal_Prot#'!A:AL,25,FALSE)</f>
        <v>29</v>
      </c>
      <c r="AH57" s="1">
        <f>VLOOKUP(A57,'SegEnds_NonXtal_Prot#'!A:AL,28,FALSE)-VLOOKUP(A57,'SegEnds_NonXtal_Prot#'!A:AL,22,FALSE)</f>
        <v>54</v>
      </c>
      <c r="AI57" s="12">
        <f>VLOOKUP(A57,'SegEnds_NonXtal_Prot#'!A:AL,31,FALSE)-VLOOKUP(A57,'SegEnds_NonXtal_Prot#'!A:AL,28,FALSE)</f>
        <v>43</v>
      </c>
      <c r="AJ57" s="12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2" t="str">
        <f>IF(ISERROR(MATCH(A57,'SegEnds_Xtal_Prot#'!B:B, 0)), "NoXtal", "Xtal")</f>
        <v>NoXtal</v>
      </c>
    </row>
    <row r="58" spans="1:38" x14ac:dyDescent="0.2">
      <c r="A58" s="12" t="s">
        <v>175</v>
      </c>
      <c r="B58" s="12" t="str">
        <f>VLOOKUP(A58,Xtal_Templ!A:B,2,FALSE)</f>
        <v>ccr9_human</v>
      </c>
      <c r="C58" s="13">
        <f>VLOOKUP($B58&amp;"__wt",'SegEnds_Xtal_BW#'!$A:$Z,3,FALSE)</f>
        <v>27</v>
      </c>
      <c r="D58" s="12">
        <f>VLOOKUP($B58&amp;"__wt",'SegEnds_Xtal_BW#'!$A:$Z,4,FALSE)</f>
        <v>60</v>
      </c>
      <c r="E58" s="12">
        <f>VLOOKUP($B58&amp;"__wt",'SegEnds_Xtal_BW#'!$A:$Z,5,FALSE)</f>
        <v>48</v>
      </c>
      <c r="F58" s="12">
        <f>VLOOKUP($B58&amp;"__wt",'SegEnds_Xtal_BW#'!$A:$Z,6,FALSE)</f>
        <v>51</v>
      </c>
      <c r="G58" s="12">
        <v>37</v>
      </c>
      <c r="H58" s="12">
        <v>66</v>
      </c>
      <c r="I58" s="12">
        <f>VLOOKUP($B58&amp;"__wt",'SegEnds_Xtal_BW#'!$A:$Z,9,FALSE)</f>
        <v>49</v>
      </c>
      <c r="J58" s="12">
        <f>VLOOKUP($B58&amp;"__wt",'SegEnds_Xtal_BW#'!$A:$Z,10,FALSE)</f>
        <v>52</v>
      </c>
      <c r="K58" s="12">
        <v>24</v>
      </c>
      <c r="L58" s="12">
        <f>VLOOKUP($B58&amp;"__wt",'SegEnds_Xtal_BW#'!$A:$Z,12,FALSE)</f>
        <v>56</v>
      </c>
      <c r="M58" s="12">
        <f>VLOOKUP($B58&amp;"__wt",'SegEnds_Xtal_BW#'!$A:$Z,13,FALSE)</f>
        <v>50</v>
      </c>
      <c r="N58" s="12">
        <v>58</v>
      </c>
      <c r="O58" s="87">
        <v>38</v>
      </c>
      <c r="P58" s="12">
        <f>VLOOKUP($B58&amp;"__wt",'SegEnds_Xtal_BW#'!$A:$Z,16,FALSE)</f>
        <v>64</v>
      </c>
      <c r="Q58" s="12">
        <f>VLOOKUP($B58&amp;"__wt",'SegEnds_Xtal_BW#'!$A:$Z,17,FALSE)</f>
        <v>50</v>
      </c>
      <c r="R58" s="12">
        <f>VLOOKUP($B58&amp;"__wt",'SegEnds_Xtal_BW#'!$A:$Z,18,FALSE)</f>
        <v>52</v>
      </c>
      <c r="S58" s="12">
        <f>VLOOKUP($B58&amp;"__wt",'SegEnds_Xtal_BW#'!$A:$Z,19,FALSE)</f>
        <v>33</v>
      </c>
      <c r="T58" s="12">
        <f t="array" ref="T58">INDEX(ICL3_classA!$G$2:$G$37,MATCH(MIN(ABS(AI58-ICL3_classA!$F$2:$F$37)),ABS(AI58-ICL3_classA!$F$2:$F$37),0))</f>
        <v>68</v>
      </c>
      <c r="U58" s="12">
        <f t="array" ref="U58">INDEX(ICL3_classA!$H$2:$H$37,MATCH(MIN(ABS(AI58-ICL3_classA!$F$2:$F$37)),ABS(AI58-ICL3_classA!$F$2:$F$37),0))</f>
        <v>30</v>
      </c>
      <c r="V58" s="12">
        <v>65</v>
      </c>
      <c r="W58" s="12">
        <v>24</v>
      </c>
      <c r="X58" s="12">
        <f>VLOOKUP($B58&amp;"__wt",'SegEnds_Xtal_BW#'!$A:$Z,24,FALSE)</f>
        <v>56</v>
      </c>
      <c r="Y58" s="12">
        <f>VLOOKUP($B58&amp;"__wt",'SegEnds_Xtal_BW#'!$A:$Z,25,FALSE)</f>
        <v>47</v>
      </c>
      <c r="Z58" s="12">
        <f>VLOOKUP($B58&amp;"__wt",'SegEnds_Xtal_BW#'!$A:$Z,26,FALSE)</f>
        <v>67</v>
      </c>
      <c r="AA58" s="36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2">
        <f>VLOOKUP(A58,'SegEnds_NonXtal_Prot#'!A:AL,10,FALSE)-VLOOKUP(A58,'SegEnds_NonXtal_Prot#'!A:AL,7,FALSE)</f>
        <v>15</v>
      </c>
      <c r="AD58" s="12">
        <f>VLOOKUP(A58,'SegEnds_NonXtal_Prot#'!A:AL,13,FALSE)-VLOOKUP(A58,'SegEnds_NonXtal_Prot#'!A:AL,10,FALSE)</f>
        <v>18</v>
      </c>
      <c r="AE58" s="12">
        <f>VLOOKUP(A58,'SegEnds_NonXtal_Prot#'!A:AL,16,FALSE)-VLOOKUP(A58,'SegEnds_NonXtal_Prot#'!A:AL,10,FALSE)</f>
        <v>50</v>
      </c>
      <c r="AF58" s="1">
        <f>VLOOKUP(A58,'SegEnds_NonXtal_Prot#'!A:AL,22,FALSE)-VLOOKUP(A58,'SegEnds_NonXtal_Prot#'!A:AL,19,FALSE)</f>
        <v>22</v>
      </c>
      <c r="AG58" s="12">
        <f>VLOOKUP(A58,'SegEnds_NonXtal_Prot#'!A:AL,28,FALSE)-VLOOKUP(A58,'SegEnds_NonXtal_Prot#'!A:AL,25,FALSE)</f>
        <v>25</v>
      </c>
      <c r="AH58" s="1">
        <f>VLOOKUP(A58,'SegEnds_NonXtal_Prot#'!A:AL,28,FALSE)-VLOOKUP(A58,'SegEnds_NonXtal_Prot#'!A:AL,22,FALSE)</f>
        <v>52</v>
      </c>
      <c r="AI58" s="12">
        <f>VLOOKUP(A58,'SegEnds_NonXtal_Prot#'!A:AL,31,FALSE)-VLOOKUP(A58,'SegEnds_NonXtal_Prot#'!A:AL,28,FALSE)</f>
        <v>43</v>
      </c>
      <c r="AJ58" s="12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2" t="str">
        <f>IF(ISERROR(MATCH(A58,'SegEnds_Xtal_Prot#'!B:B, 0)), "NoXtal", "Xtal")</f>
        <v>NoXtal</v>
      </c>
    </row>
    <row r="59" spans="1:38" x14ac:dyDescent="0.2">
      <c r="A59" s="1" t="s">
        <v>176</v>
      </c>
      <c r="B59" s="1" t="str">
        <f>VLOOKUP(A59,Xtal_Templ!A:B,2,FALSE)</f>
        <v>ccr5_human</v>
      </c>
      <c r="C59" s="5">
        <f>VLOOKUP($B59&amp;"__wt",'SegEnds_Xtal_BW#'!$A:$Z,3,FALSE)</f>
        <v>24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30</v>
      </c>
      <c r="T59" s="1">
        <f t="array" ref="T59">INDEX(ICL3_classA!$G$2:$G$37,MATCH(MIN(ABS(AI59-ICL3_classA!$F$2:$F$37)),ABS(AI59-ICL3_classA!$F$2:$F$37),0))</f>
        <v>68</v>
      </c>
      <c r="U59" s="1">
        <f t="array" ref="U59">INDEX(ICL3_classA!$H$2:$H$37,MATCH(MIN(ABS(AI59-ICL3_classA!$F$2:$F$37)),ABS(AI59-ICL3_classA!$F$2:$F$37),0))</f>
        <v>30</v>
      </c>
      <c r="V59" s="1">
        <v>65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18</v>
      </c>
      <c r="AE59" s="1">
        <f>VLOOKUP(A59,'SegEnds_NonXtal_Prot#'!A:AL,16,FALSE)-VLOOKUP(A59,'SegEnds_NonXtal_Prot#'!A:AL,10,FALSE)</f>
        <v>50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27</v>
      </c>
      <c r="AH59" s="1">
        <f>VLOOKUP(A59,'SegEnds_NonXtal_Prot#'!A:AL,28,FALSE)-VLOOKUP(A59,'SegEnds_NonXtal_Prot#'!A:AL,22,FALSE)</f>
        <v>52</v>
      </c>
      <c r="AI59" s="1">
        <f>VLOOKUP(A59,'SegEnds_NonXtal_Prot#'!A:AL,31,FALSE)-VLOOKUP(A59,'SegEnds_NonXtal_Prot#'!A:AL,28,FALSE)</f>
        <v>43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2" t="s">
        <v>177</v>
      </c>
      <c r="B60" s="12" t="str">
        <f>VLOOKUP(A60,Xtal_Templ!A:B,2,FALSE)</f>
        <v>ccr9_human</v>
      </c>
      <c r="C60" s="13">
        <f>VLOOKUP($B60&amp;"__wt",'SegEnds_Xtal_BW#'!$A:$Z,3,FALSE)</f>
        <v>27</v>
      </c>
      <c r="D60" s="12">
        <f>VLOOKUP($B60&amp;"__wt",'SegEnds_Xtal_BW#'!$A:$Z,4,FALSE)</f>
        <v>60</v>
      </c>
      <c r="E60" s="12">
        <f>VLOOKUP($B60&amp;"__wt",'SegEnds_Xtal_BW#'!$A:$Z,5,FALSE)</f>
        <v>48</v>
      </c>
      <c r="F60" s="12">
        <f>VLOOKUP($B60&amp;"__wt",'SegEnds_Xtal_BW#'!$A:$Z,6,FALSE)</f>
        <v>51</v>
      </c>
      <c r="G60" s="12">
        <v>37</v>
      </c>
      <c r="H60" s="12">
        <v>66</v>
      </c>
      <c r="I60" s="12">
        <f>VLOOKUP($B60&amp;"__wt",'SegEnds_Xtal_BW#'!$A:$Z,9,FALSE)</f>
        <v>49</v>
      </c>
      <c r="J60" s="12">
        <f>VLOOKUP($B60&amp;"__wt",'SegEnds_Xtal_BW#'!$A:$Z,10,FALSE)</f>
        <v>52</v>
      </c>
      <c r="K60" s="12">
        <v>24</v>
      </c>
      <c r="L60" s="12">
        <f>VLOOKUP($B60&amp;"__wt",'SegEnds_Xtal_BW#'!$A:$Z,12,FALSE)</f>
        <v>56</v>
      </c>
      <c r="M60" s="12">
        <f>VLOOKUP($B60&amp;"__wt",'SegEnds_Xtal_BW#'!$A:$Z,13,FALSE)</f>
        <v>50</v>
      </c>
      <c r="N60" s="12">
        <f>VLOOKUP($B60&amp;"__wt",'SegEnds_Xtal_BW#'!$A:$Z,14,FALSE)</f>
        <v>56</v>
      </c>
      <c r="O60" s="87">
        <f>VLOOKUP($B60&amp;"__wt",'SegEnds_Xtal_BW#'!$A:$Z,15,FALSE)</f>
        <v>35</v>
      </c>
      <c r="P60" s="12">
        <f>VLOOKUP($B60&amp;"__wt",'SegEnds_Xtal_BW#'!$A:$Z,16,FALSE)</f>
        <v>64</v>
      </c>
      <c r="Q60" s="12">
        <f>VLOOKUP($B60&amp;"__wt",'SegEnds_Xtal_BW#'!$A:$Z,17,FALSE)</f>
        <v>50</v>
      </c>
      <c r="R60" s="12">
        <f>VLOOKUP($B60&amp;"__wt",'SegEnds_Xtal_BW#'!$A:$Z,18,FALSE)</f>
        <v>52</v>
      </c>
      <c r="S60" s="12">
        <f>VLOOKUP($B60&amp;"__wt",'SegEnds_Xtal_BW#'!$A:$Z,19,FALSE)</f>
        <v>33</v>
      </c>
      <c r="T60" s="12">
        <f t="array" ref="T60">INDEX(ICL3_classA!$G$2:$G$37,MATCH(MIN(ABS(AI60-ICL3_classA!$F$2:$F$37)),ABS(AI60-ICL3_classA!$F$2:$F$37),0))</f>
        <v>68</v>
      </c>
      <c r="U60" s="12">
        <f t="array" ref="U60">INDEX(ICL3_classA!$H$2:$H$37,MATCH(MIN(ABS(AI60-ICL3_classA!$F$2:$F$37)),ABS(AI60-ICL3_classA!$F$2:$F$37),0))</f>
        <v>30</v>
      </c>
      <c r="V60" s="12">
        <v>65</v>
      </c>
      <c r="W60" s="12">
        <v>24</v>
      </c>
      <c r="X60" s="12">
        <f>VLOOKUP($B60&amp;"__wt",'SegEnds_Xtal_BW#'!$A:$Z,24,FALSE)</f>
        <v>56</v>
      </c>
      <c r="Y60" s="12">
        <f>VLOOKUP($B60&amp;"__wt",'SegEnds_Xtal_BW#'!$A:$Z,25,FALSE)</f>
        <v>47</v>
      </c>
      <c r="Z60" s="12">
        <f>VLOOKUP($B60&amp;"__wt",'SegEnds_Xtal_BW#'!$A:$Z,26,FALSE)</f>
        <v>67</v>
      </c>
      <c r="AA60" s="36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2">
        <f>VLOOKUP(A60,'SegEnds_NonXtal_Prot#'!A:AL,10,FALSE)-VLOOKUP(A60,'SegEnds_NonXtal_Prot#'!A:AL,7,FALSE)</f>
        <v>15</v>
      </c>
      <c r="AD60" s="12">
        <f>VLOOKUP(A60,'SegEnds_NonXtal_Prot#'!A:AL,13,FALSE)-VLOOKUP(A60,'SegEnds_NonXtal_Prot#'!A:AL,10,FALSE)</f>
        <v>18</v>
      </c>
      <c r="AE60" s="12">
        <f>VLOOKUP(A60,'SegEnds_NonXtal_Prot#'!A:AL,16,FALSE)-VLOOKUP(A60,'SegEnds_NonXtal_Prot#'!A:AL,10,FALSE)</f>
        <v>50</v>
      </c>
      <c r="AF60" s="1">
        <f>VLOOKUP(A60,'SegEnds_NonXtal_Prot#'!A:AL,22,FALSE)-VLOOKUP(A60,'SegEnds_NonXtal_Prot#'!A:AL,19,FALSE)</f>
        <v>22</v>
      </c>
      <c r="AG60" s="12">
        <f>VLOOKUP(A60,'SegEnds_NonXtal_Prot#'!A:AL,28,FALSE)-VLOOKUP(A60,'SegEnds_NonXtal_Prot#'!A:AL,25,FALSE)</f>
        <v>28</v>
      </c>
      <c r="AH60" s="1">
        <f>VLOOKUP(A60,'SegEnds_NonXtal_Prot#'!A:AL,28,FALSE)-VLOOKUP(A60,'SegEnds_NonXtal_Prot#'!A:AL,22,FALSE)</f>
        <v>53</v>
      </c>
      <c r="AI60" s="12">
        <f>VLOOKUP(A60,'SegEnds_NonXtal_Prot#'!A:AL,31,FALSE)-VLOOKUP(A60,'SegEnds_NonXtal_Prot#'!A:AL,28,FALSE)</f>
        <v>43</v>
      </c>
      <c r="AJ60" s="12">
        <f>VLOOKUP(A60,'SegEnds_NonXtal_Prot#'!A:AL,34,FALSE)-VLOOKUP(A60,'SegEnds_NonXtal_Prot#'!A:AL,31,FALSE)</f>
        <v>45</v>
      </c>
      <c r="AK60" s="1">
        <f>VLOOKUP(A60,'SegEnds_NonXtal_Prot#'!A:AL,37,FALSE)-VLOOKUP(A60,'SegEnds_NonXtal_Prot#'!A:AL,34,FALSE)</f>
        <v>10</v>
      </c>
      <c r="AL60" s="12" t="str">
        <f>IF(ISERROR(MATCH(A60,'SegEnds_Xtal_Prot#'!B:B, 0)), "NoXtal", "Xtal")</f>
        <v>Xtal</v>
      </c>
    </row>
    <row r="61" spans="1:38" x14ac:dyDescent="0.2">
      <c r="A61" s="1" t="s">
        <v>178</v>
      </c>
      <c r="B61" s="1" t="str">
        <f>VLOOKUP(A61,Xtal_Templ!A:B,2,FALSE)</f>
        <v>ccr5_human</v>
      </c>
      <c r="C61" s="5">
        <f>VLOOKUP($B61&amp;"__wt",'SegEnds_Xtal_BW#'!$A:$Z,3,FALSE)</f>
        <v>24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63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08">
        <v>24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58</v>
      </c>
      <c r="O61" s="87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30</v>
      </c>
      <c r="T61" s="1">
        <f t="array" ref="T61">INDEX(ICL3_classA!$G$2:$G$37,MATCH(MIN(ABS(AI61-ICL3_classA!$F$2:$F$37)),ABS(AI61-ICL3_classA!$F$2:$F$37),0))</f>
        <v>67</v>
      </c>
      <c r="U61" s="1">
        <f t="array" ref="U61">INDEX(ICL3_classA!$H$2:$H$37,MATCH(MIN(ABS(AI61-ICL3_classA!$F$2:$F$37)),ABS(AI61-ICL3_classA!$F$2:$F$37),0))</f>
        <v>30</v>
      </c>
      <c r="V61" s="1">
        <v>64</v>
      </c>
      <c r="W61" s="1">
        <v>24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 t="e">
        <f>VLOOKUP(A61,'SegEnds_NonXtal_Prot#'!A:AL,13,FALSE)-VLOOKUP(A61,'SegEnds_NonXtal_Prot#'!A:AL,10,FALSE)</f>
        <v>#VALUE!</v>
      </c>
      <c r="AE61" s="1">
        <f>VLOOKUP(A61,'SegEnds_NonXtal_Prot#'!A:AL,16,FALSE)-VLOOKUP(A61,'SegEnds_NonXtal_Prot#'!A:AL,10,FALSE)</f>
        <v>44</v>
      </c>
      <c r="AF61" s="1">
        <f>VLOOKUP(A61,'SegEnds_NonXtal_Prot#'!A:AL,22,FALSE)-VLOOKUP(A61,'SegEnds_NonXtal_Prot#'!A:AL,19,FALSE)</f>
        <v>21</v>
      </c>
      <c r="AG61" s="1">
        <f>VLOOKUP(A61,'SegEnds_NonXtal_Prot#'!A:AL,28,FALSE)-VLOOKUP(A61,'SegEnds_NonXtal_Prot#'!A:AL,25,FALSE)</f>
        <v>31</v>
      </c>
      <c r="AH61" s="1">
        <f>VLOOKUP(A61,'SegEnds_NonXtal_Prot#'!A:AL,28,FALSE)-VLOOKUP(A61,'SegEnds_NonXtal_Prot#'!A:AL,22,FALSE)</f>
        <v>56</v>
      </c>
      <c r="AI61" s="1">
        <f>VLOOKUP(A61,'SegEnds_NonXtal_Prot#'!A:AL,31,FALSE)-VLOOKUP(A61,'SegEnds_NonXtal_Prot#'!A:AL,28,FALSE)</f>
        <v>41</v>
      </c>
      <c r="AJ61" s="1">
        <f>VLOOKUP(A61,'SegEnds_NonXtal_Prot#'!A:AL,34,FALSE)-VLOOKUP(A61,'SegEnds_NonXtal_Prot#'!A:AL,31,FALSE)</f>
        <v>44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179</v>
      </c>
      <c r="B62" s="1" t="str">
        <f>VLOOKUP(A62,Xtal_Templ!A:B,2,FALSE)</f>
        <v>p2ry1_human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 t="str">
        <f>VLOOKUP($B62&amp;"__wt",'SegEnds_Xtal_BW#'!$A:$Z,5,FALSE)</f>
        <v>-</v>
      </c>
      <c r="F62" s="1" t="str">
        <f>VLOOKUP($B62&amp;"__wt",'SegEnds_Xtal_BW#'!$A:$Z,6,FALSE)</f>
        <v>-</v>
      </c>
      <c r="G62" s="1">
        <v>37</v>
      </c>
      <c r="H62" s="12">
        <f>VLOOKUP($B62&amp;"__wt",'SegEnds_Xtal_BW#'!$A:$Z,8,FALSE)</f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32</v>
      </c>
      <c r="T62" s="1">
        <f t="array" ref="T62">INDEX(ICL3_classA!$G$2:$G$37,MATCH(MIN(ABS(AI62-ICL3_classA!$F$2:$F$37)),ABS(AI62-ICL3_classA!$F$2:$F$37),0))</f>
        <v>67</v>
      </c>
      <c r="U62" s="1">
        <f t="array" ref="U62">INDEX(ICL3_classA!$H$2:$H$37,MATCH(MIN(ABS(AI62-ICL3_classA!$F$2:$F$37)),ABS(AI62-ICL3_classA!$F$2:$F$37),0))</f>
        <v>26</v>
      </c>
      <c r="V62" s="1">
        <v>64</v>
      </c>
      <c r="W62" s="1">
        <v>24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 t="e">
        <f>VLOOKUP(A62,'SegEnds_NonXtal_Prot#'!A:AL,10,FALSE)-VLOOKUP(A62,'SegEnds_NonXtal_Prot#'!A:AL,7,FALSE)</f>
        <v>#VALUE!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28</v>
      </c>
      <c r="AH62" s="1">
        <f>VLOOKUP(A62,'SegEnds_NonXtal_Prot#'!A:AL,28,FALSE)-VLOOKUP(A62,'SegEnds_NonXtal_Prot#'!A:AL,22,FALSE)</f>
        <v>53</v>
      </c>
      <c r="AI62" s="1">
        <f>VLOOKUP(A62,'SegEnds_NonXtal_Prot#'!A:AL,31,FALSE)-VLOOKUP(A62,'SegEnds_NonXtal_Prot#'!A:AL,28,FALSE)</f>
        <v>47</v>
      </c>
      <c r="AJ62" s="1">
        <f>VLOOKUP(A62,'SegEnds_NonXtal_Prot#'!A:AL,34,FALSE)-VLOOKUP(A62,'SegEnds_NonXtal_Prot#'!A:AL,31,FALSE)</f>
        <v>44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180</v>
      </c>
      <c r="B63" s="1" t="str">
        <f>VLOOKUP(A63,Xtal_Templ!A:B,2,FALSE)</f>
        <v>p2ry1_human</v>
      </c>
      <c r="C63" s="5">
        <f>VLOOKUP($B63&amp;"__wt",'SegEnds_Xtal_BW#'!$A:$Z,3,FALSE)</f>
        <v>30</v>
      </c>
      <c r="D63" s="1">
        <f>VLOOKUP($B63&amp;"__wt",'SegEnds_Xtal_BW#'!$A:$Z,4,FALSE)</f>
        <v>60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f>VLOOKUP($B63&amp;"__wt",'SegEnds_Xtal_BW#'!$A:$Z,8,FALSE)</f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f>VLOOKUP($B63&amp;"__wt",'SegEnds_Xtal_BW#'!$A:$Z,15,FALSE)</f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32</v>
      </c>
      <c r="T63" s="1">
        <f t="array" ref="T63">INDEX(ICL3_classA!$G$2:$G$37,MATCH(MIN(ABS(AI63-ICL3_classA!$F$2:$F$37)),ABS(AI63-ICL3_classA!$F$2:$F$37),0))</f>
        <v>68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26</v>
      </c>
      <c r="AH63" s="1">
        <f>VLOOKUP(A63,'SegEnds_NonXtal_Prot#'!A:AL,28,FALSE)-VLOOKUP(A63,'SegEnds_NonXtal_Prot#'!A:AL,22,FALSE)</f>
        <v>50</v>
      </c>
      <c r="AI63" s="1">
        <f>VLOOKUP(A63,'SegEnds_NonXtal_Prot#'!A:AL,31,FALSE)-VLOOKUP(A63,'SegEnds_NonXtal_Prot#'!A:AL,28,FALSE)</f>
        <v>49</v>
      </c>
      <c r="AJ63" s="1">
        <f>VLOOKUP(A63,'SegEnds_NonXtal_Prot#'!A:AL,34,FALSE)-VLOOKUP(A63,'SegEnds_NonXtal_Prot#'!A:AL,31,FALSE)</f>
        <v>40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181</v>
      </c>
      <c r="B64" s="1" t="str">
        <f>VLOOKUP(A64,Xtal_Templ!A:B,2,FALSE)</f>
        <v>agtr1_human</v>
      </c>
      <c r="C64" s="5">
        <f>VLOOKUP($B64&amp;"__wt",'SegEnds_Xtal_BW#'!$A:$Z,3,FALSE)</f>
        <v>30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INDEX(ICL3_classA!$G$2:$G$37,MATCH(MIN(ABS(AI64-ICL3_classA!$F$2:$F$37)),ABS(AI64-ICL3_classA!$F$2:$F$37),0))</f>
        <v>68</v>
      </c>
      <c r="U64" s="1">
        <f t="array" ref="U64">INDEX(ICL3_classA!$H$2:$H$37,MATCH(MIN(ABS(AI64-ICL3_classA!$F$2:$F$37)),ABS(AI64-ICL3_classA!$F$2:$F$37),0))</f>
        <v>30</v>
      </c>
      <c r="V64" s="1">
        <v>61</v>
      </c>
      <c r="W64" s="1"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61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27</v>
      </c>
      <c r="AC64" s="1" t="e">
        <f>VLOOKUP(A64,'SegEnds_NonXtal_Prot#'!A:AL,10,FALSE)-VLOOKUP(A64,'SegEnds_NonXtal_Prot#'!A:AL,7,FALSE)</f>
        <v>#VALUE!</v>
      </c>
      <c r="AD64" s="1">
        <f>VLOOKUP(A64,'SegEnds_NonXtal_Prot#'!A:AL,13,FALSE)-VLOOKUP(A64,'SegEnds_NonXtal_Prot#'!A:AL,10,FALSE)</f>
        <v>20</v>
      </c>
      <c r="AE64" s="1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43</v>
      </c>
      <c r="AH64" s="1">
        <f>VLOOKUP(A64,'SegEnds_NonXtal_Prot#'!A:AL,28,FALSE)-VLOOKUP(A64,'SegEnds_NonXtal_Prot#'!A:AL,22,FALSE)</f>
        <v>68</v>
      </c>
      <c r="AI64" s="1">
        <f>VLOOKUP(A64,'SegEnds_NonXtal_Prot#'!A:AL,31,FALSE)-VLOOKUP(A64,'SegEnds_NonXtal_Prot#'!A:AL,28,FALSE)</f>
        <v>43</v>
      </c>
      <c r="AJ64" s="1">
        <f>VLOOKUP(A64,'SegEnds_NonXtal_Prot#'!A:AL,34,FALSE)-VLOOKUP(A64,'SegEnds_NonXtal_Prot#'!A:AL,31,FALSE)</f>
        <v>38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182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f>VLOOKUP($B65&amp;"__wt",'SegEnds_Xtal_BW#'!$A:$Z,7,FALSE)</f>
        <v>37</v>
      </c>
      <c r="H65" s="12">
        <f>VLOOKUP($B65&amp;"__wt",'SegEnds_Xtal_BW#'!$A:$Z,8,FALSE)</f>
        <v>66</v>
      </c>
      <c r="I65" s="1" t="str">
        <f>VLOOKUP($B65&amp;"__wt",'SegEnds_Xtal_BW#'!$A:$Z,9,FALSE)</f>
        <v>-</v>
      </c>
      <c r="J65" s="1" t="str">
        <f>VLOOKUP($B65&amp;"__wt",'SegEnds_Xtal_BW#'!$A:$Z,10,FALSE)</f>
        <v>-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INDEX(ICL3_classA!$G$2:$G$37,MATCH(MIN(ABS(AI65-ICL3_classA!$F$2:$F$37)),ABS(AI65-ICL3_classA!$F$2:$F$37),0))</f>
        <v>76</v>
      </c>
      <c r="U65" s="1">
        <f t="array" ref="U65">INDEX(ICL3_classA!$H$2:$H$37,MATCH(MIN(ABS(AI65-ICL3_classA!$F$2:$F$37)),ABS(AI65-ICL3_classA!$F$2:$F$37),0))</f>
        <v>24</v>
      </c>
      <c r="V65" s="1">
        <f>VLOOKUP($B65&amp;"__wt",'SegEnds_Xtal_BW#'!$A:$Z,22,FALSE)</f>
        <v>61</v>
      </c>
      <c r="W65" s="1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29</v>
      </c>
      <c r="AC65" s="1">
        <f>VLOOKUP(A65,'SegEnds_NonXtal_Prot#'!A:AL,10,FALSE)-VLOOKUP(A65,'SegEnds_NonXtal_Prot#'!A:AL,7,FALSE)</f>
        <v>16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 t="e">
        <f>VLOOKUP(A65,'SegEnds_NonXtal_Prot#'!A:AL,28,FALSE)-VLOOKUP(A65,'SegEnds_NonXtal_Prot#'!A:AL,25,FALSE)</f>
        <v>#VALUE!</v>
      </c>
      <c r="AH65" s="1">
        <f>VLOOKUP(A65,'SegEnds_NonXtal_Prot#'!A:AL,28,FALSE)-VLOOKUP(A65,'SegEnds_NonXtal_Prot#'!A:AL,22,FALSE)</f>
        <v>45</v>
      </c>
      <c r="AI65" s="1">
        <f>VLOOKUP(A65,'SegEnds_NonXtal_Prot#'!A:AL,31,FALSE)-VLOOKUP(A65,'SegEnds_NonXtal_Prot#'!A:AL,28,FALSE)</f>
        <v>72</v>
      </c>
      <c r="AJ65" s="1">
        <f>VLOOKUP(A65,'SegEnds_NonXtal_Prot#'!A:AL,34,FALSE)-VLOOKUP(A65,'SegEnds_NonXtal_Prot#'!A:AL,31,FALSE)</f>
        <v>36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183</v>
      </c>
      <c r="B66" s="1" t="str">
        <f>VLOOKUP(A66,Xtal_Templ!A:B,2,FALSE)</f>
        <v>cnr1_human</v>
      </c>
      <c r="C66" s="5">
        <f>VLOOKUP($B66&amp;"__wt",'SegEnds_Xtal_BW#'!$A:$Z,3,FALSE)</f>
        <v>28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v>48</v>
      </c>
      <c r="J66" s="1">
        <v>52</v>
      </c>
      <c r="K66" s="12"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 t="str">
        <f>VLOOKUP($B66&amp;"__wt",'SegEnds_Xtal_BW#'!$A:$Z,17,FALSE)</f>
        <v>-</v>
      </c>
      <c r="R66" s="1" t="str">
        <f>VLOOKUP($B66&amp;"__wt",'SegEnds_Xtal_BW#'!$A:$Z,18,FALSE)</f>
        <v>-</v>
      </c>
      <c r="S66" s="1">
        <f>VLOOKUP($B66&amp;"__wt",'SegEnds_Xtal_BW#'!$A:$Z,19,FALSE)</f>
        <v>36</v>
      </c>
      <c r="T66" s="1">
        <f t="array" ref="T66">INDEX(ICL3_classA!$G$2:$G$37,MATCH(MIN(ABS(AI66-ICL3_classA!$F$2:$F$37)),ABS(AI66-ICL3_classA!$F$2:$F$37),0))</f>
        <v>74</v>
      </c>
      <c r="U66" s="1">
        <f t="array" ref="U66">INDEX(ICL3_classA!$H$2:$H$37,MATCH(MIN(ABS(AI66-ICL3_classA!$F$2:$F$37)),ABS(AI66-ICL3_classA!$F$2:$F$37),0))</f>
        <v>21</v>
      </c>
      <c r="V66" s="1">
        <f>VLOOKUP($B66&amp;"__wt",'SegEnds_Xtal_BW#'!$A:$Z,22,FALSE)</f>
        <v>61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29</v>
      </c>
      <c r="AC66" s="1">
        <f>VLOOKUP(A66,'SegEnds_NonXtal_Prot#'!A:AL,10,FALSE)-VLOOKUP(A66,'SegEnds_NonXtal_Prot#'!A:AL,7,FALSE)</f>
        <v>16</v>
      </c>
      <c r="AD66" s="1" t="e">
        <f>VLOOKUP(A66,'SegEnds_NonXtal_Prot#'!A:AL,13,FALSE)-VLOOKUP(A66,'SegEnds_NonXtal_Prot#'!A:AL,10,FALSE)</f>
        <v>#VALUE!</v>
      </c>
      <c r="AE66" s="1">
        <f>VLOOKUP(A66,'SegEnds_NonXtal_Prot#'!A:AL,16,FALSE)-VLOOKUP(A66,'SegEnds_NonXtal_Prot#'!A:AL,10,FALSE)</f>
        <v>51</v>
      </c>
      <c r="AF66" s="1">
        <f>VLOOKUP(A66,'SegEnds_NonXtal_Prot#'!A:AL,22,FALSE)-VLOOKUP(A66,'SegEnds_NonXtal_Prot#'!A:AL,19,FALSE)</f>
        <v>20</v>
      </c>
      <c r="AG66" s="1" t="e">
        <f>VLOOKUP(A66,'SegEnds_NonXtal_Prot#'!A:AL,28,FALSE)-VLOOKUP(A66,'SegEnds_NonXtal_Prot#'!A:AL,25,FALSE)</f>
        <v>#VALUE!</v>
      </c>
      <c r="AH66" s="1">
        <f>VLOOKUP(A66,'SegEnds_NonXtal_Prot#'!A:AL,28,FALSE)-VLOOKUP(A66,'SegEnds_NonXtal_Prot#'!A:AL,22,FALSE)</f>
        <v>43</v>
      </c>
      <c r="AI66" s="1">
        <f>VLOOKUP(A66,'SegEnds_NonXtal_Prot#'!A:AL,31,FALSE)-VLOOKUP(A66,'SegEnds_NonXtal_Prot#'!A:AL,28,FALSE)</f>
        <v>59</v>
      </c>
      <c r="AJ66" s="1">
        <f>VLOOKUP(A66,'SegEnds_NonXtal_Prot#'!A:AL,34,FALSE)-VLOOKUP(A66,'SegEnds_NonXtal_Prot#'!A:AL,31,FALSE)</f>
        <v>36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184</v>
      </c>
      <c r="B67" s="1" t="str">
        <f>VLOOKUP(A67,Xtal_Templ!A:B,2,FALSE)</f>
        <v>ccr5_human</v>
      </c>
      <c r="C67" s="5">
        <f>VLOOKUP($B67&amp;"__wt",'SegEnds_Xtal_BW#'!$A:$Z,3,FALSE)</f>
        <v>24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24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INDEX(ICL3_classA!$G$2:$G$37,MATCH(MIN(ABS(AI67-ICL3_classA!$F$2:$F$37)),ABS(AI67-ICL3_classA!$F$2:$F$37),0))</f>
        <v>68</v>
      </c>
      <c r="U67" s="1">
        <f t="array" ref="U67">INDEX(ICL3_classA!$H$2:$H$37,MATCH(MIN(ABS(AI67-ICL3_classA!$F$2:$F$37)),ABS(AI67-ICL3_classA!$F$2:$F$37),0))</f>
        <v>30</v>
      </c>
      <c r="V67" s="1">
        <v>64</v>
      </c>
      <c r="W67" s="1">
        <v>24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 t="e">
        <f>VLOOKUP(A67,'SegEnds_NonXtal_Prot#'!A:AL,13,FALSE)-VLOOKUP(A67,'SegEnds_NonXtal_Prot#'!A:AL,10,FALSE)</f>
        <v>#VALUE!</v>
      </c>
      <c r="AE67" s="1">
        <f>VLOOKUP(A67,'SegEnds_NonXtal_Prot#'!A:AL,16,FALSE)-VLOOKUP(A67,'SegEnds_NonXtal_Prot#'!A:AL,10,FALSE)</f>
        <v>50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28</v>
      </c>
      <c r="AH67" s="1">
        <f>VLOOKUP(A67,'SegEnds_NonXtal_Prot#'!A:AL,28,FALSE)-VLOOKUP(A67,'SegEnds_NonXtal_Prot#'!A:AL,22,FALSE)</f>
        <v>49</v>
      </c>
      <c r="AI67" s="1">
        <f>VLOOKUP(A67,'SegEnds_NonXtal_Prot#'!A:AL,31,FALSE)-VLOOKUP(A67,'SegEnds_NonXtal_Prot#'!A:AL,28,FALSE)</f>
        <v>43</v>
      </c>
      <c r="AJ67" s="1">
        <f>VLOOKUP(A67,'SegEnds_NonXtal_Prot#'!A:AL,34,FALSE)-VLOOKUP(A67,'SegEnds_NonXtal_Prot#'!A:AL,31,FALSE)</f>
        <v>44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185</v>
      </c>
      <c r="B68" s="1" t="str">
        <f>VLOOKUP(A68,Xtal_Templ!A:B,2,FALSE)</f>
        <v>ccr2_human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24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08">
        <v>56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INDEX(ICL3_classA!$G$2:$G$37,MATCH(MIN(ABS(AI68-ICL3_classA!$F$2:$F$37)),ABS(AI68-ICL3_classA!$F$2:$F$37),0))</f>
        <v>68</v>
      </c>
      <c r="U68" s="1">
        <f t="array" ref="U68">INDEX(ICL3_classA!$H$2:$H$37,MATCH(MIN(ABS(AI68-ICL3_classA!$F$2:$F$37)),ABS(AI68-ICL3_classA!$F$2:$F$37),0))</f>
        <v>30</v>
      </c>
      <c r="V68" s="1">
        <v>64</v>
      </c>
      <c r="W68" s="1">
        <v>24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58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18</v>
      </c>
      <c r="AE68" s="1">
        <f>VLOOKUP(A68,'SegEnds_NonXtal_Prot#'!A:AL,16,FALSE)-VLOOKUP(A68,'SegEnds_NonXtal_Prot#'!A:AL,10,FALSE)</f>
        <v>50</v>
      </c>
      <c r="AF68" s="1">
        <f>VLOOKUP(A68,'SegEnds_NonXtal_Prot#'!A:AL,22,FALSE)-VLOOKUP(A68,'SegEnds_NonXtal_Prot#'!A:AL,19,FALSE)</f>
        <v>19</v>
      </c>
      <c r="AG68" s="1">
        <f>VLOOKUP(A68,'SegEnds_NonXtal_Prot#'!A:AL,28,FALSE)-VLOOKUP(A68,'SegEnds_NonXtal_Prot#'!A:AL,25,FALSE)</f>
        <v>27</v>
      </c>
      <c r="AH68" s="1">
        <f>VLOOKUP(A68,'SegEnds_NonXtal_Prot#'!A:AL,28,FALSE)-VLOOKUP(A68,'SegEnds_NonXtal_Prot#'!A:AL,22,FALSE)</f>
        <v>53</v>
      </c>
      <c r="AI68" s="1">
        <f>VLOOKUP(A68,'SegEnds_NonXtal_Prot#'!A:AL,31,FALSE)-VLOOKUP(A68,'SegEnds_NonXtal_Prot#'!A:AL,28,FALSE)</f>
        <v>43</v>
      </c>
      <c r="AJ68" s="1">
        <f>VLOOKUP(A68,'SegEnds_NonXtal_Prot#'!A:AL,34,FALSE)-VLOOKUP(A68,'SegEnds_NonXtal_Prot#'!A:AL,31,FALSE)</f>
        <v>45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186</v>
      </c>
      <c r="B69" s="1" t="str">
        <f>VLOOKUP(A69,Xtal_Templ!A:B,2,FALSE)</f>
        <v>ccr9_human</v>
      </c>
      <c r="C69" s="5">
        <f>VLOOKUP($B69&amp;"__wt",'SegEnds_Xtal_BW#'!$A:$Z,3,FALSE)</f>
        <v>27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24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08">
        <v>56</v>
      </c>
      <c r="O69" s="108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33</v>
      </c>
      <c r="T69" s="1">
        <f t="array" ref="T69">INDEX(ICL3_classA!$G$2:$G$37,MATCH(MIN(ABS(AI69-ICL3_classA!$F$2:$F$37)),ABS(AI69-ICL3_classA!$F$2:$F$37),0))</f>
        <v>68</v>
      </c>
      <c r="U69" s="1">
        <f t="array" ref="U69">INDEX(ICL3_classA!$H$2:$H$37,MATCH(MIN(ABS(AI69-ICL3_classA!$F$2:$F$37)),ABS(AI69-ICL3_classA!$F$2:$F$37),0))</f>
        <v>30</v>
      </c>
      <c r="V69" s="1">
        <v>64</v>
      </c>
      <c r="W69" s="1">
        <v>24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67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18</v>
      </c>
      <c r="AE69" s="1">
        <f>VLOOKUP(A69,'SegEnds_NonXtal_Prot#'!A:AL,16,FALSE)-VLOOKUP(A69,'SegEnds_NonXtal_Prot#'!A:AL,10,FALSE)</f>
        <v>50</v>
      </c>
      <c r="AF69" s="1">
        <f>VLOOKUP(A69,'SegEnds_NonXtal_Prot#'!A:AL,22,FALSE)-VLOOKUP(A69,'SegEnds_NonXtal_Prot#'!A:AL,19,FALSE)</f>
        <v>19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53</v>
      </c>
      <c r="AI69" s="1">
        <f>VLOOKUP(A69,'SegEnds_NonXtal_Prot#'!A:AL,31,FALSE)-VLOOKUP(A69,'SegEnds_NonXtal_Prot#'!A:AL,28,FALSE)</f>
        <v>43</v>
      </c>
      <c r="AJ69" s="1">
        <f>VLOOKUP(A69,'SegEnds_NonXtal_Prot#'!A:AL,34,FALSE)-VLOOKUP(A69,'SegEnds_NonXtal_Prot#'!A:AL,31,FALSE)</f>
        <v>45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187</v>
      </c>
      <c r="B70" s="1" t="str">
        <f>VLOOKUP(A70,Xtal_Templ!A:B,2,FALSE)</f>
        <v>cxcr4_human</v>
      </c>
      <c r="C70" s="5">
        <f>VLOOKUP($B70&amp;"__wt",'SegEnds_Xtal_BW#'!$A:$Z,3,FALSE)</f>
        <v>24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24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32</v>
      </c>
      <c r="T70" s="1">
        <f t="array" ref="T70">INDEX(ICL3_classA!$G$2:$G$37,MATCH(MIN(ABS(AI70-ICL3_classA!$F$2:$F$37)),ABS(AI70-ICL3_classA!$F$2:$F$37),0))</f>
        <v>68</v>
      </c>
      <c r="U70" s="1">
        <f t="array" ref="U70">INDEX(ICL3_classA!$H$2:$H$37,MATCH(MIN(ABS(AI70-ICL3_classA!$F$2:$F$37)),ABS(AI70-ICL3_classA!$F$2:$F$37),0))</f>
        <v>30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18</v>
      </c>
      <c r="AE70" s="1">
        <f>VLOOKUP(A70,'SegEnds_NonXtal_Prot#'!A:AL,16,FALSE)-VLOOKUP(A70,'SegEnds_NonXtal_Prot#'!A:AL,10,FALSE)</f>
        <v>50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24</v>
      </c>
      <c r="AH70" s="1">
        <f>VLOOKUP(A70,'SegEnds_NonXtal_Prot#'!A:AL,28,FALSE)-VLOOKUP(A70,'SegEnds_NonXtal_Prot#'!A:AL,22,FALSE)</f>
        <v>51</v>
      </c>
      <c r="AI70" s="1">
        <f>VLOOKUP(A70,'SegEnds_NonXtal_Prot#'!A:AL,31,FALSE)-VLOOKUP(A70,'SegEnds_NonXtal_Prot#'!A:AL,28,FALSE)</f>
        <v>43</v>
      </c>
      <c r="AJ70" s="1">
        <f>VLOOKUP(A70,'SegEnds_NonXtal_Prot#'!A:AL,34,FALSE)-VLOOKUP(A70,'SegEnds_NonXtal_Prot#'!A:AL,31,FALSE)</f>
        <v>45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1172</v>
      </c>
      <c r="B71" s="1" t="str">
        <f>VLOOKUP(A71,Xtal_Templ!A:B,2,FALSE)</f>
        <v>cxcr4_human</v>
      </c>
      <c r="C71" s="5">
        <f>VLOOKUP($B71&amp;"__wt",'SegEnds_Xtal_BW#'!$A:$Z,3,FALSE)</f>
        <v>24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24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f>VLOOKUP($B71&amp;"__wt",'SegEnds_Xtal_BW#'!$A:$Z,14,FALSE)</f>
        <v>57</v>
      </c>
      <c r="O71" s="87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32</v>
      </c>
      <c r="T71" s="1">
        <f t="array" ref="T71">INDEX(ICL3_classA!$G$2:$G$37,MATCH(MIN(ABS(AI71-ICL3_classA!$F$2:$F$37)),ABS(AI71-ICL3_classA!$F$2:$F$37),0))</f>
        <v>68</v>
      </c>
      <c r="U71" s="1">
        <f t="array" ref="U71">INDEX(ICL3_classA!$H$2:$H$37,MATCH(MIN(ABS(AI71-ICL3_classA!$F$2:$F$37)),ABS(AI71-ICL3_classA!$F$2:$F$37),0))</f>
        <v>30</v>
      </c>
      <c r="V71" s="1">
        <v>64</v>
      </c>
      <c r="W71" s="1">
        <v>24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18</v>
      </c>
      <c r="AE71" s="1">
        <f>VLOOKUP(A71,'SegEnds_NonXtal_Prot#'!A:AL,16,FALSE)-VLOOKUP(A71,'SegEnds_NonXtal_Prot#'!A:AL,10,FALSE)</f>
        <v>50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25</v>
      </c>
      <c r="AH71" s="1">
        <f>VLOOKUP(A71,'SegEnds_NonXtal_Prot#'!A:AL,28,FALSE)-VLOOKUP(A71,'SegEnds_NonXtal_Prot#'!A:AL,22,FALSE)</f>
        <v>50</v>
      </c>
      <c r="AI71" s="1">
        <f>VLOOKUP(A71,'SegEnds_NonXtal_Prot#'!A:AL,31,FALSE)-VLOOKUP(A71,'SegEnds_NonXtal_Prot#'!A:AL,28,FALSE)</f>
        <v>43</v>
      </c>
      <c r="AJ71" s="1">
        <f>VLOOKUP(A71,'SegEnds_NonXtal_Prot#'!A:AL,34,FALSE)-VLOOKUP(A71,'SegEnds_NonXtal_Prot#'!A:AL,31,FALSE)</f>
        <v>45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Xtal</v>
      </c>
    </row>
    <row r="72" spans="1:38" x14ac:dyDescent="0.2">
      <c r="A72" s="1" t="s">
        <v>188</v>
      </c>
      <c r="B72" s="1" t="str">
        <f>VLOOKUP(A72,Xtal_Templ!A:B,2,FALSE)</f>
        <v>cxcr4_human</v>
      </c>
      <c r="C72" s="5">
        <f>VLOOKUP($B72&amp;"__wt",'SegEnds_Xtal_BW#'!$A:$Z,3,FALSE)</f>
        <v>24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24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INDEX(ICL3_classA!$G$2:$G$37,MATCH(MIN(ABS(AI72-ICL3_classA!$F$2:$F$37)),ABS(AI72-ICL3_classA!$F$2:$F$37),0))</f>
        <v>68</v>
      </c>
      <c r="U72" s="1">
        <f t="array" ref="U72">INDEX(ICL3_classA!$H$2:$H$37,MATCH(MIN(ABS(AI72-ICL3_classA!$F$2:$F$37)),ABS(AI72-ICL3_classA!$F$2:$F$37),0))</f>
        <v>28</v>
      </c>
      <c r="V72" s="1">
        <v>64</v>
      </c>
      <c r="W72" s="1">
        <v>24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59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18</v>
      </c>
      <c r="AE72" s="1">
        <f>VLOOKUP(A72,'SegEnds_NonXtal_Prot#'!A:AL,16,FALSE)-VLOOKUP(A72,'SegEnds_NonXtal_Prot#'!A:AL,10,FALSE)</f>
        <v>50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28</v>
      </c>
      <c r="AH72" s="1">
        <f>VLOOKUP(A72,'SegEnds_NonXtal_Prot#'!A:AL,28,FALSE)-VLOOKUP(A72,'SegEnds_NonXtal_Prot#'!A:AL,22,FALSE)</f>
        <v>56</v>
      </c>
      <c r="AI72" s="1">
        <f>VLOOKUP(A72,'SegEnds_NonXtal_Prot#'!A:AL,31,FALSE)-VLOOKUP(A72,'SegEnds_NonXtal_Prot#'!A:AL,28,FALSE)</f>
        <v>44</v>
      </c>
      <c r="AJ72" s="1">
        <f>VLOOKUP(A72,'SegEnds_NonXtal_Prot#'!A:AL,34,FALSE)-VLOOKUP(A72,'SegEnds_NonXtal_Prot#'!A:AL,31,FALSE)</f>
        <v>45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2" t="s">
        <v>189</v>
      </c>
      <c r="B73" s="12" t="str">
        <f>VLOOKUP(A73,Xtal_Templ!A:B,2,FALSE)</f>
        <v>ccr9_human</v>
      </c>
      <c r="C73" s="13">
        <f>VLOOKUP($B73&amp;"__wt",'SegEnds_Xtal_BW#'!$A:$Z,3,FALSE)</f>
        <v>27</v>
      </c>
      <c r="D73" s="12">
        <f>VLOOKUP($B73&amp;"__wt",'SegEnds_Xtal_BW#'!$A:$Z,4,FALSE)</f>
        <v>60</v>
      </c>
      <c r="E73" s="12">
        <f>VLOOKUP($B73&amp;"__wt",'SegEnds_Xtal_BW#'!$A:$Z,5,FALSE)</f>
        <v>48</v>
      </c>
      <c r="F73" s="12">
        <f>VLOOKUP($B73&amp;"__wt",'SegEnds_Xtal_BW#'!$A:$Z,6,FALSE)</f>
        <v>51</v>
      </c>
      <c r="G73" s="12">
        <v>37</v>
      </c>
      <c r="H73" s="12">
        <v>66</v>
      </c>
      <c r="I73" s="12">
        <f>VLOOKUP($B73&amp;"__wt",'SegEnds_Xtal_BW#'!$A:$Z,9,FALSE)</f>
        <v>49</v>
      </c>
      <c r="J73" s="12">
        <f>VLOOKUP($B73&amp;"__wt",'SegEnds_Xtal_BW#'!$A:$Z,10,FALSE)</f>
        <v>52</v>
      </c>
      <c r="K73" s="12">
        <v>24</v>
      </c>
      <c r="L73" s="12">
        <f>VLOOKUP($B73&amp;"__wt",'SegEnds_Xtal_BW#'!$A:$Z,12,FALSE)</f>
        <v>56</v>
      </c>
      <c r="M73" s="12">
        <f>VLOOKUP($B73&amp;"__wt",'SegEnds_Xtal_BW#'!$A:$Z,13,FALSE)</f>
        <v>50</v>
      </c>
      <c r="N73" s="12">
        <v>58</v>
      </c>
      <c r="O73" s="87">
        <v>38</v>
      </c>
      <c r="P73" s="12">
        <f>VLOOKUP($B73&amp;"__wt",'SegEnds_Xtal_BW#'!$A:$Z,16,FALSE)</f>
        <v>64</v>
      </c>
      <c r="Q73" s="12">
        <f>VLOOKUP($B73&amp;"__wt",'SegEnds_Xtal_BW#'!$A:$Z,17,FALSE)</f>
        <v>50</v>
      </c>
      <c r="R73" s="12">
        <f>VLOOKUP($B73&amp;"__wt",'SegEnds_Xtal_BW#'!$A:$Z,18,FALSE)</f>
        <v>52</v>
      </c>
      <c r="S73" s="12">
        <f>VLOOKUP($B73&amp;"__wt",'SegEnds_Xtal_BW#'!$A:$Z,19,FALSE)</f>
        <v>33</v>
      </c>
      <c r="T73" s="12">
        <f t="array" ref="T73">INDEX(ICL3_classA!$G$2:$G$37,MATCH(MIN(ABS(AI73-ICL3_classA!$F$2:$F$37)),ABS(AI73-ICL3_classA!$F$2:$F$37),0))</f>
        <v>68</v>
      </c>
      <c r="U73" s="12">
        <f t="array" ref="U73">INDEX(ICL3_classA!$H$2:$H$37,MATCH(MIN(ABS(AI73-ICL3_classA!$F$2:$F$37)),ABS(AI73-ICL3_classA!$F$2:$F$37),0))</f>
        <v>30</v>
      </c>
      <c r="V73" s="12">
        <v>61</v>
      </c>
      <c r="W73" s="12">
        <v>28</v>
      </c>
      <c r="X73" s="12">
        <f>VLOOKUP($B73&amp;"__wt",'SegEnds_Xtal_BW#'!$A:$Z,24,FALSE)</f>
        <v>56</v>
      </c>
      <c r="Y73" s="12">
        <f>VLOOKUP($B73&amp;"__wt",'SegEnds_Xtal_BW#'!$A:$Z,25,FALSE)</f>
        <v>47</v>
      </c>
      <c r="Z73" s="12">
        <f>VLOOKUP($B73&amp;"__wt",'SegEnds_Xtal_BW#'!$A:$Z,26,FALSE)</f>
        <v>67</v>
      </c>
      <c r="AA73" s="36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2">
        <f>VLOOKUP(A73,'SegEnds_NonXtal_Prot#'!A:AL,10,FALSE)-VLOOKUP(A73,'SegEnds_NonXtal_Prot#'!A:AL,7,FALSE)</f>
        <v>15</v>
      </c>
      <c r="AD73" s="12">
        <f>VLOOKUP(A73,'SegEnds_NonXtal_Prot#'!A:AL,13,FALSE)-VLOOKUP(A73,'SegEnds_NonXtal_Prot#'!A:AL,10,FALSE)</f>
        <v>18</v>
      </c>
      <c r="AE73" s="12">
        <f>VLOOKUP(A73,'SegEnds_NonXtal_Prot#'!A:AL,16,FALSE)-VLOOKUP(A73,'SegEnds_NonXtal_Prot#'!A:AL,10,FALSE)</f>
        <v>50</v>
      </c>
      <c r="AF73" s="1">
        <f>VLOOKUP(A73,'SegEnds_NonXtal_Prot#'!A:AL,22,FALSE)-VLOOKUP(A73,'SegEnds_NonXtal_Prot#'!A:AL,19,FALSE)</f>
        <v>22</v>
      </c>
      <c r="AG73" s="12">
        <f>VLOOKUP(A73,'SegEnds_NonXtal_Prot#'!A:AL,28,FALSE)-VLOOKUP(A73,'SegEnds_NonXtal_Prot#'!A:AL,25,FALSE)</f>
        <v>23</v>
      </c>
      <c r="AH73" s="1">
        <f>VLOOKUP(A73,'SegEnds_NonXtal_Prot#'!A:AL,28,FALSE)-VLOOKUP(A73,'SegEnds_NonXtal_Prot#'!A:AL,22,FALSE)</f>
        <v>47</v>
      </c>
      <c r="AI73" s="12">
        <f>VLOOKUP(A73,'SegEnds_NonXtal_Prot#'!A:AL,31,FALSE)-VLOOKUP(A73,'SegEnds_NonXtal_Prot#'!A:AL,28,FALSE)</f>
        <v>43</v>
      </c>
      <c r="AJ73" s="12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2" t="str">
        <f>IF(ISERROR(MATCH(A73,'SegEnds_Xtal_Prot#'!B:B, 0)), "NoXtal", "Xtal")</f>
        <v>NoXtal</v>
      </c>
    </row>
    <row r="74" spans="1:38" x14ac:dyDescent="0.2">
      <c r="A74" s="1" t="s">
        <v>190</v>
      </c>
      <c r="B74" s="1" t="str">
        <f>VLOOKUP(A74,Xtal_Templ!A:B,2,FALSE)</f>
        <v>adrb2_human</v>
      </c>
      <c r="C74" s="5">
        <f>VLOOKUP($B74&amp;"__wt",'SegEnds_Xtal_BW#'!$A:$Z,3,FALSE)</f>
        <v>25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v>66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INDEX(ICL3_classA!$G$2:$G$37,MATCH(MIN(ABS(AI74-ICL3_classA!$F$2:$F$37)),ABS(AI74-ICL3_classA!$F$2:$F$37),0))</f>
        <v>76</v>
      </c>
      <c r="U74" s="1">
        <f t="array" ref="U74">INDEX(ICL3_classA!$H$2:$H$37,MATCH(MIN(ABS(AI74-ICL3_classA!$F$2:$F$37)),ABS(AI74-ICL3_classA!$F$2:$F$37),0))</f>
        <v>24</v>
      </c>
      <c r="V74" s="1">
        <v>61</v>
      </c>
      <c r="W74" s="1">
        <v>28</v>
      </c>
      <c r="X74" s="1">
        <f>VLOOKUP($B74&amp;"__wt",'SegEnds_Xtal_BW#'!$A:$Z,24,FALSE)</f>
        <v>55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29</v>
      </c>
      <c r="AC74" s="1">
        <f>VLOOKUP(A74,'SegEnds_NonXtal_Prot#'!A:AL,10,FALSE)-VLOOKUP(A74,'SegEnds_NonXtal_Prot#'!A:AL,7,FALSE)</f>
        <v>16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51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20</v>
      </c>
      <c r="AH74" s="1">
        <f>VLOOKUP(A74,'SegEnds_NonXtal_Prot#'!A:AL,28,FALSE)-VLOOKUP(A74,'SegEnds_NonXtal_Prot#'!A:AL,22,FALSE)</f>
        <v>58</v>
      </c>
      <c r="AI74" s="1">
        <f>VLOOKUP(A74,'SegEnds_NonXtal_Prot#'!A:AL,31,FALSE)-VLOOKUP(A74,'SegEnds_NonXtal_Prot#'!A:AL,28,FALSE)</f>
        <v>81</v>
      </c>
      <c r="AJ74" s="1">
        <f>VLOOKUP(A74,'SegEnds_NonXtal_Prot#'!A:AL,34,FALSE)-VLOOKUP(A74,'SegEnds_NonXtal_Prot#'!A:AL,31,FALSE)</f>
        <v>41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191</v>
      </c>
      <c r="B75" s="1" t="str">
        <f>VLOOKUP(A75,Xtal_Templ!A:B,2,FALSE)</f>
        <v>drd2_human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68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f>VLOOKUP($B75&amp;"__wt",'SegEnds_Xtal_BW#'!$A:$Z,14,FALSE)</f>
        <v>58</v>
      </c>
      <c r="O75" s="87">
        <v>38</v>
      </c>
      <c r="P75" s="1">
        <f>VLOOKUP($B75&amp;"__wt",'SegEnds_Xtal_BW#'!$A:$Z,16,FALSE)</f>
        <v>62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35</v>
      </c>
      <c r="T75" s="1">
        <f t="array" ref="T75">INDEX(ICL3_classA!$G$2:$G$37,MATCH(MIN(ABS(AI75-ICL3_classA!$F$2:$F$37)),ABS(AI75-ICL3_classA!$F$2:$F$37),0))</f>
        <v>75</v>
      </c>
      <c r="U75" s="1">
        <f t="array" ref="U75">INDEX(ICL3_classA!$H$2:$H$37,MATCH(MIN(ABS(AI75-ICL3_classA!$F$2:$F$37)),ABS(AI75-ICL3_classA!$F$2:$F$37),0))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21</v>
      </c>
      <c r="AG75" s="1">
        <f>VLOOKUP(A75,'SegEnds_NonXtal_Prot#'!A:AL,28,FALSE)-VLOOKUP(A75,'SegEnds_NonXtal_Prot#'!A:AL,25,FALSE)</f>
        <v>19</v>
      </c>
      <c r="AH75" s="1">
        <f>VLOOKUP(A75,'SegEnds_NonXtal_Prot#'!A:AL,28,FALSE)-VLOOKUP(A75,'SegEnds_NonXtal_Prot#'!A:AL,22,FALSE)</f>
        <v>41</v>
      </c>
      <c r="AI75" s="1">
        <f>VLOOKUP(A75,'SegEnds_NonXtal_Prot#'!A:AL,31,FALSE)-VLOOKUP(A75,'SegEnds_NonXtal_Prot#'!A:AL,28,FALSE)</f>
        <v>187</v>
      </c>
      <c r="AJ75" s="1">
        <f>VLOOKUP(A75,'SegEnds_NonXtal_Prot#'!A:AL,34,FALSE)-VLOOKUP(A75,'SegEnds_NonXtal_Prot#'!A:AL,31,FALSE)</f>
        <v>35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192</v>
      </c>
      <c r="B76" s="1" t="str">
        <f>VLOOKUP(A76,Xtal_Templ!A:B,2,FALSE)</f>
        <v>drd3_human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58</v>
      </c>
      <c r="O76" s="87">
        <f>VLOOKUP($B76&amp;"__wt",'SegEnds_Xtal_BW#'!$A:$Z,15,FALSE)</f>
        <v>38</v>
      </c>
      <c r="P76" s="1">
        <f>VLOOKUP($B76&amp;"__wt",'SegEnds_Xtal_BW#'!$A:$Z,16,FALSE)</f>
        <v>63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INDEX(ICL3_classA!$G$2:$G$37,MATCH(MIN(ABS(AI76-ICL3_classA!$F$2:$F$37)),ABS(AI76-ICL3_classA!$F$2:$F$37),0))</f>
        <v>76</v>
      </c>
      <c r="U76" s="1">
        <f t="array" ref="U76">INDEX(ICL3_classA!$H$2:$H$37,MATCH(MIN(ABS(AI76-ICL3_classA!$F$2:$F$37)),ABS(AI76-ICL3_classA!$F$2:$F$37),0))</f>
        <v>24</v>
      </c>
      <c r="V76" s="1">
        <f>VLOOKUP($B76&amp;"__wt",'SegEnds_Xtal_BW#'!$A:$Z,22,FALSE)</f>
        <v>60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21</v>
      </c>
      <c r="AE76" s="1">
        <f>VLOOKUP(A76,'SegEnds_NonXtal_Prot#'!A:AL,16,FALSE)-VLOOKUP(A76,'SegEnds_NonXtal_Prot#'!A:AL,10,FALSE)</f>
        <v>53</v>
      </c>
      <c r="AF76" s="1">
        <f>VLOOKUP(A76,'SegEnds_NonXtal_Prot#'!A:AL,22,FALSE)-VLOOKUP(A76,'SegEnds_NonXtal_Prot#'!A:AL,19,FALSE)</f>
        <v>23</v>
      </c>
      <c r="AG76" s="1">
        <f>VLOOKUP(A76,'SegEnds_NonXtal_Prot#'!A:AL,28,FALSE)-VLOOKUP(A76,'SegEnds_NonXtal_Prot#'!A:AL,25,FALSE)</f>
        <v>19</v>
      </c>
      <c r="AH76" s="1">
        <f>VLOOKUP(A76,'SegEnds_NonXtal_Prot#'!A:AL,28,FALSE)-VLOOKUP(A76,'SegEnds_NonXtal_Prot#'!A:AL,22,FALSE)</f>
        <v>42</v>
      </c>
      <c r="AI76" s="1">
        <f>VLOOKUP(A76,'SegEnds_NonXtal_Prot#'!A:AL,31,FALSE)-VLOOKUP(A76,'SegEnds_NonXtal_Prot#'!A:AL,28,FALSE)</f>
        <v>144</v>
      </c>
      <c r="AJ76" s="1">
        <f>VLOOKUP(A76,'SegEnds_NonXtal_Prot#'!A:AL,34,FALSE)-VLOOKUP(A76,'SegEnds_NonXtal_Prot#'!A:AL,31,FALSE)</f>
        <v>36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Xtal</v>
      </c>
    </row>
    <row r="77" spans="1:38" x14ac:dyDescent="0.2">
      <c r="A77" s="1" t="s">
        <v>193</v>
      </c>
      <c r="B77" s="1" t="str">
        <f>VLOOKUP(A77,Xtal_Templ!A:B,2,FALSE)</f>
        <v>drd4_human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38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19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f>VLOOKUP($B77&amp;"__wt",'SegEnds_Xtal_BW#'!$A:$Z,14,FALSE)</f>
        <v>57</v>
      </c>
      <c r="O77" s="87">
        <f>VLOOKUP($B77&amp;"__wt",'SegEnds_Xtal_BW#'!$A:$Z,15,FALSE)</f>
        <v>38</v>
      </c>
      <c r="P77" s="1">
        <f>VLOOKUP($B77&amp;"__wt",'SegEnds_Xtal_BW#'!$A:$Z,16,FALSE)</f>
        <v>63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INDEX(ICL3_classA!$G$2:$G$37,MATCH(MIN(ABS(AI77-ICL3_classA!$F$2:$F$37)),ABS(AI77-ICL3_classA!$F$2:$F$37),0))</f>
        <v>75</v>
      </c>
      <c r="U77" s="1">
        <f t="array" ref="U77">INDEX(ICL3_classA!$H$2:$H$37,MATCH(MIN(ABS(AI77-ICL3_classA!$F$2:$F$37)),ABS(AI77-ICL3_classA!$F$2:$F$37),0))</f>
        <v>24</v>
      </c>
      <c r="V77" s="1">
        <f>VLOOKUP($B77&amp;"__wt",'SegEnds_Xtal_BW#'!$A:$Z,22,FALSE)</f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21</v>
      </c>
      <c r="AE77" s="1">
        <f>VLOOKUP(A77,'SegEnds_NonXtal_Prot#'!A:AL,16,FALSE)-VLOOKUP(A77,'SegEnds_NonXtal_Prot#'!A:AL,10,FALSE)</f>
        <v>53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19</v>
      </c>
      <c r="AH77" s="1">
        <f>VLOOKUP(A77,'SegEnds_NonXtal_Prot#'!A:AL,28,FALSE)-VLOOKUP(A77,'SegEnds_NonXtal_Prot#'!A:AL,22,FALSE)</f>
        <v>44</v>
      </c>
      <c r="AI77" s="1">
        <f>VLOOKUP(A77,'SegEnds_NonXtal_Prot#'!A:AL,31,FALSE)-VLOOKUP(A77,'SegEnds_NonXtal_Prot#'!A:AL,28,FALSE)</f>
        <v>205</v>
      </c>
      <c r="AJ77" s="1">
        <f>VLOOKUP(A77,'SegEnds_NonXtal_Prot#'!A:AL,34,FALSE)-VLOOKUP(A77,'SegEnds_NonXtal_Prot#'!A:AL,31,FALSE)</f>
        <v>36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Xtal</v>
      </c>
    </row>
    <row r="78" spans="1:38" x14ac:dyDescent="0.2">
      <c r="A78" s="1" t="s">
        <v>194</v>
      </c>
      <c r="B78" s="1" t="str">
        <f>VLOOKUP(A78,Xtal_Templ!A:B,2,FALSE)</f>
        <v>adrb2_human</v>
      </c>
      <c r="C78" s="5">
        <f>VLOOKUP($B78&amp;"__wt",'SegEnds_Xtal_BW#'!$A:$Z,3,FALSE)</f>
        <v>25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INDEX(ICL3_classA!$G$2:$G$37,MATCH(MIN(ABS(AI78-ICL3_classA!$F$2:$F$37)),ABS(AI78-ICL3_classA!$F$2:$F$37),0))</f>
        <v>76</v>
      </c>
      <c r="U78" s="1">
        <f t="array" ref="U78">INDEX(ICL3_classA!$H$2:$H$37,MATCH(MIN(ABS(AI78-ICL3_classA!$F$2:$F$37)),ABS(AI78-ICL3_classA!$F$2:$F$37),0))</f>
        <v>24</v>
      </c>
      <c r="V78" s="1">
        <v>64</v>
      </c>
      <c r="W78" s="1">
        <v>24</v>
      </c>
      <c r="X78" s="129"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29</v>
      </c>
      <c r="AC78" s="1">
        <f>VLOOKUP(A78,'SegEnds_NonXtal_Prot#'!A:AL,10,FALSE)-VLOOKUP(A78,'SegEnds_NonXtal_Prot#'!A:AL,7,FALSE)</f>
        <v>16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20</v>
      </c>
      <c r="AH78" s="1">
        <f>VLOOKUP(A78,'SegEnds_NonXtal_Prot#'!A:AL,28,FALSE)-VLOOKUP(A78,'SegEnds_NonXtal_Prot#'!A:AL,22,FALSE)</f>
        <v>72</v>
      </c>
      <c r="AI78" s="1">
        <f>VLOOKUP(A78,'SegEnds_NonXtal_Prot#'!A:AL,31,FALSE)-VLOOKUP(A78,'SegEnds_NonXtal_Prot#'!A:AL,28,FALSE)</f>
        <v>74</v>
      </c>
      <c r="AJ78" s="1">
        <f>VLOOKUP(A78,'SegEnds_NonXtal_Prot#'!A:AL,34,FALSE)-VLOOKUP(A78,'SegEnds_NonXtal_Prot#'!A:AL,31,FALSE)</f>
        <v>45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195</v>
      </c>
      <c r="B79" s="1" t="str">
        <f>VLOOKUP(A79,Xtal_Templ!A:B,2,FALSE)</f>
        <v>ednrb_human</v>
      </c>
      <c r="C79" s="5">
        <f>VLOOKUP($B79&amp;"__wt",'SegEnds_Xtal_BW#'!$A:$Z,3,FALSE)</f>
        <v>22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52</v>
      </c>
      <c r="G79" s="1">
        <v>38</v>
      </c>
      <c r="H79" s="12"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9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28</v>
      </c>
      <c r="T79" s="1">
        <f t="array" ref="T79">INDEX(ICL3_classA!$G$2:$G$37,MATCH(MIN(ABS(AI79-ICL3_classA!$F$2:$F$37)),ABS(AI79-ICL3_classA!$F$2:$F$37),0))</f>
        <v>72</v>
      </c>
      <c r="U79" s="1">
        <f t="array" ref="U79">INDEX(ICL3_classA!$H$2:$H$37,MATCH(MIN(ABS(AI79-ICL3_classA!$F$2:$F$37)),ABS(AI79-ICL3_classA!$F$2:$F$37),0))</f>
        <v>24</v>
      </c>
      <c r="V79" s="1">
        <v>62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57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28</v>
      </c>
      <c r="AH79" s="1">
        <f>VLOOKUP(A79,'SegEnds_NonXtal_Prot#'!A:AL,28,FALSE)-VLOOKUP(A79,'SegEnds_NonXtal_Prot#'!A:AL,22,FALSE)</f>
        <v>57</v>
      </c>
      <c r="AI79" s="1">
        <f>VLOOKUP(A79,'SegEnds_NonXtal_Prot#'!A:AL,31,FALSE)-VLOOKUP(A79,'SegEnds_NonXtal_Prot#'!A:AL,28,FALSE)</f>
        <v>54</v>
      </c>
      <c r="AJ79" s="1">
        <f>VLOOKUP(A79,'SegEnds_NonXtal_Prot#'!A:AL,34,FALSE)-VLOOKUP(A79,'SegEnds_NonXtal_Prot#'!A:AL,31,FALSE)</f>
        <v>45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196</v>
      </c>
      <c r="B80" s="1" t="str">
        <f>VLOOKUP(A80,Xtal_Templ!A:B,2,FALSE)</f>
        <v>ednrb_human</v>
      </c>
      <c r="C80" s="5">
        <f>VLOOKUP($B80&amp;"__wt",'SegEnds_Xtal_BW#'!$A:$Z,3,FALSE)</f>
        <v>22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52</v>
      </c>
      <c r="G80" s="1">
        <v>38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28</v>
      </c>
      <c r="T80" s="1">
        <f t="array" ref="T80">INDEX(ICL3_classA!$G$2:$G$37,MATCH(MIN(ABS(AI80-ICL3_classA!$F$2:$F$37)),ABS(AI80-ICL3_classA!$F$2:$F$37),0))</f>
        <v>72</v>
      </c>
      <c r="U80" s="1">
        <f t="array" ref="U80">INDEX(ICL3_classA!$H$2:$H$37,MATCH(MIN(ABS(AI80-ICL3_classA!$F$2:$F$37)),ABS(AI80-ICL3_classA!$F$2:$F$37),0))</f>
        <v>24</v>
      </c>
      <c r="V80" s="1">
        <v>62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60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30</v>
      </c>
      <c r="AH80" s="1">
        <f>VLOOKUP(A80,'SegEnds_NonXtal_Prot#'!A:AL,28,FALSE)-VLOOKUP(A80,'SegEnds_NonXtal_Prot#'!A:AL,22,FALSE)</f>
        <v>59</v>
      </c>
      <c r="AI80" s="1">
        <f>VLOOKUP(A80,'SegEnds_NonXtal_Prot#'!A:AL,31,FALSE)-VLOOKUP(A80,'SegEnds_NonXtal_Prot#'!A:AL,28,FALSE)</f>
        <v>53</v>
      </c>
      <c r="AJ80" s="1">
        <f>VLOOKUP(A80,'SegEnds_NonXtal_Prot#'!A:AL,34,FALSE)-VLOOKUP(A80,'SegEnds_NonXtal_Prot#'!A:AL,31,FALSE)</f>
        <v>45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Xtal</v>
      </c>
    </row>
    <row r="81" spans="1:38" x14ac:dyDescent="0.2">
      <c r="A81" s="1" t="s">
        <v>197</v>
      </c>
      <c r="B81" s="1" t="str">
        <f>VLOOKUP(A81,Xtal_Templ!A:B,2,FALSE)</f>
        <v>ednrb_human</v>
      </c>
      <c r="C81" s="5">
        <f>VLOOKUP($B81&amp;"__wt",'SegEnds_Xtal_BW#'!$A:$Z,3,FALSE)</f>
        <v>22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52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28</v>
      </c>
      <c r="T81" s="1">
        <f t="array" ref="T81">INDEX(ICL3_classA!$G$2:$G$37,MATCH(MIN(ABS(AI81-ICL3_classA!$F$2:$F$37)),ABS(AI81-ICL3_classA!$F$2:$F$37),0))</f>
        <v>72</v>
      </c>
      <c r="U81" s="1">
        <f t="array" ref="U81">INDEX(ICL3_classA!$H$2:$H$37,MATCH(MIN(ABS(AI81-ICL3_classA!$F$2:$F$37)),ABS(AI81-ICL3_classA!$F$2:$F$37),0))</f>
        <v>24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60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 t="e">
        <f>VLOOKUP(A81,'SegEnds_NonXtal_Prot#'!A:AL,13,FALSE)-VLOOKUP(A81,'SegEnds_NonXtal_Prot#'!A:AL,10,FALSE)</f>
        <v>#VALUE!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35</v>
      </c>
      <c r="AH81" s="1">
        <f>VLOOKUP(A81,'SegEnds_NonXtal_Prot#'!A:AL,28,FALSE)-VLOOKUP(A81,'SegEnds_NonXtal_Prot#'!A:AL,22,FALSE)</f>
        <v>65</v>
      </c>
      <c r="AI81" s="1">
        <f>VLOOKUP(A81,'SegEnds_NonXtal_Prot#'!A:AL,31,FALSE)-VLOOKUP(A81,'SegEnds_NonXtal_Prot#'!A:AL,28,FALSE)</f>
        <v>53</v>
      </c>
      <c r="AJ81" s="1">
        <f>VLOOKUP(A81,'SegEnds_NonXtal_Prot#'!A:AL,34,FALSE)-VLOOKUP(A81,'SegEnds_NonXtal_Prot#'!A:AL,31,FALSE)</f>
        <v>39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1173</v>
      </c>
      <c r="B82" s="1" t="str">
        <f>VLOOKUP(A82,Xtal_Templ!A:B,2,FALSE)</f>
        <v>ffar1_human</v>
      </c>
      <c r="C82" s="5">
        <f>VLOOKUP($B82&amp;"__wt",'SegEnds_Xtal_BW#'!$A:$Z,3,FALSE)</f>
        <v>31</v>
      </c>
      <c r="D82" s="1">
        <f>VLOOKUP($B82&amp;"__wt",'SegEnds_Xtal_BW#'!$A:$Z,4,FALSE)</f>
        <v>64</v>
      </c>
      <c r="E82" s="1" t="str">
        <f>VLOOKUP($B82&amp;"__wt",'SegEnds_Xtal_BW#'!$A:$Z,5,FALSE)</f>
        <v>-</v>
      </c>
      <c r="F82" s="1" t="str">
        <f>VLOOKUP($B82&amp;"__wt",'SegEnds_Xtal_BW#'!$A:$Z,6,FALSE)</f>
        <v>-</v>
      </c>
      <c r="G82" s="1">
        <v>37</v>
      </c>
      <c r="H82" s="12">
        <f>VLOOKUP($B82&amp;"__wt",'SegEnds_Xtal_BW#'!$A:$Z,8,FALSE)</f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f>VLOOKUP($B82&amp;"__wt",'SegEnds_Xtal_BW#'!$A:$Z,14,FALSE)</f>
        <v>57</v>
      </c>
      <c r="O82" s="87">
        <f>VLOOKUP($B82&amp;"__wt",'SegEnds_Xtal_BW#'!$A:$Z,15,FALSE)</f>
        <v>38</v>
      </c>
      <c r="P82" s="1">
        <f>VLOOKUP($B82&amp;"__wt",'SegEnds_Xtal_BW#'!$A:$Z,16,FALSE)</f>
        <v>65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28</v>
      </c>
      <c r="V82" s="1">
        <v>61</v>
      </c>
      <c r="W82" s="1">
        <v>32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29</v>
      </c>
      <c r="AC82" s="1" t="e">
        <f>VLOOKUP(A82,'SegEnds_NonXtal_Prot#'!A:AL,10,FALSE)-VLOOKUP(A82,'SegEnds_NonXtal_Prot#'!A:AL,7,FALSE)</f>
        <v>#VALUE!</v>
      </c>
      <c r="AD82" s="1">
        <f>VLOOKUP(A82,'SegEnds_NonXtal_Prot#'!A:AL,13,FALSE)-VLOOKUP(A82,'SegEnds_NonXtal_Prot#'!A:AL,10,FALSE)</f>
        <v>20</v>
      </c>
      <c r="AE82" s="1">
        <f>VLOOKUP(A82,'SegEnds_NonXtal_Prot#'!A:AL,16,FALSE)-VLOOKUP(A82,'SegEnds_NonXtal_Prot#'!A:AL,10,FALSE)</f>
        <v>52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63</v>
      </c>
      <c r="AI82" s="1">
        <f>VLOOKUP(A82,'SegEnds_NonXtal_Prot#'!A:AL,31,FALSE)-VLOOKUP(A82,'SegEnds_NonXtal_Prot#'!A:AL,28,FALSE)</f>
        <v>45</v>
      </c>
      <c r="AJ82" s="1">
        <f>VLOOKUP(A82,'SegEnds_NonXtal_Prot#'!A:AL,34,FALSE)-VLOOKUP(A82,'SegEnds_NonXtal_Prot#'!A:AL,31,FALSE)</f>
        <v>34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Xtal</v>
      </c>
    </row>
    <row r="83" spans="1:38" x14ac:dyDescent="0.2">
      <c r="A83" s="1" t="s">
        <v>198</v>
      </c>
      <c r="B83" s="1" t="str">
        <f>VLOOKUP(A83,Xtal_Templ!A:B,2,FALSE)</f>
        <v>par2_human</v>
      </c>
      <c r="C83" s="5">
        <f>VLOOKUP($B83&amp;"__wt",'SegEnds_Xtal_BW#'!$A:$Z,3,FALSE)</f>
        <v>28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47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62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31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26</v>
      </c>
      <c r="V83" s="1">
        <v>61</v>
      </c>
      <c r="W83" s="1">
        <v>33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61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30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27</v>
      </c>
      <c r="AH83" s="1">
        <f>VLOOKUP(A83,'SegEnds_NonXtal_Prot#'!A:AL,28,FALSE)-VLOOKUP(A83,'SegEnds_NonXtal_Prot#'!A:AL,22,FALSE)</f>
        <v>57</v>
      </c>
      <c r="AI83" s="1">
        <f>VLOOKUP(A83,'SegEnds_NonXtal_Prot#'!A:AL,31,FALSE)-VLOOKUP(A83,'SegEnds_NonXtal_Prot#'!A:AL,28,FALSE)</f>
        <v>46</v>
      </c>
      <c r="AJ83" s="1">
        <f>VLOOKUP(A83,'SegEnds_NonXtal_Prot#'!A:AL,34,FALSE)-VLOOKUP(A83,'SegEnds_NonXtal_Prot#'!A:AL,31,FALSE)</f>
        <v>33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199</v>
      </c>
      <c r="B84" s="1" t="str">
        <f>VLOOKUP(A84,Xtal_Templ!A:B,2,FALSE)</f>
        <v>par1_human</v>
      </c>
      <c r="C84" s="5">
        <f>VLOOKUP($B84&amp;"__wt",'SegEnds_Xtal_BW#'!$A:$Z,3,FALSE)</f>
        <v>29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63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INDEX(ICL3_classA!$G$2:$G$37,MATCH(MIN(ABS(AI84-ICL3_classA!$F$2:$F$37)),ABS(AI84-ICL3_classA!$F$2:$F$37),0))</f>
        <v>68</v>
      </c>
      <c r="U84" s="1">
        <f t="array" ref="U84">INDEX(ICL3_classA!$H$2:$H$37,MATCH(MIN(ABS(AI84-ICL3_classA!$F$2:$F$37)),ABS(AI84-ICL3_classA!$F$2:$F$37),0))</f>
        <v>28</v>
      </c>
      <c r="V84" s="1">
        <v>61</v>
      </c>
      <c r="W84" s="1">
        <v>33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61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56</v>
      </c>
      <c r="AI84" s="1">
        <f>VLOOKUP(A84,'SegEnds_NonXtal_Prot#'!A:AL,31,FALSE)-VLOOKUP(A84,'SegEnds_NonXtal_Prot#'!A:AL,28,FALSE)</f>
        <v>44</v>
      </c>
      <c r="AJ84" s="1">
        <f>VLOOKUP(A84,'SegEnds_NonXtal_Prot#'!A:AL,34,FALSE)-VLOOKUP(A84,'SegEnds_NonXtal_Prot#'!A:AL,31,FALSE)</f>
        <v>33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4" t="s">
        <v>200</v>
      </c>
      <c r="B85" s="4" t="str">
        <f>VLOOKUP(A85,Xtal_Templ!A:B,2,FALSE)</f>
        <v>ox2r_human</v>
      </c>
      <c r="C85" s="5">
        <f>VLOOKUP($B85&amp;"__wt",'SegEnds_Xtal_BW#'!$A:$Z,3,FALSE)</f>
        <v>31</v>
      </c>
      <c r="D85" s="4">
        <f>VLOOKUP($B85&amp;"__wt",'SegEnds_Xtal_BW#'!$A:$Z,4,FALSE)</f>
        <v>60</v>
      </c>
      <c r="E85" s="4">
        <f>VLOOKUP($B85&amp;"__wt",'SegEnds_Xtal_BW#'!$A:$Z,5,FALSE)</f>
        <v>48</v>
      </c>
      <c r="F85" s="4">
        <f>VLOOKUP($B85&amp;"__wt",'SegEnds_Xtal_BW#'!$A:$Z,6,FALSE)</f>
        <v>51</v>
      </c>
      <c r="G85" s="4">
        <v>37</v>
      </c>
      <c r="H85" s="11">
        <v>66</v>
      </c>
      <c r="I85" s="4">
        <f>VLOOKUP($B85&amp;"__wt",'SegEnds_Xtal_BW#'!$A:$Z,9,FALSE)</f>
        <v>49</v>
      </c>
      <c r="J85" s="4">
        <f>VLOOKUP($B85&amp;"__wt",'SegEnds_Xtal_BW#'!$A:$Z,10,FALSE)</f>
        <v>52</v>
      </c>
      <c r="K85" s="11">
        <v>21</v>
      </c>
      <c r="L85" s="4">
        <f>VLOOKUP($B85&amp;"__wt",'SegEnds_Xtal_BW#'!$A:$Z,12,FALSE)</f>
        <v>56</v>
      </c>
      <c r="M85" s="4">
        <f>VLOOKUP($B85&amp;"__wt",'SegEnds_Xtal_BW#'!$A:$Z,13,FALSE)</f>
        <v>50</v>
      </c>
      <c r="N85" s="11">
        <v>57</v>
      </c>
      <c r="O85" s="87">
        <f>VLOOKUP($B85&amp;"__wt",'SegEnds_Xtal_BW#'!$A:$Z,15,FALSE)</f>
        <v>38</v>
      </c>
      <c r="P85" s="4">
        <f>VLOOKUP($B85&amp;"__wt",'SegEnds_Xtal_BW#'!$A:$Z,16,FALSE)</f>
        <v>64</v>
      </c>
      <c r="Q85" s="4">
        <f>VLOOKUP($B85&amp;"__wt",'SegEnds_Xtal_BW#'!$A:$Z,17,FALSE)</f>
        <v>50</v>
      </c>
      <c r="R85" s="4">
        <f>VLOOKUP($B85&amp;"__wt",'SegEnds_Xtal_BW#'!$A:$Z,18,FALSE)</f>
        <v>52</v>
      </c>
      <c r="S85" s="4">
        <f>VLOOKUP($B85&amp;"__wt",'SegEnds_Xtal_BW#'!$A:$Z,19,FALSE)</f>
        <v>33</v>
      </c>
      <c r="T85" s="4">
        <f t="array" ref="T85">INDEX(ICL3_classA!$G$2:$G$37,MATCH(MIN(ABS(AI85-ICL3_classA!$F$2:$F$37)),ABS(AI85-ICL3_classA!$F$2:$F$37),0))</f>
        <v>76</v>
      </c>
      <c r="U85" s="4">
        <f t="array" ref="U85">INDEX(ICL3_classA!$H$2:$H$37,MATCH(MIN(ABS(AI85-ICL3_classA!$F$2:$F$37)),ABS(AI85-ICL3_classA!$F$2:$F$37),0))</f>
        <v>24</v>
      </c>
      <c r="V85" s="4">
        <v>61</v>
      </c>
      <c r="W85" s="4">
        <v>28</v>
      </c>
      <c r="X85" s="4">
        <f>VLOOKUP($B85&amp;"__wt",'SegEnds_Xtal_BW#'!$A:$Z,24,FALSE)</f>
        <v>56</v>
      </c>
      <c r="Y85" s="4">
        <f>VLOOKUP($B85&amp;"__wt",'SegEnds_Xtal_BW#'!$A:$Z,25,FALSE)</f>
        <v>47</v>
      </c>
      <c r="Z85" s="4">
        <f>VLOOKUP($B85&amp;"__wt",'SegEnds_Xtal_BW#'!$A:$Z,26,FALSE)</f>
        <v>58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27</v>
      </c>
      <c r="AC85" s="4" t="e">
        <f>VLOOKUP(A85,'SegEnds_NonXtal_Prot#'!A:AL,10,FALSE)-VLOOKUP(A85,'SegEnds_NonXtal_Prot#'!A:AL,7,FALSE)</f>
        <v>#VALUE!</v>
      </c>
      <c r="AD85" s="4">
        <f>VLOOKUP(A85,'SegEnds_NonXtal_Prot#'!A:AL,13,FALSE)-VLOOKUP(A85,'SegEnds_NonXtal_Prot#'!A:AL,10,FALSE)</f>
        <v>19</v>
      </c>
      <c r="AE85" s="4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20</v>
      </c>
      <c r="AG85" s="4">
        <f>VLOOKUP(A85,'SegEnds_NonXtal_Prot#'!A:AL,28,FALSE)-VLOOKUP(A85,'SegEnds_NonXtal_Prot#'!A:AL,25,FALSE)</f>
        <v>25</v>
      </c>
      <c r="AH85" s="1">
        <f>VLOOKUP(A85,'SegEnds_NonXtal_Prot#'!A:AL,28,FALSE)-VLOOKUP(A85,'SegEnds_NonXtal_Prot#'!A:AL,22,FALSE)</f>
        <v>56</v>
      </c>
      <c r="AI85" s="4">
        <f>VLOOKUP(A85,'SegEnds_NonXtal_Prot#'!A:AL,31,FALSE)-VLOOKUP(A85,'SegEnds_NonXtal_Prot#'!A:AL,28,FALSE)</f>
        <v>76</v>
      </c>
      <c r="AJ85" s="4">
        <f>VLOOKUP(A85,'SegEnds_NonXtal_Prot#'!A:AL,34,FALSE)-VLOOKUP(A85,'SegEnds_NonXtal_Prot#'!A:AL,31,FALSE)</f>
        <v>39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201</v>
      </c>
      <c r="B86" s="1" t="str">
        <f>VLOOKUP(A86,Xtal_Templ!A:B,2,FALSE)</f>
        <v>pd2r2_human</v>
      </c>
      <c r="C86" s="5">
        <f>VLOOKUP($B86&amp;"__wt",'SegEnds_Xtal_BW#'!$A:$Z,3,FALSE)</f>
        <v>32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67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26</v>
      </c>
      <c r="T86" s="1">
        <f t="array" ref="T86">INDEX(ICL3_classA!$G$2:$G$37,MATCH(MIN(ABS(AI86-ICL3_classA!$F$2:$F$37)),ABS(AI86-ICL3_classA!$F$2:$F$37),0))</f>
        <v>68</v>
      </c>
      <c r="U86" s="1">
        <f t="array" ref="U86">INDEX(ICL3_classA!$H$2:$H$37,MATCH(MIN(ABS(AI86-ICL3_classA!$F$2:$F$37)),ABS(AI86-ICL3_classA!$F$2:$F$37),0))</f>
        <v>30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64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27</v>
      </c>
      <c r="AC86" s="1" t="e">
        <f>VLOOKUP(A86,'SegEnds_NonXtal_Prot#'!A:AL,10,FALSE)-VLOOKUP(A86,'SegEnds_NonXtal_Prot#'!A:AL,7,FALSE)</f>
        <v>#VALUE!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37</v>
      </c>
      <c r="AH86" s="1">
        <f>VLOOKUP(A86,'SegEnds_NonXtal_Prot#'!A:AL,28,FALSE)-VLOOKUP(A86,'SegEnds_NonXtal_Prot#'!A:AL,22,FALSE)</f>
        <v>63</v>
      </c>
      <c r="AI86" s="1">
        <f>VLOOKUP(A86,'SegEnds_NonXtal_Prot#'!A:AL,31,FALSE)-VLOOKUP(A86,'SegEnds_NonXtal_Prot#'!A:AL,28,FALSE)</f>
        <v>43</v>
      </c>
      <c r="AJ86" s="1">
        <f>VLOOKUP(A86,'SegEnds_NonXtal_Prot#'!A:AL,34,FALSE)-VLOOKUP(A86,'SegEnds_NonXtal_Prot#'!A:AL,31,FALSE)</f>
        <v>42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202</v>
      </c>
      <c r="B87" s="1" t="str">
        <f>VLOOKUP(A87,Xtal_Templ!A:B,2,FALSE)</f>
        <v>pd2r2_human</v>
      </c>
      <c r="C87" s="5">
        <f>VLOOKUP($B87&amp;"__wt",'SegEnds_Xtal_BW#'!$A:$Z,3,FALSE)</f>
        <v>32</v>
      </c>
      <c r="D87" s="1">
        <f>VLOOKUP($B87&amp;"__wt",'SegEnds_Xtal_BW#'!$A:$Z,4,FALSE)</f>
        <v>60</v>
      </c>
      <c r="E87" s="1" t="str">
        <f>VLOOKUP($B87&amp;"__wt",'SegEnds_Xtal_BW#'!$A:$Z,5,FALSE)</f>
        <v>-</v>
      </c>
      <c r="F87" s="1" t="str">
        <f>VLOOKUP($B87&amp;"__wt",'SegEnds_Xtal_BW#'!$A:$Z,6,FALSE)</f>
        <v>-</v>
      </c>
      <c r="G87" s="1">
        <v>37</v>
      </c>
      <c r="H87" s="12">
        <f>VLOOKUP($B87&amp;"__wt",'SegEnds_Xtal_BW#'!$A:$Z,8,FALSE)</f>
        <v>67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87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26</v>
      </c>
      <c r="T87" s="1">
        <f t="array" ref="T87">INDEX(ICL3_classA!$G$2:$G$37,MATCH(MIN(ABS(AI87-ICL3_classA!$F$2:$F$37)),ABS(AI87-ICL3_classA!$F$2:$F$37),0))</f>
        <v>68</v>
      </c>
      <c r="U87" s="1">
        <f t="array" ref="U87">INDEX(ICL3_classA!$H$2:$H$37,MATCH(MIN(ABS(AI87-ICL3_classA!$F$2:$F$37)),ABS(AI87-ICL3_classA!$F$2:$F$37),0))</f>
        <v>30</v>
      </c>
      <c r="V87" s="1">
        <v>61</v>
      </c>
      <c r="W87" s="1">
        <v>24</v>
      </c>
      <c r="X87" s="108">
        <v>56</v>
      </c>
      <c r="Y87" s="1">
        <f>VLOOKUP($B87&amp;"__wt",'SegEnds_Xtal_BW#'!$A:$Z,25,FALSE)</f>
        <v>47</v>
      </c>
      <c r="Z87" s="1">
        <f>VLOOKUP($B87&amp;"__wt",'SegEnds_Xtal_BW#'!$A:$Z,26,FALSE)</f>
        <v>64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27</v>
      </c>
      <c r="AC87" s="1" t="e">
        <f>VLOOKUP(A87,'SegEnds_NonXtal_Prot#'!A:AL,10,FALSE)-VLOOKUP(A87,'SegEnds_NonXtal_Prot#'!A:AL,7,FALSE)</f>
        <v>#VALUE!</v>
      </c>
      <c r="AD87" s="1">
        <f>VLOOKUP(A87,'SegEnds_NonXtal_Prot#'!A:AL,13,FALSE)-VLOOKUP(A87,'SegEnds_NonXtal_Prot#'!A:AL,10,FALSE)</f>
        <v>20</v>
      </c>
      <c r="AE87" s="1">
        <f>VLOOKUP(A87,'SegEnds_NonXtal_Prot#'!A:AL,16,FALSE)-VLOOKUP(A87,'SegEnds_NonXtal_Prot#'!A:AL,10,FALSE)</f>
        <v>52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37</v>
      </c>
      <c r="AH87" s="1">
        <f>VLOOKUP(A87,'SegEnds_NonXtal_Prot#'!A:AL,28,FALSE)-VLOOKUP(A87,'SegEnds_NonXtal_Prot#'!A:AL,22,FALSE)</f>
        <v>63</v>
      </c>
      <c r="AI87" s="1">
        <f>VLOOKUP(A87,'SegEnds_NonXtal_Prot#'!A:AL,31,FALSE)-VLOOKUP(A87,'SegEnds_NonXtal_Prot#'!A:AL,28,FALSE)</f>
        <v>43</v>
      </c>
      <c r="AJ87" s="1">
        <f>VLOOKUP(A87,'SegEnds_NonXtal_Prot#'!A:AL,34,FALSE)-VLOOKUP(A87,'SegEnds_NonXtal_Prot#'!A:AL,31,FALSE)</f>
        <v>43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203</v>
      </c>
      <c r="B88" s="1" t="str">
        <f>VLOOKUP(A88,Xtal_Templ!A:B,2,FALSE)</f>
        <v>pd2r2_human</v>
      </c>
      <c r="C88" s="5">
        <f>VLOOKUP($B88&amp;"__wt",'SegEnds_Xtal_BW#'!$A:$Z,3,FALSE)</f>
        <v>32</v>
      </c>
      <c r="D88" s="1">
        <f>VLOOKUP($B88&amp;"__wt",'SegEnds_Xtal_BW#'!$A:$Z,4,FALSE)</f>
        <v>60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7"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26</v>
      </c>
      <c r="T88" s="1">
        <f t="array" ref="T88">INDEX(ICL3_classA!$G$2:$G$37,MATCH(MIN(ABS(AI88-ICL3_classA!$F$2:$F$37)),ABS(AI88-ICL3_classA!$F$2:$F$37),0))</f>
        <v>68</v>
      </c>
      <c r="U88" s="1">
        <f t="array" ref="U88">INDEX(ICL3_classA!$H$2:$H$37,MATCH(MIN(ABS(AI88-ICL3_classA!$F$2:$F$37)),ABS(AI88-ICL3_classA!$F$2:$F$37),0))</f>
        <v>30</v>
      </c>
      <c r="V88" s="1">
        <v>61</v>
      </c>
      <c r="W88" s="1">
        <v>24</v>
      </c>
      <c r="X88" s="108">
        <v>56</v>
      </c>
      <c r="Y88" s="1">
        <f>VLOOKUP($B88&amp;"__wt",'SegEnds_Xtal_BW#'!$A:$Z,25,FALSE)</f>
        <v>47</v>
      </c>
      <c r="Z88" s="1">
        <f>VLOOKUP($B88&amp;"__wt",'SegEnds_Xtal_BW#'!$A:$Z,26,FALSE)</f>
        <v>64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27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37</v>
      </c>
      <c r="AH88" s="1">
        <f>VLOOKUP(A88,'SegEnds_NonXtal_Prot#'!A:AL,28,FALSE)-VLOOKUP(A88,'SegEnds_NonXtal_Prot#'!A:AL,22,FALSE)</f>
        <v>63</v>
      </c>
      <c r="AI88" s="1">
        <f>VLOOKUP(A88,'SegEnds_NonXtal_Prot#'!A:AL,31,FALSE)-VLOOKUP(A88,'SegEnds_NonXtal_Prot#'!A:AL,28,FALSE)</f>
        <v>43</v>
      </c>
      <c r="AJ88" s="1">
        <f>VLOOKUP(A88,'SegEnds_NonXtal_Prot#'!A:AL,34,FALSE)-VLOOKUP(A88,'SegEnds_NonXtal_Prot#'!A:AL,31,FALSE)</f>
        <v>43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204</v>
      </c>
      <c r="B89" s="1" t="str">
        <f>VLOOKUP(A89,Xtal_Templ!A:B,2,FALSE)</f>
        <v>aa2ar_human</v>
      </c>
      <c r="C89" s="5">
        <f>VLOOKUP($B89&amp;"__wt",'SegEnds_Xtal_BW#'!$A:$Z,3,FALSE)</f>
        <v>27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INDEX(ICL3_classA!$G$2:$G$37,MATCH(MIN(ABS(AI89-ICL3_classA!$F$2:$F$37)),ABS(AI89-ICL3_classA!$F$2:$F$37),0))</f>
        <v>67</v>
      </c>
      <c r="U89" s="1">
        <f t="array" ref="U89">INDEX(ICL3_classA!$H$2:$H$37,MATCH(MIN(ABS(AI89-ICL3_classA!$F$2:$F$37)),ABS(AI89-ICL3_classA!$F$2:$F$37),0))</f>
        <v>26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69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14</v>
      </c>
      <c r="AD89" s="1">
        <f>VLOOKUP(A89,'SegEnds_NonXtal_Prot#'!A:AL,13,FALSE)-VLOOKUP(A89,'SegEnds_NonXtal_Prot#'!A:AL,10,FALSE)</f>
        <v>28</v>
      </c>
      <c r="AE89" s="1">
        <f>VLOOKUP(A89,'SegEnds_NonXtal_Prot#'!A:AL,16,FALSE)-VLOOKUP(A89,'SegEnds_NonXtal_Prot#'!A:AL,10,FALSE)</f>
        <v>59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24</v>
      </c>
      <c r="AH89" s="1">
        <f>VLOOKUP(A89,'SegEnds_NonXtal_Prot#'!A:AL,28,FALSE)-VLOOKUP(A89,'SegEnds_NonXtal_Prot#'!A:AL,22,FALSE)</f>
        <v>47</v>
      </c>
      <c r="AI89" s="1">
        <f>VLOOKUP(A89,'SegEnds_NonXtal_Prot#'!A:AL,31,FALSE)-VLOOKUP(A89,'SegEnds_NonXtal_Prot#'!A:AL,28,FALSE)</f>
        <v>46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205</v>
      </c>
      <c r="B90" s="1" t="str">
        <f>VLOOKUP(A90,Xtal_Templ!A:B,2,FALSE)</f>
        <v>oprk_human</v>
      </c>
      <c r="C90" s="5">
        <f>VLOOKUP($B90&amp;"__wt",'SegEnds_Xtal_BW#'!$A:$Z,3,FALSE)</f>
        <v>30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30</v>
      </c>
      <c r="T90" s="1">
        <f t="array" ref="T90">INDEX(ICL3_classA!$G$2:$G$37,MATCH(MIN(ABS(AI90-ICL3_classA!$F$2:$F$37)),ABS(AI90-ICL3_classA!$F$2:$F$37),0))</f>
        <v>72</v>
      </c>
      <c r="U90" s="1">
        <f t="array" ref="U90">INDEX(ICL3_classA!$H$2:$H$37,MATCH(MIN(ABS(AI90-ICL3_classA!$F$2:$F$37)),ABS(AI90-ICL3_classA!$F$2:$F$37),0))</f>
        <v>29</v>
      </c>
      <c r="V90" s="1">
        <v>61</v>
      </c>
      <c r="W90" s="1">
        <v>28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30</v>
      </c>
      <c r="AC90" s="1" t="e">
        <f>VLOOKUP(A90,'SegEnds_NonXtal_Prot#'!A:AL,10,FALSE)-VLOOKUP(A90,'SegEnds_NonXtal_Prot#'!A:AL,7,FALSE)</f>
        <v>#VALUE!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25</v>
      </c>
      <c r="AH90" s="1">
        <f>VLOOKUP(A90,'SegEnds_NonXtal_Prot#'!A:AL,28,FALSE)-VLOOKUP(A90,'SegEnds_NonXtal_Prot#'!A:AL,22,FALSE)</f>
        <v>52</v>
      </c>
      <c r="AI90" s="1">
        <f>VLOOKUP(A90,'SegEnds_NonXtal_Prot#'!A:AL,31,FALSE)-VLOOKUP(A90,'SegEnds_NonXtal_Prot#'!A:AL,28,FALSE)</f>
        <v>50</v>
      </c>
      <c r="AJ90" s="1">
        <f>VLOOKUP(A90,'SegEnds_NonXtal_Prot#'!A:AL,34,FALSE)-VLOOKUP(A90,'SegEnds_NonXtal_Prot#'!A:AL,31,FALSE)</f>
        <v>38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206</v>
      </c>
      <c r="B91" s="1" t="str">
        <f>VLOOKUP(A91,Xtal_Templ!A:B,2,FALSE)</f>
        <v>oprk_human</v>
      </c>
      <c r="C91" s="5">
        <f>VLOOKUP($B91&amp;"__wt",'SegEnds_Xtal_BW#'!$A:$Z,3,FALSE)</f>
        <v>30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30</v>
      </c>
      <c r="T91" s="1">
        <f t="array" ref="T91">INDEX(ICL3_classA!$G$2:$G$37,MATCH(MIN(ABS(AI91-ICL3_classA!$F$2:$F$37)),ABS(AI91-ICL3_classA!$F$2:$F$37),0))</f>
        <v>72</v>
      </c>
      <c r="U91" s="1">
        <f t="array" ref="U91">INDEX(ICL3_classA!$H$2:$H$37,MATCH(MIN(ABS(AI91-ICL3_classA!$F$2:$F$37)),ABS(AI91-ICL3_classA!$F$2:$F$37),0))</f>
        <v>24</v>
      </c>
      <c r="V91" s="1">
        <v>61</v>
      </c>
      <c r="W91" s="1">
        <v>28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24</v>
      </c>
      <c r="AH91" s="1">
        <f>VLOOKUP(A91,'SegEnds_NonXtal_Prot#'!A:AL,28,FALSE)-VLOOKUP(A91,'SegEnds_NonXtal_Prot#'!A:AL,22,FALSE)</f>
        <v>49</v>
      </c>
      <c r="AI91" s="1">
        <f>VLOOKUP(A91,'SegEnds_NonXtal_Prot#'!A:AL,31,FALSE)-VLOOKUP(A91,'SegEnds_NonXtal_Prot#'!A:AL,28,FALSE)</f>
        <v>52</v>
      </c>
      <c r="AJ91" s="1">
        <f>VLOOKUP(A91,'SegEnds_NonXtal_Prot#'!A:AL,34,FALSE)-VLOOKUP(A91,'SegEnds_NonXtal_Prot#'!A:AL,31,FALSE)</f>
        <v>38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207</v>
      </c>
      <c r="B92" s="1" t="str">
        <f>VLOOKUP(A92,Xtal_Templ!A:B,2,FALSE)</f>
        <v>oprk_human</v>
      </c>
      <c r="C92" s="5">
        <f>VLOOKUP($B92&amp;"__wt",'SegEnds_Xtal_BW#'!$A:$Z,3,FALSE)</f>
        <v>30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30</v>
      </c>
      <c r="T92" s="1">
        <f t="array" ref="T92">INDEX(ICL3_classA!$G$2:$G$37,MATCH(MIN(ABS(AI92-ICL3_classA!$F$2:$F$37)),ABS(AI92-ICL3_classA!$F$2:$F$37),0))</f>
        <v>72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">
        <v>28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33</v>
      </c>
      <c r="AC92" s="1">
        <f>VLOOKUP(A92,'SegEnds_NonXtal_Prot#'!A:AL,10,FALSE)-VLOOKUP(A92,'SegEnds_NonXtal_Prot#'!A:AL,7,FALSE)</f>
        <v>19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24</v>
      </c>
      <c r="AH92" s="1">
        <f>VLOOKUP(A92,'SegEnds_NonXtal_Prot#'!A:AL,28,FALSE)-VLOOKUP(A92,'SegEnds_NonXtal_Prot#'!A:AL,22,FALSE)</f>
        <v>49</v>
      </c>
      <c r="AI92" s="1">
        <f>VLOOKUP(A92,'SegEnds_NonXtal_Prot#'!A:AL,31,FALSE)-VLOOKUP(A92,'SegEnds_NonXtal_Prot#'!A:AL,28,FALSE)</f>
        <v>54</v>
      </c>
      <c r="AJ92" s="1">
        <f>VLOOKUP(A92,'SegEnds_NonXtal_Prot#'!A:AL,34,FALSE)-VLOOKUP(A92,'SegEnds_NonXtal_Prot#'!A:AL,31,FALSE)</f>
        <v>38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208</v>
      </c>
      <c r="B93" s="1" t="str">
        <f>VLOOKUP(A93,Xtal_Templ!A:B,2,FALSE)</f>
        <v>ox2r_human</v>
      </c>
      <c r="C93" s="5">
        <f>VLOOKUP($B93&amp;"__wt",'SegEnds_Xtal_BW#'!$A:$Z,3,FALSE)</f>
        <v>31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33</v>
      </c>
      <c r="T93" s="1">
        <f t="array" ref="T93">INDEX(ICL3_classA!$G$2:$G$37,MATCH(MIN(ABS(AI93-ICL3_classA!$F$2:$F$37)),ABS(AI93-ICL3_classA!$F$2:$F$37),0))</f>
        <v>76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58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25</v>
      </c>
      <c r="AH93" s="1">
        <f>VLOOKUP(A93,'SegEnds_NonXtal_Prot#'!A:AL,28,FALSE)-VLOOKUP(A93,'SegEnds_NonXtal_Prot#'!A:AL,22,FALSE)</f>
        <v>51</v>
      </c>
      <c r="AI93" s="1">
        <f>VLOOKUP(A93,'SegEnds_NonXtal_Prot#'!A:AL,31,FALSE)-VLOOKUP(A93,'SegEnds_NonXtal_Prot#'!A:AL,28,FALSE)</f>
        <v>118</v>
      </c>
      <c r="AJ93" s="1">
        <f>VLOOKUP(A93,'SegEnds_NonXtal_Prot#'!A:AL,34,FALSE)-VLOOKUP(A93,'SegEnds_NonXtal_Prot#'!A:AL,31,FALSE)</f>
        <v>39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209</v>
      </c>
      <c r="B94" s="1" t="str">
        <f>VLOOKUP(A94,Xtal_Templ!A:B,2,FALSE)</f>
        <v>ntr1_rat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72</v>
      </c>
      <c r="U94" s="1">
        <f t="array" ref="U94">INDEX(ICL3_classA!$H$2:$H$37,MATCH(MIN(ABS(AI94-ICL3_classA!$F$2:$F$37)),ABS(AI94-ICL3_classA!$F$2:$F$37),0))</f>
        <v>24</v>
      </c>
      <c r="V94" s="1">
        <v>61</v>
      </c>
      <c r="W94" s="1">
        <v>28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26</v>
      </c>
      <c r="AH94" s="1">
        <f>VLOOKUP(A94,'SegEnds_NonXtal_Prot#'!A:AL,28,FALSE)-VLOOKUP(A94,'SegEnds_NonXtal_Prot#'!A:AL,22,FALSE)</f>
        <v>56</v>
      </c>
      <c r="AI94" s="1">
        <f>VLOOKUP(A94,'SegEnds_NonXtal_Prot#'!A:AL,31,FALSE)-VLOOKUP(A94,'SegEnds_NonXtal_Prot#'!A:AL,28,FALSE)</f>
        <v>54</v>
      </c>
      <c r="AJ94" s="1">
        <f>VLOOKUP(A94,'SegEnds_NonXtal_Prot#'!A:AL,34,FALSE)-VLOOKUP(A94,'SegEnds_NonXtal_Prot#'!A:AL,31,FALSE)</f>
        <v>42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212</v>
      </c>
      <c r="B95" s="1" t="str">
        <f>VLOOKUP(A95,Xtal_Templ!A:B,2,FALSE)</f>
        <v>5ht2c_human</v>
      </c>
      <c r="C95" s="5">
        <f>VLOOKUP($B95&amp;"__wt",'SegEnds_Xtal_BW#'!$A:$Z,3,FALSE)</f>
        <v>33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68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v>38</v>
      </c>
      <c r="P95" s="1">
        <f>VLOOKUP($B95&amp;"__wt",'SegEnds_Xtal_BW#'!$A:$Z,16,FALSE)</f>
        <v>67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INDEX(ICL3_classA!$G$2:$G$37,MATCH(MIN(ABS(AI95-ICL3_classA!$F$2:$F$37)),ABS(AI95-ICL3_classA!$F$2:$F$37),0))</f>
        <v>75</v>
      </c>
      <c r="U95" s="1">
        <f t="array" ref="U95">INDEX(ICL3_classA!$H$2:$H$37,MATCH(MIN(ABS(AI95-ICL3_classA!$F$2:$F$37)),ABS(AI95-ICL3_classA!$F$2:$F$37),0))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60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22</v>
      </c>
      <c r="AH95" s="1">
        <f>VLOOKUP(A95,'SegEnds_NonXtal_Prot#'!A:AL,28,FALSE)-VLOOKUP(A95,'SegEnds_NonXtal_Prot#'!A:AL,22,FALSE)</f>
        <v>48</v>
      </c>
      <c r="AI95" s="1">
        <f>VLOOKUP(A95,'SegEnds_NonXtal_Prot#'!A:AL,31,FALSE)-VLOOKUP(A95,'SegEnds_NonXtal_Prot#'!A:AL,28,FALSE)</f>
        <v>210</v>
      </c>
      <c r="AJ95" s="1">
        <f>VLOOKUP(A95,'SegEnds_NonXtal_Prot#'!A:AL,34,FALSE)-VLOOKUP(A95,'SegEnds_NonXtal_Prot#'!A:AL,31,FALSE)</f>
        <v>37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213</v>
      </c>
      <c r="B96" s="1" t="str">
        <f>VLOOKUP(A96,Xtal_Templ!A:B,2,FALSE)</f>
        <v>aa1r_human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08">
        <v>66</v>
      </c>
      <c r="I96" s="1">
        <f>VLOOKUP($B96&amp;"__wt",'SegEnds_Xtal_BW#'!$A:$Z,9,FALSE)</f>
        <v>50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7">
        <v>38</v>
      </c>
      <c r="P96" s="1">
        <f>VLOOKUP($B96&amp;"__wt",'SegEnds_Xtal_BW#'!$A:$Z,16,FALSE)</f>
        <v>63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INDEX(ICL3_classA!$G$2:$G$37,MATCH(MIN(ABS(AI96-ICL3_classA!$F$2:$F$37)),ABS(AI96-ICL3_classA!$F$2:$F$37),0))</f>
        <v>74</v>
      </c>
      <c r="U96" s="1">
        <f t="array" ref="U96">INDEX(ICL3_classA!$H$2:$H$37,MATCH(MIN(ABS(AI96-ICL3_classA!$F$2:$F$37)),ABS(AI96-ICL3_classA!$F$2:$F$37),0))</f>
        <v>21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29</v>
      </c>
      <c r="AC96" s="1" t="e">
        <f>VLOOKUP(A96,'SegEnds_NonXtal_Prot#'!A:AL,10,FALSE)-VLOOKUP(A96,'SegEnds_NonXtal_Prot#'!A:AL,7,FALSE)</f>
        <v>#VALUE!</v>
      </c>
      <c r="AD96" s="1" t="e">
        <f>VLOOKUP(A96,'SegEnds_NonXtal_Prot#'!A:AL,13,FALSE)-VLOOKUP(A96,'SegEnds_NonXtal_Prot#'!A:AL,10,FALSE)</f>
        <v>#VALUE!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21</v>
      </c>
      <c r="AH96" s="1">
        <f>VLOOKUP(A96,'SegEnds_NonXtal_Prot#'!A:AL,28,FALSE)-VLOOKUP(A96,'SegEnds_NonXtal_Prot#'!A:AL,22,FALSE)</f>
        <v>46</v>
      </c>
      <c r="AI96" s="1">
        <f>VLOOKUP(A96,'SegEnds_NonXtal_Prot#'!A:AL,31,FALSE)-VLOOKUP(A96,'SegEnds_NonXtal_Prot#'!A:AL,28,FALSE)</f>
        <v>64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1" t="s">
        <v>214</v>
      </c>
      <c r="B97" s="1" t="str">
        <f>VLOOKUP(A97,Xtal_Templ!A:B,2,FALSE)</f>
        <v>p2ry1_human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 t="str">
        <f>VLOOKUP($B97&amp;"__wt",'SegEnds_Xtal_BW#'!$A:$Z,5,FALSE)</f>
        <v>-</v>
      </c>
      <c r="F97" s="1" t="str">
        <f>VLOOKUP($B97&amp;"__wt",'SegEnds_Xtal_BW#'!$A:$Z,6,FALSE)</f>
        <v>-</v>
      </c>
      <c r="G97" s="1">
        <v>37</v>
      </c>
      <c r="H97" s="12">
        <f>VLOOKUP($B97&amp;"__wt",'SegEnds_Xtal_BW#'!$A:$Z,8,FALSE)</f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f>VLOOKUP($B97&amp;"__wt",'SegEnds_Xtal_BW#'!$A:$Z,15,FALSE)</f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32</v>
      </c>
      <c r="T97" s="1">
        <f t="array" ref="T97">INDEX(ICL3_classA!$G$2:$G$37,MATCH(MIN(ABS(AI97-ICL3_classA!$F$2:$F$37)),ABS(AI97-ICL3_classA!$F$2:$F$37),0))</f>
        <v>67</v>
      </c>
      <c r="U97" s="1">
        <f t="array" ref="U97">INDEX(ICL3_classA!$H$2:$H$37,MATCH(MIN(ABS(AI97-ICL3_classA!$F$2:$F$37)),ABS(AI97-ICL3_classA!$F$2:$F$37),0))</f>
        <v>26</v>
      </c>
      <c r="V97" s="1">
        <v>64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 t="e">
        <f>VLOOKUP(A97,'SegEnds_NonXtal_Prot#'!A:AL,10,FALSE)-VLOOKUP(A97,'SegEnds_NonXtal_Prot#'!A:AL,7,FALSE)</f>
        <v>#VALUE!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 t="e">
        <f>VLOOKUP(A97,'SegEnds_NonXtal_Prot#'!A:AL,22,FALSE)-VLOOKUP(A97,'SegEnds_NonXtal_Prot#'!A:AL,19,FALSE)</f>
        <v>#VALUE!</v>
      </c>
      <c r="AG97" s="1">
        <f>VLOOKUP(A97,'SegEnds_NonXtal_Prot#'!A:AL,28,FALSE)-VLOOKUP(A97,'SegEnds_NonXtal_Prot#'!A:AL,25,FALSE)</f>
        <v>25</v>
      </c>
      <c r="AH97" s="1">
        <f>VLOOKUP(A97,'SegEnds_NonXtal_Prot#'!A:AL,28,FALSE)-VLOOKUP(A97,'SegEnds_NonXtal_Prot#'!A:AL,22,FALSE)</f>
        <v>44</v>
      </c>
      <c r="AI97" s="1">
        <f>VLOOKUP(A97,'SegEnds_NonXtal_Prot#'!A:AL,31,FALSE)-VLOOKUP(A97,'SegEnds_NonXtal_Prot#'!A:AL,28,FALSE)</f>
        <v>46</v>
      </c>
      <c r="AJ97" s="1">
        <f>VLOOKUP(A97,'SegEnds_NonXtal_Prot#'!A:AL,34,FALSE)-VLOOKUP(A97,'SegEnds_NonXtal_Prot#'!A:AL,31,FALSE)</f>
        <v>48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215</v>
      </c>
      <c r="B98" s="1" t="str">
        <f>VLOOKUP(A98,Xtal_Templ!A:B,2,FALSE)</f>
        <v>ox1r_human</v>
      </c>
      <c r="C98" s="5">
        <f>VLOOKUP($B98&amp;"__wt",'SegEnds_Xtal_BW#'!$A:$Z,3,FALSE)</f>
        <v>32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56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32</v>
      </c>
      <c r="T98" s="1">
        <f t="array" ref="T98">INDEX(ICL3_classA!$G$2:$G$37,MATCH(MIN(ABS(AI98-ICL3_classA!$F$2:$F$37)),ABS(AI98-ICL3_classA!$F$2:$F$37),0))</f>
        <v>73</v>
      </c>
      <c r="U98" s="1">
        <f t="array" ref="U98">INDEX(ICL3_classA!$H$2:$H$37,MATCH(MIN(ABS(AI98-ICL3_classA!$F$2:$F$37)),ABS(AI98-ICL3_classA!$F$2:$F$37),0))</f>
        <v>22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58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 t="e">
        <f>VLOOKUP(A98,'SegEnds_NonXtal_Prot#'!A:AL,13,FALSE)-VLOOKUP(A98,'SegEnds_NonXtal_Prot#'!A:AL,10,FALSE)</f>
        <v>#VALUE!</v>
      </c>
      <c r="AE98" s="1">
        <f>VLOOKUP(A98,'SegEnds_NonXtal_Prot#'!A:AL,16,FALSE)-VLOOKUP(A98,'SegEnds_NonXtal_Prot#'!A:AL,10,FALSE)</f>
        <v>60</v>
      </c>
      <c r="AF98" s="1" t="e">
        <f>VLOOKUP(A98,'SegEnds_NonXtal_Prot#'!A:AL,22,FALSE)-VLOOKUP(A98,'SegEnds_NonXtal_Prot#'!A:AL,19,FALSE)</f>
        <v>#VALUE!</v>
      </c>
      <c r="AG98" s="1">
        <f>VLOOKUP(A98,'SegEnds_NonXtal_Prot#'!A:AL,28,FALSE)-VLOOKUP(A98,'SegEnds_NonXtal_Prot#'!A:AL,25,FALSE)</f>
        <v>27</v>
      </c>
      <c r="AH98" s="1">
        <f>VLOOKUP(A98,'SegEnds_NonXtal_Prot#'!A:AL,28,FALSE)-VLOOKUP(A98,'SegEnds_NonXtal_Prot#'!A:AL,22,FALSE)</f>
        <v>55</v>
      </c>
      <c r="AI98" s="1">
        <f>VLOOKUP(A98,'SegEnds_NonXtal_Prot#'!A:AL,31,FALSE)-VLOOKUP(A98,'SegEnds_NonXtal_Prot#'!A:AL,28,FALSE)</f>
        <v>57</v>
      </c>
      <c r="AJ98" s="1">
        <f>VLOOKUP(A98,'SegEnds_NonXtal_Prot#'!A:AL,34,FALSE)-VLOOKUP(A98,'SegEnds_NonXtal_Prot#'!A:AL,31,FALSE)</f>
        <v>38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216</v>
      </c>
      <c r="B99" s="1" t="str">
        <f>VLOOKUP(A99,Xtal_Templ!A:B,2,FALSE)</f>
        <v>5ht2c_human</v>
      </c>
      <c r="C99" s="5">
        <f>VLOOKUP($B99&amp;"__wt",'SegEnds_Xtal_BW#'!$A:$Z,3,FALSE)</f>
        <v>33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"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08">
        <v>56</v>
      </c>
      <c r="O99" s="87">
        <f>VLOOKUP($B99&amp;"__wt",'SegEnds_Xtal_BW#'!$A:$Z,15,FALSE)</f>
        <v>38</v>
      </c>
      <c r="P99" s="1">
        <f>VLOOKUP($B99&amp;"__wt",'SegEnds_Xtal_BW#'!$A:$Z,16,FALSE)</f>
        <v>67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35</v>
      </c>
      <c r="T99" s="1">
        <f t="array" ref="T99">INDEX(ICL3_classA!$G$2:$G$37,MATCH(MIN(ABS(AI99-ICL3_classA!$F$2:$F$37)),ABS(AI99-ICL3_classA!$F$2:$F$37),0))</f>
        <v>68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">
        <v>28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29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53</v>
      </c>
      <c r="AF99" s="1">
        <f>VLOOKUP(A99,'SegEnds_NonXtal_Prot#'!A:AL,22,FALSE)-VLOOKUP(A99,'SegEnds_NonXtal_Prot#'!A:AL,19,FALSE)</f>
        <v>19</v>
      </c>
      <c r="AG99" s="1" t="e">
        <f>VLOOKUP(A99,'SegEnds_NonXtal_Prot#'!A:AL,28,FALSE)-VLOOKUP(A99,'SegEnds_NonXtal_Prot#'!A:AL,25,FALSE)</f>
        <v>#VALUE!</v>
      </c>
      <c r="AH99" s="1">
        <f>VLOOKUP(A99,'SegEnds_NonXtal_Prot#'!A:AL,28,FALSE)-VLOOKUP(A99,'SegEnds_NonXtal_Prot#'!A:AL,22,FALSE)</f>
        <v>43</v>
      </c>
      <c r="AI99" s="1">
        <f>VLOOKUP(A99,'SegEnds_NonXtal_Prot#'!A:AL,31,FALSE)-VLOOKUP(A99,'SegEnds_NonXtal_Prot#'!A:AL,28,FALSE)</f>
        <v>48</v>
      </c>
      <c r="AJ99" s="1">
        <f>VLOOKUP(A99,'SegEnds_NonXtal_Prot#'!A:AL,34,FALSE)-VLOOKUP(A99,'SegEnds_NonXtal_Prot#'!A:AL,31,FALSE)</f>
        <v>39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218</v>
      </c>
      <c r="B100" s="1" t="str">
        <f>VLOOKUP(A100,Xtal_Templ!A:B,2,FALSE)</f>
        <v>drd2_human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"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08">
        <v>56</v>
      </c>
      <c r="O100" s="87">
        <f>VLOOKUP($B100&amp;"__wt",'SegEnds_Xtal_BW#'!$A:$Z,15,FALSE)</f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INDEX(ICL3_classA!$G$2:$G$37,MATCH(MIN(ABS(AI100-ICL3_classA!$F$2:$F$37)),ABS(AI100-ICL3_classA!$F$2:$F$37),0))</f>
        <v>67</v>
      </c>
      <c r="U100" s="1">
        <f t="array" ref="U100">INDEX(ICL3_classA!$H$2:$H$37,MATCH(MIN(ABS(AI100-ICL3_classA!$F$2:$F$37)),ABS(AI100-ICL3_classA!$F$2:$F$37),0))</f>
        <v>26</v>
      </c>
      <c r="V100" s="1">
        <v>61</v>
      </c>
      <c r="W100" s="1">
        <v>28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29</v>
      </c>
      <c r="AC100" s="1" t="e">
        <f>VLOOKUP(A100,'SegEnds_NonXtal_Prot#'!A:AL,10,FALSE)-VLOOKUP(A100,'SegEnds_NonXtal_Prot#'!A:AL,7,FALSE)</f>
        <v>#VALUE!</v>
      </c>
      <c r="AD100" s="1" t="e">
        <f>VLOOKUP(A100,'SegEnds_NonXtal_Prot#'!A:AL,13,FALSE)-VLOOKUP(A100,'SegEnds_NonXtal_Prot#'!A:AL,10,FALSE)</f>
        <v>#VALUE!</v>
      </c>
      <c r="AE100" s="1">
        <f>VLOOKUP(A100,'SegEnds_NonXtal_Prot#'!A:AL,16,FALSE)-VLOOKUP(A100,'SegEnds_NonXtal_Prot#'!A:AL,10,FALSE)</f>
        <v>53</v>
      </c>
      <c r="AF100" s="1">
        <f>VLOOKUP(A100,'SegEnds_NonXtal_Prot#'!A:AL,22,FALSE)-VLOOKUP(A100,'SegEnds_NonXtal_Prot#'!A:AL,19,FALSE)</f>
        <v>19</v>
      </c>
      <c r="AG100" s="1" t="e">
        <f>VLOOKUP(A100,'SegEnds_NonXtal_Prot#'!A:AL,28,FALSE)-VLOOKUP(A100,'SegEnds_NonXtal_Prot#'!A:AL,25,FALSE)</f>
        <v>#VALUE!</v>
      </c>
      <c r="AH100" s="1">
        <f>VLOOKUP(A100,'SegEnds_NonXtal_Prot#'!A:AL,28,FALSE)-VLOOKUP(A100,'SegEnds_NonXtal_Prot#'!A:AL,22,FALSE)</f>
        <v>43</v>
      </c>
      <c r="AI100" s="1">
        <f>VLOOKUP(A100,'SegEnds_NonXtal_Prot#'!A:AL,31,FALSE)-VLOOKUP(A100,'SegEnds_NonXtal_Prot#'!A:AL,28,FALSE)</f>
        <v>47</v>
      </c>
      <c r="AJ100" s="1">
        <f>VLOOKUP(A100,'SegEnds_NonXtal_Prot#'!A:AL,34,FALSE)-VLOOKUP(A100,'SegEnds_NonXtal_Prot#'!A:AL,31,FALSE)</f>
        <v>39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219</v>
      </c>
      <c r="B101" s="1" t="str">
        <f>VLOOKUP(A101,Xtal_Templ!A:B,2,FALSE)</f>
        <v>agtr1_human</v>
      </c>
      <c r="C101" s="5">
        <f>VLOOKUP($B101&amp;"__wt",'SegEnds_Xtal_BW#'!$A:$Z,3,FALSE)</f>
        <v>30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v>63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24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56</v>
      </c>
      <c r="O101" s="87"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34</v>
      </c>
      <c r="T101" s="1">
        <f t="array" ref="T101">INDEX(ICL3_classA!$G$2:$G$37,MATCH(MIN(ABS(AI101-ICL3_classA!$F$2:$F$37)),ABS(AI101-ICL3_classA!$F$2:$F$37),0))</f>
        <v>68</v>
      </c>
      <c r="U101" s="1">
        <f t="array" ref="U101">INDEX(ICL3_classA!$H$2:$H$37,MATCH(MIN(ABS(AI101-ICL3_classA!$F$2:$F$37)),ABS(AI101-ICL3_classA!$F$2:$F$37),0))</f>
        <v>24</v>
      </c>
      <c r="V101" s="1">
        <v>64</v>
      </c>
      <c r="W101" s="1">
        <v>24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61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33</v>
      </c>
      <c r="AC101" s="1" t="e">
        <f>VLOOKUP(A101,'SegEnds_NonXtal_Prot#'!A:AL,10,FALSE)-VLOOKUP(A101,'SegEnds_NonXtal_Prot#'!A:AL,7,FALSE)</f>
        <v>#VALUE!</v>
      </c>
      <c r="AD101" s="1">
        <f>VLOOKUP(A101,'SegEnds_NonXtal_Prot#'!A:AL,13,FALSE)-VLOOKUP(A101,'SegEnds_NonXtal_Prot#'!A:AL,10,FALSE)</f>
        <v>17</v>
      </c>
      <c r="AE101" s="1">
        <f>VLOOKUP(A101,'SegEnds_NonXtal_Prot#'!A:AL,16,FALSE)-VLOOKUP(A101,'SegEnds_NonXtal_Prot#'!A:AL,10,FALSE)</f>
        <v>49</v>
      </c>
      <c r="AF101" s="1" t="e">
        <f>VLOOKUP(A101,'SegEnds_NonXtal_Prot#'!A:AL,22,FALSE)-VLOOKUP(A101,'SegEnds_NonXtal_Prot#'!A:AL,19,FALSE)</f>
        <v>#VALUE!</v>
      </c>
      <c r="AG101" s="1" t="e">
        <f>VLOOKUP(A101,'SegEnds_NonXtal_Prot#'!A:AL,28,FALSE)-VLOOKUP(A101,'SegEnds_NonXtal_Prot#'!A:AL,25,FALSE)</f>
        <v>#VALUE!</v>
      </c>
      <c r="AH101" s="1">
        <f>VLOOKUP(A101,'SegEnds_NonXtal_Prot#'!A:AL,28,FALSE)-VLOOKUP(A101,'SegEnds_NonXtal_Prot#'!A:AL,22,FALSE)</f>
        <v>47</v>
      </c>
      <c r="AI101" s="1">
        <f>VLOOKUP(A101,'SegEnds_NonXtal_Prot#'!A:AL,31,FALSE)-VLOOKUP(A101,'SegEnds_NonXtal_Prot#'!A:AL,28,FALSE)</f>
        <v>49</v>
      </c>
      <c r="AJ101" s="1">
        <f>VLOOKUP(A101,'SegEnds_NonXtal_Prot#'!A:AL,34,FALSE)-VLOOKUP(A101,'SegEnds_NonXtal_Prot#'!A:AL,31,FALSE)</f>
        <v>45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221</v>
      </c>
      <c r="B102" s="1" t="str">
        <f>VLOOKUP(A102,Xtal_Templ!A:B,2,FALSE)</f>
        <v>s1pr1_human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67</v>
      </c>
      <c r="I102" s="1">
        <f>VLOOKUP($B102&amp;"__wt",'SegEnds_Xtal_BW#'!$A:$Z,9,FALSE)</f>
        <v>47</v>
      </c>
      <c r="J102" s="1">
        <f>VLOOKUP($B102&amp;"__wt",'SegEnds_Xtal_BW#'!$A:$Z,10,FALSE)</f>
        <v>53</v>
      </c>
      <c r="K102" s="12">
        <v>18</v>
      </c>
      <c r="L102" s="1">
        <f>VLOOKUP($B102&amp;"__wt",'SegEnds_Xtal_BW#'!$A:$Z,12,FALSE)</f>
        <v>56</v>
      </c>
      <c r="M102" s="108" t="s">
        <v>23</v>
      </c>
      <c r="N102" s="12" t="s">
        <v>23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" t="str">
        <f>VLOOKUP($B102&amp;"__wt",'SegEnds_Xtal_BW#'!$A:$Z,17,FALSE)</f>
        <v>-</v>
      </c>
      <c r="R102" s="1" t="str">
        <f>VLOOKUP($B102&amp;"__wt",'SegEnds_Xtal_BW#'!$A:$Z,18,FALSE)</f>
        <v>-</v>
      </c>
      <c r="S102" s="1">
        <f>VLOOKUP($B102&amp;"__wt",'SegEnds_Xtal_BW#'!$A:$Z,19,FALSE)</f>
        <v>36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61</v>
      </c>
      <c r="W102" s="1">
        <v>32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29</v>
      </c>
      <c r="AC102" s="1" t="e">
        <f>VLOOKUP(A102,'SegEnds_NonXtal_Prot#'!A:AL,10,FALSE)-VLOOKUP(A102,'SegEnds_NonXtal_Prot#'!A:AL,7,FALSE)</f>
        <v>#VALUE!</v>
      </c>
      <c r="AD102" s="1">
        <f>VLOOKUP(A102,'SegEnds_NonXtal_Prot#'!A:AL,13,FALSE)-VLOOKUP(A102,'SegEnds_NonXtal_Prot#'!A:AL,10,FALSE)</f>
        <v>26</v>
      </c>
      <c r="AE102" s="1">
        <f>VLOOKUP(A102,'SegEnds_NonXtal_Prot#'!A:AL,16,FALSE)-VLOOKUP(A102,'SegEnds_NonXtal_Prot#'!A:AL,10,FALSE)</f>
        <v>69</v>
      </c>
      <c r="AF102" s="1" t="e">
        <f>VLOOKUP(A102,'SegEnds_NonXtal_Prot#'!A:AL,22,FALSE)-VLOOKUP(A102,'SegEnds_NonXtal_Prot#'!A:AL,19,FALSE)</f>
        <v>#VALUE!</v>
      </c>
      <c r="AG102" s="1" t="e">
        <f>VLOOKUP(A102,'SegEnds_NonXtal_Prot#'!A:AL,28,FALSE)-VLOOKUP(A102,'SegEnds_NonXtal_Prot#'!A:AL,25,FALSE)</f>
        <v>#VALUE!</v>
      </c>
      <c r="AH102" s="1">
        <f>VLOOKUP(A102,'SegEnds_NonXtal_Prot#'!A:AL,28,FALSE)-VLOOKUP(A102,'SegEnds_NonXtal_Prot#'!A:AL,22,FALSE)</f>
        <v>53</v>
      </c>
      <c r="AI102" s="1">
        <f>VLOOKUP(A102,'SegEnds_NonXtal_Prot#'!A:AL,31,FALSE)-VLOOKUP(A102,'SegEnds_NonXtal_Prot#'!A:AL,28,FALSE)</f>
        <v>114</v>
      </c>
      <c r="AJ102" s="1">
        <f>VLOOKUP(A102,'SegEnds_NonXtal_Prot#'!A:AL,34,FALSE)-VLOOKUP(A102,'SegEnds_NonXtal_Prot#'!A:AL,31,FALSE)</f>
        <v>34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222</v>
      </c>
      <c r="B103" s="1" t="str">
        <f>VLOOKUP(A103,Xtal_Templ!A:B,2,FALSE)</f>
        <v>ox2r_human</v>
      </c>
      <c r="C103" s="5">
        <f>VLOOKUP($B103&amp;"__wt",'SegEnds_Xtal_BW#'!$A:$Z,3,FALSE)</f>
        <v>31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53</v>
      </c>
      <c r="O103" s="87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33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21</v>
      </c>
      <c r="V103" s="1">
        <v>61</v>
      </c>
      <c r="W103" s="1">
        <v>28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33</v>
      </c>
      <c r="AC103" s="1" t="e">
        <f>VLOOKUP(A103,'SegEnds_NonXtal_Prot#'!A:AL,10,FALSE)-VLOOKUP(A103,'SegEnds_NonXtal_Prot#'!A:AL,7,FALSE)</f>
        <v>#VALUE!</v>
      </c>
      <c r="AD103" s="1" t="e">
        <f>VLOOKUP(A103,'SegEnds_NonXtal_Prot#'!A:AL,13,FALSE)-VLOOKUP(A103,'SegEnds_NonXtal_Prot#'!A:AL,10,FALSE)</f>
        <v>#VALUE!</v>
      </c>
      <c r="AE103" s="1">
        <f>VLOOKUP(A103,'SegEnds_NonXtal_Prot#'!A:AL,16,FALSE)-VLOOKUP(A103,'SegEnds_NonXtal_Prot#'!A:AL,10,FALSE)</f>
        <v>54</v>
      </c>
      <c r="AF103" s="1" t="e">
        <f>VLOOKUP(A103,'SegEnds_NonXtal_Prot#'!A:AL,22,FALSE)-VLOOKUP(A103,'SegEnds_NonXtal_Prot#'!A:AL,19,FALSE)</f>
        <v>#VALUE!</v>
      </c>
      <c r="AG103" s="1">
        <f>VLOOKUP(A103,'SegEnds_NonXtal_Prot#'!A:AL,28,FALSE)-VLOOKUP(A103,'SegEnds_NonXtal_Prot#'!A:AL,25,FALSE)</f>
        <v>27</v>
      </c>
      <c r="AH103" s="1">
        <f>VLOOKUP(A103,'SegEnds_NonXtal_Prot#'!A:AL,28,FALSE)-VLOOKUP(A103,'SegEnds_NonXtal_Prot#'!A:AL,22,FALSE)</f>
        <v>75</v>
      </c>
      <c r="AI103" s="1">
        <f>VLOOKUP(A103,'SegEnds_NonXtal_Prot#'!A:AL,31,FALSE)-VLOOKUP(A103,'SegEnds_NonXtal_Prot#'!A:AL,28,FALSE)</f>
        <v>66</v>
      </c>
      <c r="AJ103" s="1">
        <f>VLOOKUP(A103,'SegEnds_NonXtal_Prot#'!A:AL,34,FALSE)-VLOOKUP(A103,'SegEnds_NonXtal_Prot#'!A:AL,31,FALSE)</f>
        <v>39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223</v>
      </c>
      <c r="B104" s="1" t="str">
        <f>VLOOKUP(A104,Xtal_Templ!A:B,2,FALSE)</f>
        <v>agtr2_human</v>
      </c>
      <c r="C104" s="5">
        <f>VLOOKUP($B104&amp;"__wt",'SegEnds_Xtal_BW#'!$A:$Z,3,FALSE)</f>
        <v>33</v>
      </c>
      <c r="D104" s="1">
        <f>VLOOKUP($B104&amp;"__wt",'SegEnds_Xtal_BW#'!$A:$Z,4,FALSE)</f>
        <v>60</v>
      </c>
      <c r="E104" s="1" t="str">
        <f>VLOOKUP($B104&amp;"__wt",'SegEnds_Xtal_BW#'!$A:$Z,5,FALSE)</f>
        <v>-</v>
      </c>
      <c r="F104" s="1" t="str">
        <f>VLOOKUP($B104&amp;"__wt",'SegEnds_Xtal_BW#'!$A:$Z,6,FALSE)</f>
        <v>-</v>
      </c>
      <c r="G104" s="1">
        <v>37</v>
      </c>
      <c r="H104" s="12">
        <f>VLOOKUP($B104&amp;"__wt",'SegEnds_Xtal_BW#'!$A:$Z,8,FALSE)</f>
        <v>66</v>
      </c>
      <c r="I104" s="1">
        <f>VLOOKUP($B104&amp;"__wt",'SegEnds_Xtal_BW#'!$A:$Z,9,FALSE)</f>
        <v>47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56</v>
      </c>
      <c r="O104" s="87">
        <f>VLOOKUP($B104&amp;"__wt",'SegEnds_Xtal_BW#'!$A:$Z,15,FALSE)</f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30</v>
      </c>
      <c r="T104" s="1">
        <f t="array" ref="T104">INDEX(ICL3_classA!$G$2:$G$37,MATCH(MIN(ABS(AI104-ICL3_classA!$F$2:$F$37)),ABS(AI104-ICL3_classA!$F$2:$F$37),0))</f>
        <v>68</v>
      </c>
      <c r="U104" s="1">
        <f t="array" ref="U104">INDEX(ICL3_classA!$H$2:$H$37,MATCH(MIN(ABS(AI104-ICL3_classA!$F$2:$F$37)),ABS(AI104-ICL3_classA!$F$2:$F$37),0))</f>
        <v>23</v>
      </c>
      <c r="V104" s="1">
        <v>61</v>
      </c>
      <c r="W104" s="1">
        <v>28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61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30</v>
      </c>
      <c r="AC104" s="1" t="e">
        <f>VLOOKUP(A104,'SegEnds_NonXtal_Prot#'!A:AL,10,FALSE)-VLOOKUP(A104,'SegEnds_NonXtal_Prot#'!A:AL,7,FALSE)</f>
        <v>#VALUE!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19</v>
      </c>
      <c r="AG104" s="1">
        <f>VLOOKUP(A104,'SegEnds_NonXtal_Prot#'!A:AL,28,FALSE)-VLOOKUP(A104,'SegEnds_NonXtal_Prot#'!A:AL,25,FALSE)</f>
        <v>27</v>
      </c>
      <c r="AH104" s="1">
        <f>VLOOKUP(A104,'SegEnds_NonXtal_Prot#'!A:AL,28,FALSE)-VLOOKUP(A104,'SegEnds_NonXtal_Prot#'!A:AL,22,FALSE)</f>
        <v>52</v>
      </c>
      <c r="AI104" s="1">
        <f>VLOOKUP(A104,'SegEnds_NonXtal_Prot#'!A:AL,31,FALSE)-VLOOKUP(A104,'SegEnds_NonXtal_Prot#'!A:AL,28,FALSE)</f>
        <v>51</v>
      </c>
      <c r="AJ104" s="1">
        <f>VLOOKUP(A104,'SegEnds_NonXtal_Prot#'!A:AL,34,FALSE)-VLOOKUP(A104,'SegEnds_NonXtal_Prot#'!A:AL,31,FALSE)</f>
        <v>38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224</v>
      </c>
      <c r="B105" s="1" t="str">
        <f>VLOOKUP(A105,Xtal_Templ!A:B,2,FALSE)</f>
        <v>pd2r2_human</v>
      </c>
      <c r="C105" s="5">
        <f>VLOOKUP($B105&amp;"__wt",'SegEnds_Xtal_BW#'!$A:$Z,3,FALSE)</f>
        <v>32</v>
      </c>
      <c r="D105" s="1">
        <f>VLOOKUP($B105&amp;"__wt",'SegEnds_Xtal_BW#'!$A:$Z,4,FALSE)</f>
        <v>60</v>
      </c>
      <c r="E105" s="1" t="str">
        <f>VLOOKUP($B105&amp;"__wt",'SegEnds_Xtal_BW#'!$A:$Z,5,FALSE)</f>
        <v>-</v>
      </c>
      <c r="F105" s="1" t="str">
        <f>VLOOKUP($B105&amp;"__wt",'SegEnds_Xtal_BW#'!$A:$Z,6,FALSE)</f>
        <v>-</v>
      </c>
      <c r="G105" s="1">
        <v>37</v>
      </c>
      <c r="H105" s="12"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INDEX(ICL3_classA!$G$2:$G$37,MATCH(MIN(ABS(AI105-ICL3_classA!$F$2:$F$37)),ABS(AI105-ICL3_classA!$F$2:$F$37),0))</f>
        <v>68</v>
      </c>
      <c r="U105" s="1">
        <f t="array" ref="U105">INDEX(ICL3_classA!$H$2:$H$37,MATCH(MIN(ABS(AI105-ICL3_classA!$F$2:$F$37)),ABS(AI105-ICL3_classA!$F$2:$F$37),0))</f>
        <v>24</v>
      </c>
      <c r="V105" s="1">
        <v>61</v>
      </c>
      <c r="W105" s="1">
        <v>28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64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30</v>
      </c>
      <c r="AC105" s="1" t="e">
        <f>VLOOKUP(A105,'SegEnds_NonXtal_Prot#'!A:AL,10,FALSE)-VLOOKUP(A105,'SegEnds_NonXtal_Prot#'!A:AL,7,FALSE)</f>
        <v>#VALUE!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22</v>
      </c>
      <c r="AH105" s="1">
        <f>VLOOKUP(A105,'SegEnds_NonXtal_Prot#'!A:AL,28,FALSE)-VLOOKUP(A105,'SegEnds_NonXtal_Prot#'!A:AL,22,FALSE)</f>
        <v>48</v>
      </c>
      <c r="AI105" s="1">
        <f>VLOOKUP(A105,'SegEnds_NonXtal_Prot#'!A:AL,31,FALSE)-VLOOKUP(A105,'SegEnds_NonXtal_Prot#'!A:AL,28,FALSE)</f>
        <v>48</v>
      </c>
      <c r="AJ105" s="1">
        <f>VLOOKUP(A105,'SegEnds_NonXtal_Prot#'!A:AL,34,FALSE)-VLOOKUP(A105,'SegEnds_NonXtal_Prot#'!A:AL,31,FALSE)</f>
        <v>40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226</v>
      </c>
      <c r="B106" s="1" t="str">
        <f>VLOOKUP(A106,Xtal_Templ!A:B,2,FALSE)</f>
        <v>par1_human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73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61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27</v>
      </c>
      <c r="AC106" s="1" t="e">
        <f>VLOOKUP(A106,'SegEnds_NonXtal_Prot#'!A:AL,10,FALSE)-VLOOKUP(A106,'SegEnds_NonXtal_Prot#'!A:AL,7,FALSE)</f>
        <v>#VALUE!</v>
      </c>
      <c r="AD106" s="1" t="e">
        <f>VLOOKUP(A106,'SegEnds_NonXtal_Prot#'!A:AL,13,FALSE)-VLOOKUP(A106,'SegEnds_NonXtal_Prot#'!A:AL,10,FALSE)</f>
        <v>#VALUE!</v>
      </c>
      <c r="AE106" s="1">
        <f>VLOOKUP(A106,'SegEnds_NonXtal_Prot#'!A:AL,16,FALSE)-VLOOKUP(A106,'SegEnds_NonXtal_Prot#'!A:AL,10,FALSE)</f>
        <v>54</v>
      </c>
      <c r="AF106" s="1" t="e">
        <f>VLOOKUP(A106,'SegEnds_NonXtal_Prot#'!A:AL,22,FALSE)-VLOOKUP(A106,'SegEnds_NonXtal_Prot#'!A:AL,19,FALSE)</f>
        <v>#VALUE!</v>
      </c>
      <c r="AG106" s="1">
        <f>VLOOKUP(A106,'SegEnds_NonXtal_Prot#'!A:AL,28,FALSE)-VLOOKUP(A106,'SegEnds_NonXtal_Prot#'!A:AL,25,FALSE)</f>
        <v>22</v>
      </c>
      <c r="AH106" s="1">
        <f>VLOOKUP(A106,'SegEnds_NonXtal_Prot#'!A:AL,28,FALSE)-VLOOKUP(A106,'SegEnds_NonXtal_Prot#'!A:AL,22,FALSE)</f>
        <v>49</v>
      </c>
      <c r="AI106" s="1">
        <f>VLOOKUP(A106,'SegEnds_NonXtal_Prot#'!A:AL,31,FALSE)-VLOOKUP(A106,'SegEnds_NonXtal_Prot#'!A:AL,28,FALSE)</f>
        <v>58</v>
      </c>
      <c r="AJ106" s="1">
        <f>VLOOKUP(A106,'SegEnds_NonXtal_Prot#'!A:AL,34,FALSE)-VLOOKUP(A106,'SegEnds_NonXtal_Prot#'!A:AL,31,FALSE)</f>
        <v>35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227</v>
      </c>
      <c r="B107" s="1" t="str">
        <f>VLOOKUP(A107,Xtal_Templ!A:B,2,FALSE)</f>
        <v>5ht1b_human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7">
        <v>38</v>
      </c>
      <c r="P107" s="1"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76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58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22</v>
      </c>
      <c r="AH107" s="1">
        <f>VLOOKUP(A107,'SegEnds_NonXtal_Prot#'!A:AL,28,FALSE)-VLOOKUP(A107,'SegEnds_NonXtal_Prot#'!A:AL,22,FALSE)</f>
        <v>48</v>
      </c>
      <c r="AI107" s="1">
        <f>VLOOKUP(A107,'SegEnds_NonXtal_Prot#'!A:AL,31,FALSE)-VLOOKUP(A107,'SegEnds_NonXtal_Prot#'!A:AL,28,FALSE)</f>
        <v>85</v>
      </c>
      <c r="AJ107" s="1">
        <f>VLOOKUP(A107,'SegEnds_NonXtal_Prot#'!A:AL,34,FALSE)-VLOOKUP(A107,'SegEnds_NonXtal_Prot#'!A:AL,31,FALSE)</f>
        <v>36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229</v>
      </c>
      <c r="B108" s="1" t="str">
        <f>VLOOKUP(A108,Xtal_Templ!A:B,2,FALSE)</f>
        <v>p2y12_human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 t="str">
        <f>VLOOKUP($B108&amp;"__wt",'SegEnds_Xtal_BW#'!$A:$Z,9,FALSE)</f>
        <v>-</v>
      </c>
      <c r="J108" s="1" t="str">
        <f>VLOOKUP($B108&amp;"__wt",'SegEnds_Xtal_BW#'!$A:$Z,10,FALSE)</f>
        <v>-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30</v>
      </c>
      <c r="T108" s="1">
        <f t="array" ref="T108">INDEX(ICL3_classA!$G$2:$G$37,MATCH(MIN(ABS(AI108-ICL3_classA!$F$2:$F$37)),ABS(AI108-ICL3_classA!$F$2:$F$37),0))</f>
        <v>67</v>
      </c>
      <c r="U108" s="1">
        <f t="array" ref="U108">INDEX(ICL3_classA!$H$2:$H$37,MATCH(MIN(ABS(AI108-ICL3_classA!$F$2:$F$37)),ABS(AI108-ICL3_classA!$F$2:$F$37),0))</f>
        <v>26</v>
      </c>
      <c r="V108" s="1">
        <v>64</v>
      </c>
      <c r="W108" s="1">
        <v>24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57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 t="e">
        <f>VLOOKUP(A108,'SegEnds_NonXtal_Prot#'!A:AL,10,FALSE)-VLOOKUP(A108,'SegEnds_NonXtal_Prot#'!A:AL,7,FALSE)</f>
        <v>#VALUE!</v>
      </c>
      <c r="AD108" s="1" t="e">
        <f>VLOOKUP(A108,'SegEnds_NonXtal_Prot#'!A:AL,13,FALSE)-VLOOKUP(A108,'SegEnds_NonXtal_Prot#'!A:AL,10,FALSE)</f>
        <v>#VALUE!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26</v>
      </c>
      <c r="AH108" s="1">
        <f>VLOOKUP(A108,'SegEnds_NonXtal_Prot#'!A:AL,28,FALSE)-VLOOKUP(A108,'SegEnds_NonXtal_Prot#'!A:AL,22,FALSE)</f>
        <v>52</v>
      </c>
      <c r="AI108" s="1">
        <f>VLOOKUP(A108,'SegEnds_NonXtal_Prot#'!A:AL,31,FALSE)-VLOOKUP(A108,'SegEnds_NonXtal_Prot#'!A:AL,28,FALSE)</f>
        <v>47</v>
      </c>
      <c r="AJ108" s="1">
        <f>VLOOKUP(A108,'SegEnds_NonXtal_Prot#'!A:AL,34,FALSE)-VLOOKUP(A108,'SegEnds_NonXtal_Prot#'!A:AL,31,FALSE)</f>
        <v>44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230</v>
      </c>
      <c r="B109" s="1" t="str">
        <f>VLOOKUP(A109,Xtal_Templ!A:B,2,FALSE)</f>
        <v>ox1r_human</v>
      </c>
      <c r="C109" s="5">
        <f>VLOOKUP($B109&amp;"__wt",'SegEnds_Xtal_BW#'!$A:$Z,3,FALSE)</f>
        <v>32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INDEX(ICL3_classA!$G$2:$G$37,MATCH(MIN(ABS(AI109-ICL3_classA!$F$2:$F$37)),ABS(AI109-ICL3_classA!$F$2:$F$37),0))</f>
        <v>74</v>
      </c>
      <c r="U109" s="1">
        <f t="array" ref="U109">INDEX(ICL3_classA!$H$2:$H$37,MATCH(MIN(ABS(AI109-ICL3_classA!$F$2:$F$37)),ABS(AI109-ICL3_classA!$F$2:$F$37),0))</f>
        <v>21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58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21</v>
      </c>
      <c r="AE109" s="1">
        <f>VLOOKUP(A109,'SegEnds_NonXtal_Prot#'!A:AL,16,FALSE)-VLOOKUP(A109,'SegEnds_NonXtal_Prot#'!A:AL,10,FALSE)</f>
        <v>53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61</v>
      </c>
      <c r="AH109" s="1">
        <f>VLOOKUP(A109,'SegEnds_NonXtal_Prot#'!A:AL,28,FALSE)-VLOOKUP(A109,'SegEnds_NonXtal_Prot#'!A:AL,22,FALSE)</f>
        <v>87</v>
      </c>
      <c r="AI109" s="1">
        <f>VLOOKUP(A109,'SegEnds_NonXtal_Prot#'!A:AL,31,FALSE)-VLOOKUP(A109,'SegEnds_NonXtal_Prot#'!A:AL,28,FALSE)</f>
        <v>66</v>
      </c>
      <c r="AJ109" s="1">
        <f>VLOOKUP(A109,'SegEnds_NonXtal_Prot#'!A:AL,34,FALSE)-VLOOKUP(A109,'SegEnds_NonXtal_Prot#'!A:AL,31,FALSE)</f>
        <v>36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231</v>
      </c>
      <c r="B110" s="1" t="str">
        <f>VLOOKUP(A110,Xtal_Templ!A:B,2,FALSE)</f>
        <v>p2ry1_human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 t="str">
        <f>VLOOKUP($B110&amp;"__wt",'SegEnds_Xtal_BW#'!$A:$Z,5,FALSE)</f>
        <v>-</v>
      </c>
      <c r="F110" s="1" t="str">
        <f>VLOOKUP($B110&amp;"__wt",'SegEnds_Xtal_BW#'!$A:$Z,6,FALSE)</f>
        <v>-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08">
        <v>56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24</v>
      </c>
      <c r="V110" s="1">
        <v>64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19</v>
      </c>
      <c r="AE110" s="1">
        <f>VLOOKUP(A110,'SegEnds_NonXtal_Prot#'!A:AL,16,FALSE)-VLOOKUP(A110,'SegEnds_NonXtal_Prot#'!A:AL,10,FALSE)</f>
        <v>51</v>
      </c>
      <c r="AF110" s="1">
        <f>VLOOKUP(A110,'SegEnds_NonXtal_Prot#'!A:AL,22,FALSE)-VLOOKUP(A110,'SegEnds_NonXtal_Prot#'!A:AL,19,FALSE)</f>
        <v>19</v>
      </c>
      <c r="AG110" s="1">
        <f>VLOOKUP(A110,'SegEnds_NonXtal_Prot#'!A:AL,28,FALSE)-VLOOKUP(A110,'SegEnds_NonXtal_Prot#'!A:AL,25,FALSE)</f>
        <v>29</v>
      </c>
      <c r="AH110" s="1">
        <f>VLOOKUP(A110,'SegEnds_NonXtal_Prot#'!A:AL,28,FALSE)-VLOOKUP(A110,'SegEnds_NonXtal_Prot#'!A:AL,22,FALSE)</f>
        <v>55</v>
      </c>
      <c r="AI110" s="1">
        <f>VLOOKUP(A110,'SegEnds_NonXtal_Prot#'!A:AL,31,FALSE)-VLOOKUP(A110,'SegEnds_NonXtal_Prot#'!A:AL,28,FALSE)</f>
        <v>48</v>
      </c>
      <c r="AJ110" s="1">
        <f>VLOOKUP(A110,'SegEnds_NonXtal_Prot#'!A:AL,34,FALSE)-VLOOKUP(A110,'SegEnds_NonXtal_Prot#'!A:AL,31,FALSE)</f>
        <v>44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232</v>
      </c>
      <c r="B111" s="1" t="str">
        <f>VLOOKUP(A111,Xtal_Templ!A:B,2,FALSE)</f>
        <v>ox1r_human</v>
      </c>
      <c r="C111" s="5">
        <f>VLOOKUP($B111&amp;"__wt",'SegEnds_Xtal_BW#'!$A:$Z,3,FALSE)</f>
        <v>32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56</v>
      </c>
      <c r="O111" s="87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32</v>
      </c>
      <c r="T111" s="1">
        <f t="array" ref="T111">INDEX(ICL3_classA!$G$2:$G$37,MATCH(MIN(ABS(AI111-ICL3_classA!$F$2:$F$37)),ABS(AI111-ICL3_classA!$F$2:$F$37),0))</f>
        <v>74</v>
      </c>
      <c r="U111" s="1">
        <f t="array" ref="U111">INDEX(ICL3_classA!$H$2:$H$37,MATCH(MIN(ABS(AI111-ICL3_classA!$F$2:$F$37)),ABS(AI111-ICL3_classA!$F$2:$F$37),0))</f>
        <v>21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22</v>
      </c>
      <c r="AE111" s="1">
        <f>VLOOKUP(A111,'SegEnds_NonXtal_Prot#'!A:AL,16,FALSE)-VLOOKUP(A111,'SegEnds_NonXtal_Prot#'!A:AL,10,FALSE)</f>
        <v>55</v>
      </c>
      <c r="AF111" s="1" t="e">
        <f>VLOOKUP(A111,'SegEnds_NonXtal_Prot#'!A:AL,22,FALSE)-VLOOKUP(A111,'SegEnds_NonXtal_Prot#'!A:AL,19,FALSE)</f>
        <v>#VALUE!</v>
      </c>
      <c r="AG111" s="1">
        <f>VLOOKUP(A111,'SegEnds_NonXtal_Prot#'!A:AL,28,FALSE)-VLOOKUP(A111,'SegEnds_NonXtal_Prot#'!A:AL,25,FALSE)</f>
        <v>25</v>
      </c>
      <c r="AH111" s="1">
        <f>VLOOKUP(A111,'SegEnds_NonXtal_Prot#'!A:AL,28,FALSE)-VLOOKUP(A111,'SegEnds_NonXtal_Prot#'!A:AL,22,FALSE)</f>
        <v>50</v>
      </c>
      <c r="AI111" s="1">
        <f>VLOOKUP(A111,'SegEnds_NonXtal_Prot#'!A:AL,31,FALSE)-VLOOKUP(A111,'SegEnds_NonXtal_Prot#'!A:AL,28,FALSE)</f>
        <v>64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233</v>
      </c>
      <c r="B112" s="1" t="str">
        <f>VLOOKUP(A112,Xtal_Templ!A:B,2,FALSE)</f>
        <v>apj_human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52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68</v>
      </c>
      <c r="U112" s="1">
        <f t="array" ref="U112">INDEX(ICL3_classA!$H$2:$H$37,MATCH(MIN(ABS(AI112-ICL3_classA!$F$2:$F$37)),ABS(AI112-ICL3_classA!$F$2:$F$37),0))</f>
        <v>30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28</v>
      </c>
      <c r="AH112" s="1">
        <f>VLOOKUP(A112,'SegEnds_NonXtal_Prot#'!A:AL,28,FALSE)-VLOOKUP(A112,'SegEnds_NonXtal_Prot#'!A:AL,22,FALSE)</f>
        <v>52</v>
      </c>
      <c r="AI112" s="1">
        <f>VLOOKUP(A112,'SegEnds_NonXtal_Prot#'!A:AL,31,FALSE)-VLOOKUP(A112,'SegEnds_NonXtal_Prot#'!A:AL,28,FALSE)</f>
        <v>43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234</v>
      </c>
      <c r="B113" s="1" t="str">
        <f>VLOOKUP(A113,Xtal_Templ!A:B,2,FALSE)</f>
        <v>ccr5_human</v>
      </c>
      <c r="C113" s="5">
        <f>VLOOKUP($B113&amp;"__wt",'SegEnds_Xtal_BW#'!$A:$Z,3,FALSE)</f>
        <v>24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23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27</v>
      </c>
      <c r="AH113" s="1">
        <f>VLOOKUP(A113,'SegEnds_NonXtal_Prot#'!A:AL,28,FALSE)-VLOOKUP(A113,'SegEnds_NonXtal_Prot#'!A:AL,22,FALSE)</f>
        <v>52</v>
      </c>
      <c r="AI113" s="1">
        <f>VLOOKUP(A113,'SegEnds_NonXtal_Prot#'!A:AL,31,FALSE)-VLOOKUP(A113,'SegEnds_NonXtal_Prot#'!A:AL,28,FALSE)</f>
        <v>51</v>
      </c>
      <c r="AJ113" s="1">
        <f>VLOOKUP(A113,'SegEnds_NonXtal_Prot#'!A:AL,34,FALSE)-VLOOKUP(A113,'SegEnds_NonXtal_Prot#'!A:AL,31,FALSE)</f>
        <v>46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4" t="s">
        <v>235</v>
      </c>
      <c r="B114" s="4" t="str">
        <f>VLOOKUP(A114,Xtal_Templ!A:B,2,FALSE)</f>
        <v>lpar1_human</v>
      </c>
      <c r="C114" s="5">
        <f>VLOOKUP($B114&amp;"__wt",'SegEnds_Xtal_BW#'!$A:$Z,3,FALSE)</f>
        <v>30</v>
      </c>
      <c r="D114" s="4">
        <f>VLOOKUP($B114&amp;"__wt",'SegEnds_Xtal_BW#'!$A:$Z,4,FALSE)</f>
        <v>60</v>
      </c>
      <c r="E114" s="4">
        <f>VLOOKUP($B114&amp;"__wt",'SegEnds_Xtal_BW#'!$A:$Z,5,FALSE)</f>
        <v>48</v>
      </c>
      <c r="F114" s="4">
        <f>VLOOKUP($B114&amp;"__wt",'SegEnds_Xtal_BW#'!$A:$Z,6,FALSE)</f>
        <v>51</v>
      </c>
      <c r="G114" s="4">
        <v>37</v>
      </c>
      <c r="H114" s="11">
        <v>66</v>
      </c>
      <c r="I114" s="4">
        <v>48</v>
      </c>
      <c r="J114" s="4">
        <v>52</v>
      </c>
      <c r="K114" s="11">
        <v>24</v>
      </c>
      <c r="L114" s="4">
        <f>VLOOKUP($B114&amp;"__wt",'SegEnds_Xtal_BW#'!$A:$Z,12,FALSE)</f>
        <v>56</v>
      </c>
      <c r="M114" s="4">
        <f>VLOOKUP($B114&amp;"__wt",'SegEnds_Xtal_BW#'!$A:$Z,13,FALSE)</f>
        <v>50</v>
      </c>
      <c r="N114" s="11">
        <f>VLOOKUP($B114&amp;"__wt",'SegEnds_Xtal_BW#'!$A:$Z,14,FALSE)</f>
        <v>56</v>
      </c>
      <c r="O114" s="88">
        <v>38</v>
      </c>
      <c r="P114" s="4">
        <f>VLOOKUP($B114&amp;"__wt",'SegEnds_Xtal_BW#'!$A:$Z,16,FALSE)</f>
        <v>63</v>
      </c>
      <c r="Q114" s="115">
        <v>50</v>
      </c>
      <c r="R114" s="115">
        <v>52</v>
      </c>
      <c r="S114" s="4">
        <v>35</v>
      </c>
      <c r="T114" s="4">
        <f t="array" ref="T114">INDEX(ICL3_classA!$G$2:$G$37,MATCH(MIN(ABS(AI114-ICL3_classA!$F$2:$F$37)),ABS(AI114-ICL3_classA!$F$2:$F$37),0))</f>
        <v>74</v>
      </c>
      <c r="U114" s="4">
        <f t="array" ref="U114">INDEX(ICL3_classA!$H$2:$H$37,MATCH(MIN(ABS(AI114-ICL3_classA!$F$2:$F$37)),ABS(AI114-ICL3_classA!$F$2:$F$37),0))</f>
        <v>21</v>
      </c>
      <c r="V114" s="4">
        <v>61</v>
      </c>
      <c r="W114" s="4">
        <v>28</v>
      </c>
      <c r="X114" s="4">
        <f>VLOOKUP($B114&amp;"__wt",'SegEnds_Xtal_BW#'!$A:$Z,24,FALSE)</f>
        <v>56</v>
      </c>
      <c r="Y114" s="4">
        <f>VLOOKUP($B114&amp;"__wt",'SegEnds_Xtal_BW#'!$A:$Z,25,FALSE)</f>
        <v>47</v>
      </c>
      <c r="Z114" s="4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29</v>
      </c>
      <c r="AC114" s="4">
        <f>VLOOKUP(A114,'SegEnds_NonXtal_Prot#'!A:AL,10,FALSE)-VLOOKUP(A114,'SegEnds_NonXtal_Prot#'!A:AL,7,FALSE)</f>
        <v>16</v>
      </c>
      <c r="AD114" s="4" t="e">
        <f>VLOOKUP(A114,'SegEnds_NonXtal_Prot#'!A:AL,13,FALSE)-VLOOKUP(A114,'SegEnds_NonXtal_Prot#'!A:AL,10,FALSE)</f>
        <v>#VALUE!</v>
      </c>
      <c r="AE114" s="4">
        <f>VLOOKUP(A114,'SegEnds_NonXtal_Prot#'!A:AL,16,FALSE)-VLOOKUP(A114,'SegEnds_NonXtal_Prot#'!A:AL,10,FALSE)</f>
        <v>49</v>
      </c>
      <c r="AF114" s="1" t="e">
        <f>VLOOKUP(A114,'SegEnds_NonXtal_Prot#'!A:AL,22,FALSE)-VLOOKUP(A114,'SegEnds_NonXtal_Prot#'!A:AL,19,FALSE)</f>
        <v>#VALUE!</v>
      </c>
      <c r="AG114" s="4">
        <f>VLOOKUP(A114,'SegEnds_NonXtal_Prot#'!A:AL,28,FALSE)-VLOOKUP(A114,'SegEnds_NonXtal_Prot#'!A:AL,25,FALSE)</f>
        <v>21</v>
      </c>
      <c r="AH114" s="1">
        <f>VLOOKUP(A114,'SegEnds_NonXtal_Prot#'!A:AL,28,FALSE)-VLOOKUP(A114,'SegEnds_NonXtal_Prot#'!A:AL,22,FALSE)</f>
        <v>44</v>
      </c>
      <c r="AI114" s="4">
        <f>VLOOKUP(A114,'SegEnds_NonXtal_Prot#'!A:AL,31,FALSE)-VLOOKUP(A114,'SegEnds_NonXtal_Prot#'!A:AL,28,FALSE)</f>
        <v>63</v>
      </c>
      <c r="AJ114" s="4">
        <f>VLOOKUP(A114,'SegEnds_NonXtal_Prot#'!A:AL,34,FALSE)-VLOOKUP(A114,'SegEnds_NonXtal_Prot#'!A:AL,31,FALSE)</f>
        <v>38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236</v>
      </c>
      <c r="B115" s="1" t="str">
        <f>VLOOKUP(A115,Xtal_Templ!A:B,2,FALSE)</f>
        <v>ccr5_human</v>
      </c>
      <c r="C115" s="5">
        <f>VLOOKUP($B115&amp;"__wt",'SegEnds_Xtal_BW#'!$A:$Z,3,FALSE)</f>
        <v>24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24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7">
        <f>VLOOKUP($B115&amp;"__wt",'SegEnds_Xtal_BW#'!$A:$Z,15,FALSE)</f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v>34</v>
      </c>
      <c r="T115" s="1">
        <f t="array" ref="T115">INDEX(ICL3_classA!$G$2:$G$37,MATCH(MIN(ABS(AI115-ICL3_classA!$F$2:$F$37)),ABS(AI115-ICL3_classA!$F$2:$F$37),0))</f>
        <v>68</v>
      </c>
      <c r="U115" s="1">
        <f t="array" ref="U115">INDEX(ICL3_classA!$H$2:$H$37,MATCH(MIN(ABS(AI115-ICL3_classA!$F$2:$F$37)),ABS(AI115-ICL3_classA!$F$2:$F$37),0))</f>
        <v>24</v>
      </c>
      <c r="V115" s="1">
        <v>64</v>
      </c>
      <c r="W115" s="1">
        <v>24</v>
      </c>
      <c r="X115" s="128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19</v>
      </c>
      <c r="AE115" s="1">
        <f>VLOOKUP(A115,'SegEnds_NonXtal_Prot#'!A:AL,16,FALSE)-VLOOKUP(A115,'SegEnds_NonXtal_Prot#'!A:AL,10,FALSE)</f>
        <v>50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21</v>
      </c>
      <c r="AH115" s="1">
        <f>VLOOKUP(A115,'SegEnds_NonXtal_Prot#'!A:AL,28,FALSE)-VLOOKUP(A115,'SegEnds_NonXtal_Prot#'!A:AL,22,FALSE)</f>
        <v>44</v>
      </c>
      <c r="AI115" s="1">
        <f>VLOOKUP(A115,'SegEnds_NonXtal_Prot#'!A:AL,31,FALSE)-VLOOKUP(A115,'SegEnds_NonXtal_Prot#'!A:AL,28,FALSE)</f>
        <v>48</v>
      </c>
      <c r="AJ115" s="1">
        <f>VLOOKUP(A115,'SegEnds_NonXtal_Prot#'!A:AL,34,FALSE)-VLOOKUP(A115,'SegEnds_NonXtal_Prot#'!A:AL,31,FALSE)</f>
        <v>47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237</v>
      </c>
      <c r="B116" s="1" t="str">
        <f>VLOOKUP(A116,Xtal_Templ!A:B,2,FALSE)</f>
        <v>agtr1_human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34</v>
      </c>
      <c r="T116" s="1">
        <f t="array" ref="T116">INDEX(ICL3_classA!$G$2:$G$37,MATCH(MIN(ABS(AI116-ICL3_classA!$F$2:$F$37)),ABS(AI116-ICL3_classA!$F$2:$F$37),0))</f>
        <v>68</v>
      </c>
      <c r="U116" s="1">
        <f t="array" ref="U116">INDEX(ICL3_classA!$H$2:$H$37,MATCH(MIN(ABS(AI116-ICL3_classA!$F$2:$F$37)),ABS(AI116-ICL3_classA!$F$2:$F$37),0))</f>
        <v>30</v>
      </c>
      <c r="V116" s="1">
        <v>61</v>
      </c>
      <c r="W116" s="1"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27</v>
      </c>
      <c r="AC116" s="1" t="e">
        <f>VLOOKUP(A116,'SegEnds_NonXtal_Prot#'!A:AL,10,FALSE)-VLOOKUP(A116,'SegEnds_NonXtal_Prot#'!A:AL,7,FALSE)</f>
        <v>#VALUE!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31</v>
      </c>
      <c r="AH116" s="1">
        <f>VLOOKUP(A116,'SegEnds_NonXtal_Prot#'!A:AL,28,FALSE)-VLOOKUP(A116,'SegEnds_NonXtal_Prot#'!A:AL,22,FALSE)</f>
        <v>56</v>
      </c>
      <c r="AI116" s="1">
        <f>VLOOKUP(A116,'SegEnds_NonXtal_Prot#'!A:AL,31,FALSE)-VLOOKUP(A116,'SegEnds_NonXtal_Prot#'!A:AL,28,FALSE)</f>
        <v>43</v>
      </c>
      <c r="AJ116" s="1">
        <f>VLOOKUP(A116,'SegEnds_NonXtal_Prot#'!A:AL,34,FALSE)-VLOOKUP(A116,'SegEnds_NonXtal_Prot#'!A:AL,31,FALSE)</f>
        <v>40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4" t="s">
        <v>238</v>
      </c>
      <c r="B117" s="4" t="str">
        <f>VLOOKUP(A117,Xtal_Templ!A:B,2,FALSE)</f>
        <v>lpar1_human</v>
      </c>
      <c r="C117" s="5">
        <f>VLOOKUP($B117&amp;"__wt",'SegEnds_Xtal_BW#'!$A:$Z,3,FALSE)</f>
        <v>30</v>
      </c>
      <c r="D117" s="4">
        <f>VLOOKUP($B117&amp;"__wt",'SegEnds_Xtal_BW#'!$A:$Z,4,FALSE)</f>
        <v>60</v>
      </c>
      <c r="E117" s="4">
        <f>VLOOKUP($B117&amp;"__wt",'SegEnds_Xtal_BW#'!$A:$Z,5,FALSE)</f>
        <v>48</v>
      </c>
      <c r="F117" s="4">
        <f>VLOOKUP($B117&amp;"__wt",'SegEnds_Xtal_BW#'!$A:$Z,6,FALSE)</f>
        <v>51</v>
      </c>
      <c r="G117" s="4">
        <v>37</v>
      </c>
      <c r="H117" s="11">
        <v>62</v>
      </c>
      <c r="I117" s="4">
        <v>48</v>
      </c>
      <c r="J117" s="4">
        <v>52</v>
      </c>
      <c r="K117" s="11">
        <v>24</v>
      </c>
      <c r="L117" s="4">
        <f>VLOOKUP($B117&amp;"__wt",'SegEnds_Xtal_BW#'!$A:$Z,12,FALSE)</f>
        <v>56</v>
      </c>
      <c r="M117" s="4">
        <f>VLOOKUP($B117&amp;"__wt",'SegEnds_Xtal_BW#'!$A:$Z,13,FALSE)</f>
        <v>50</v>
      </c>
      <c r="N117" s="11">
        <v>57</v>
      </c>
      <c r="O117" s="88">
        <v>38</v>
      </c>
      <c r="P117" s="4">
        <f>VLOOKUP($B117&amp;"__wt",'SegEnds_Xtal_BW#'!$A:$Z,16,FALSE)</f>
        <v>63</v>
      </c>
      <c r="Q117" s="4" t="str">
        <f>VLOOKUP($B117&amp;"__wt",'SegEnds_Xtal_BW#'!$A:$Z,17,FALSE)</f>
        <v>-</v>
      </c>
      <c r="R117" s="4" t="str">
        <f>VLOOKUP($B117&amp;"__wt",'SegEnds_Xtal_BW#'!$A:$Z,18,FALSE)</f>
        <v>-</v>
      </c>
      <c r="S117" s="4">
        <f>VLOOKUP($B117&amp;"__wt",'SegEnds_Xtal_BW#'!$A:$Z,19,FALSE)</f>
        <v>36</v>
      </c>
      <c r="T117" s="4">
        <f t="array" ref="T117">INDEX(ICL3_classA!$G$2:$G$37,MATCH(MIN(ABS(AI117-ICL3_classA!$F$2:$F$37)),ABS(AI117-ICL3_classA!$F$2:$F$37),0))</f>
        <v>73</v>
      </c>
      <c r="U117" s="4">
        <f t="array" ref="U117">INDEX(ICL3_classA!$H$2:$H$37,MATCH(MIN(ABS(AI117-ICL3_classA!$F$2:$F$37)),ABS(AI117-ICL3_classA!$F$2:$F$37),0))</f>
        <v>22</v>
      </c>
      <c r="V117" s="4">
        <v>61</v>
      </c>
      <c r="W117" s="4">
        <v>34</v>
      </c>
      <c r="X117" s="4">
        <f>VLOOKUP($B117&amp;"__wt",'SegEnds_Xtal_BW#'!$A:$Z,24,FALSE)</f>
        <v>56</v>
      </c>
      <c r="Y117" s="4">
        <f>VLOOKUP($B117&amp;"__wt",'SegEnds_Xtal_BW#'!$A:$Z,25,FALSE)</f>
        <v>47</v>
      </c>
      <c r="Z117" s="4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4" t="e">
        <f>VLOOKUP(A117,'SegEnds_NonXtal_Prot#'!A:AL,10,FALSE)-VLOOKUP(A117,'SegEnds_NonXtal_Prot#'!A:AL,7,FALSE)</f>
        <v>#VALUE!</v>
      </c>
      <c r="AD117" s="4">
        <f>VLOOKUP(A117,'SegEnds_NonXtal_Prot#'!A:AL,13,FALSE)-VLOOKUP(A117,'SegEnds_NonXtal_Prot#'!A:AL,10,FALSE)</f>
        <v>15</v>
      </c>
      <c r="AE117" s="4">
        <f>VLOOKUP(A117,'SegEnds_NonXtal_Prot#'!A:AL,16,FALSE)-VLOOKUP(A117,'SegEnds_NonXtal_Prot#'!A:AL,10,FALSE)</f>
        <v>48</v>
      </c>
      <c r="AF117" s="1">
        <f>VLOOKUP(A117,'SegEnds_NonXtal_Prot#'!A:AL,22,FALSE)-VLOOKUP(A117,'SegEnds_NonXtal_Prot#'!A:AL,19,FALSE)</f>
        <v>20</v>
      </c>
      <c r="AG117" s="4" t="e">
        <f>VLOOKUP(A117,'SegEnds_NonXtal_Prot#'!A:AL,28,FALSE)-VLOOKUP(A117,'SegEnds_NonXtal_Prot#'!A:AL,25,FALSE)</f>
        <v>#VALUE!</v>
      </c>
      <c r="AH117" s="1">
        <f>VLOOKUP(A117,'SegEnds_NonXtal_Prot#'!A:AL,28,FALSE)-VLOOKUP(A117,'SegEnds_NonXtal_Prot#'!A:AL,22,FALSE)</f>
        <v>44</v>
      </c>
      <c r="AI117" s="4">
        <f>VLOOKUP(A117,'SegEnds_NonXtal_Prot#'!A:AL,31,FALSE)-VLOOKUP(A117,'SegEnds_NonXtal_Prot#'!A:AL,28,FALSE)</f>
        <v>57</v>
      </c>
      <c r="AJ117" s="4">
        <f>VLOOKUP(A117,'SegEnds_NonXtal_Prot#'!A:AL,34,FALSE)-VLOOKUP(A117,'SegEnds_NonXtal_Prot#'!A:AL,31,FALSE)</f>
        <v>32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239</v>
      </c>
      <c r="B118" s="1" t="str">
        <f>VLOOKUP(A118,Xtal_Templ!A:B,2,FALSE)</f>
        <v>agtr1_human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f>VLOOKUP($B118&amp;"__wt",'SegEnds_Xtal_BW#'!$A:$Z,14,FALSE)</f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34</v>
      </c>
      <c r="T118" s="1">
        <f t="array" ref="T118">INDEX(ICL3_classA!$G$2:$G$37,MATCH(MIN(ABS(AI118-ICL3_classA!$F$2:$F$37)),ABS(AI118-ICL3_classA!$F$2:$F$37),0))</f>
        <v>68</v>
      </c>
      <c r="U118" s="1">
        <f t="array" ref="U118">INDEX(ICL3_classA!$H$2:$H$37,MATCH(MIN(ABS(AI118-ICL3_classA!$F$2:$F$37)),ABS(AI118-ICL3_classA!$F$2:$F$37),0))</f>
        <v>24</v>
      </c>
      <c r="V118" s="1">
        <v>61</v>
      </c>
      <c r="W118" s="1">
        <v>24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61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 t="e">
        <f>VLOOKUP(A118,'SegEnds_NonXtal_Prot#'!A:AL,10,FALSE)-VLOOKUP(A118,'SegEnds_NonXtal_Prot#'!A:AL,7,FALSE)</f>
        <v>#VALUE!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24</v>
      </c>
      <c r="AH118" s="1">
        <f>VLOOKUP(A118,'SegEnds_NonXtal_Prot#'!A:AL,28,FALSE)-VLOOKUP(A118,'SegEnds_NonXtal_Prot#'!A:AL,22,FALSE)</f>
        <v>49</v>
      </c>
      <c r="AI118" s="1">
        <f>VLOOKUP(A118,'SegEnds_NonXtal_Prot#'!A:AL,31,FALSE)-VLOOKUP(A118,'SegEnds_NonXtal_Prot#'!A:AL,28,FALSE)</f>
        <v>49</v>
      </c>
      <c r="AJ118" s="1">
        <f>VLOOKUP(A118,'SegEnds_NonXtal_Prot#'!A:AL,34,FALSE)-VLOOKUP(A118,'SegEnds_NonXtal_Prot#'!A:AL,31,FALSE)</f>
        <v>43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240</v>
      </c>
      <c r="B119" s="1" t="str">
        <f>VLOOKUP(A119,Xtal_Templ!A:B,2,FALSE)</f>
        <v>apj_human</v>
      </c>
      <c r="C119" s="5">
        <f>VLOOKUP($B119&amp;"__wt",'SegEnds_Xtal_BW#'!$A:$Z,3,FALSE)</f>
        <v>33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52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30</v>
      </c>
      <c r="T119" s="1">
        <f t="array" ref="T119">INDEX(ICL3_classA!$G$2:$G$37,MATCH(MIN(ABS(AI119-ICL3_classA!$F$2:$F$37)),ABS(AI119-ICL3_classA!$F$2:$F$37),0))</f>
        <v>67</v>
      </c>
      <c r="U119" s="1">
        <f t="array" ref="U119">INDEX(ICL3_classA!$H$2:$H$37,MATCH(MIN(ABS(AI119-ICL3_classA!$F$2:$F$37)),ABS(AI119-ICL3_classA!$F$2:$F$37),0))</f>
        <v>26</v>
      </c>
      <c r="V119" s="1">
        <v>64</v>
      </c>
      <c r="W119" s="1">
        <v>24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61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23</v>
      </c>
      <c r="AH119" s="1">
        <f>VLOOKUP(A119,'SegEnds_NonXtal_Prot#'!A:AL,28,FALSE)-VLOOKUP(A119,'SegEnds_NonXtal_Prot#'!A:AL,22,FALSE)</f>
        <v>48</v>
      </c>
      <c r="AI119" s="1">
        <f>VLOOKUP(A119,'SegEnds_NonXtal_Prot#'!A:AL,31,FALSE)-VLOOKUP(A119,'SegEnds_NonXtal_Prot#'!A:AL,28,FALSE)</f>
        <v>46</v>
      </c>
      <c r="AJ119" s="1">
        <f>VLOOKUP(A119,'SegEnds_NonXtal_Prot#'!A:AL,34,FALSE)-VLOOKUP(A119,'SegEnds_NonXtal_Prot#'!A:AL,31,FALSE)</f>
        <v>44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1" t="s">
        <v>241</v>
      </c>
      <c r="B120" s="1" t="str">
        <f>VLOOKUP(A120,Xtal_Templ!A:B,2,FALSE)</f>
        <v>oprk_human</v>
      </c>
      <c r="C120" s="5">
        <f>VLOOKUP($B120&amp;"__wt",'SegEnds_Xtal_BW#'!$A:$Z,3,FALSE)</f>
        <v>30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21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INDEX(ICL3_classA!$G$2:$G$37,MATCH(MIN(ABS(AI120-ICL3_classA!$F$2:$F$37)),ABS(AI120-ICL3_classA!$F$2:$F$37),0))</f>
        <v>68</v>
      </c>
      <c r="U120" s="1">
        <f t="array" ref="U120">INDEX(ICL3_classA!$H$2:$H$37,MATCH(MIN(ABS(AI120-ICL3_classA!$F$2:$F$37)),ABS(AI120-ICL3_classA!$F$2:$F$37),0))</f>
        <v>24</v>
      </c>
      <c r="V120" s="1">
        <v>61</v>
      </c>
      <c r="W120" s="1">
        <v>31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19</v>
      </c>
      <c r="AE120" s="1">
        <f>VLOOKUP(A120,'SegEnds_NonXtal_Prot#'!A:AL,16,FALSE)-VLOOKUP(A120,'SegEnds_NonXtal_Prot#'!A:AL,10,FALSE)</f>
        <v>51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27</v>
      </c>
      <c r="AH120" s="1">
        <f>VLOOKUP(A120,'SegEnds_NonXtal_Prot#'!A:AL,28,FALSE)-VLOOKUP(A120,'SegEnds_NonXtal_Prot#'!A:AL,22,FALSE)</f>
        <v>53</v>
      </c>
      <c r="AI120" s="1">
        <f>VLOOKUP(A120,'SegEnds_NonXtal_Prot#'!A:AL,31,FALSE)-VLOOKUP(A120,'SegEnds_NonXtal_Prot#'!A:AL,28,FALSE)</f>
        <v>48</v>
      </c>
      <c r="AJ120" s="1">
        <f>VLOOKUP(A120,'SegEnds_NonXtal_Prot#'!A:AL,34,FALSE)-VLOOKUP(A120,'SegEnds_NonXtal_Prot#'!A:AL,31,FALSE)</f>
        <v>36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4" t="s">
        <v>242</v>
      </c>
      <c r="B121" s="4" t="str">
        <f>VLOOKUP(A121,Xtal_Templ!A:B,2,FALSE)</f>
        <v>ox2r_human</v>
      </c>
      <c r="C121" s="5">
        <f>VLOOKUP($B121&amp;"__wt",'SegEnds_Xtal_BW#'!$A:$Z,3,FALSE)</f>
        <v>31</v>
      </c>
      <c r="D121" s="4">
        <f>VLOOKUP($B121&amp;"__wt",'SegEnds_Xtal_BW#'!$A:$Z,4,FALSE)</f>
        <v>60</v>
      </c>
      <c r="E121" s="4">
        <f>VLOOKUP($B121&amp;"__wt",'SegEnds_Xtal_BW#'!$A:$Z,5,FALSE)</f>
        <v>48</v>
      </c>
      <c r="F121" s="4">
        <f>VLOOKUP($B121&amp;"__wt",'SegEnds_Xtal_BW#'!$A:$Z,6,FALSE)</f>
        <v>51</v>
      </c>
      <c r="G121" s="4">
        <v>37</v>
      </c>
      <c r="H121" s="12">
        <f>VLOOKUP($B121&amp;"__wt",'SegEnds_Xtal_BW#'!$A:$Z,8,FALSE)</f>
        <v>68</v>
      </c>
      <c r="I121" s="4">
        <f>VLOOKUP($B121&amp;"__wt",'SegEnds_Xtal_BW#'!$A:$Z,9,FALSE)</f>
        <v>49</v>
      </c>
      <c r="J121" s="4">
        <f>VLOOKUP($B121&amp;"__wt",'SegEnds_Xtal_BW#'!$A:$Z,10,FALSE)</f>
        <v>52</v>
      </c>
      <c r="K121" s="11">
        <v>18</v>
      </c>
      <c r="L121" s="4">
        <f>VLOOKUP($B121&amp;"__wt",'SegEnds_Xtal_BW#'!$A:$Z,12,FALSE)</f>
        <v>56</v>
      </c>
      <c r="M121" s="4">
        <f>VLOOKUP($B121&amp;"__wt",'SegEnds_Xtal_BW#'!$A:$Z,13,FALSE)</f>
        <v>50</v>
      </c>
      <c r="N121" s="11">
        <v>53</v>
      </c>
      <c r="O121" s="87">
        <f>VLOOKUP($B121&amp;"__wt",'SegEnds_Xtal_BW#'!$A:$Z,15,FALSE)</f>
        <v>38</v>
      </c>
      <c r="P121" s="4">
        <f>VLOOKUP($B121&amp;"__wt",'SegEnds_Xtal_BW#'!$A:$Z,16,FALSE)</f>
        <v>64</v>
      </c>
      <c r="Q121" s="4">
        <f>VLOOKUP($B121&amp;"__wt",'SegEnds_Xtal_BW#'!$A:$Z,17,FALSE)</f>
        <v>50</v>
      </c>
      <c r="R121" s="4">
        <f>VLOOKUP($B121&amp;"__wt",'SegEnds_Xtal_BW#'!$A:$Z,18,FALSE)</f>
        <v>52</v>
      </c>
      <c r="S121" s="4">
        <f>VLOOKUP($B121&amp;"__wt",'SegEnds_Xtal_BW#'!$A:$Z,19,FALSE)</f>
        <v>33</v>
      </c>
      <c r="T121" s="4">
        <f t="array" ref="T121">INDEX(ICL3_classA!$G$2:$G$37,MATCH(MIN(ABS(AI121-ICL3_classA!$F$2:$F$37)),ABS(AI121-ICL3_classA!$F$2:$F$37),0))</f>
        <v>73</v>
      </c>
      <c r="U121" s="4">
        <f t="array" ref="U121">INDEX(ICL3_classA!$H$2:$H$37,MATCH(MIN(ABS(AI121-ICL3_classA!$F$2:$F$37)),ABS(AI121-ICL3_classA!$F$2:$F$37),0))</f>
        <v>22</v>
      </c>
      <c r="V121" s="4">
        <v>61</v>
      </c>
      <c r="W121" s="4">
        <v>31</v>
      </c>
      <c r="X121" s="4">
        <f>VLOOKUP($B121&amp;"__wt",'SegEnds_Xtal_BW#'!$A:$Z,24,FALSE)</f>
        <v>56</v>
      </c>
      <c r="Y121" s="4">
        <f>VLOOKUP($B121&amp;"__wt",'SegEnds_Xtal_BW#'!$A:$Z,25,FALSE)</f>
        <v>47</v>
      </c>
      <c r="Z121" s="4">
        <f>VLOOKUP($B121&amp;"__wt",'SegEnds_Xtal_BW#'!$A:$Z,26,FALSE)</f>
        <v>58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4">
        <f>VLOOKUP(A121,'SegEnds_NonXtal_Prot#'!A:AL,10,FALSE)-VLOOKUP(A121,'SegEnds_NonXtal_Prot#'!A:AL,7,FALSE)</f>
        <v>15</v>
      </c>
      <c r="AD121" s="4">
        <f>VLOOKUP(A121,'SegEnds_NonXtal_Prot#'!A:AL,13,FALSE)-VLOOKUP(A121,'SegEnds_NonXtal_Prot#'!A:AL,10,FALSE)</f>
        <v>20</v>
      </c>
      <c r="AE121" s="4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18</v>
      </c>
      <c r="AG121" s="4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47</v>
      </c>
      <c r="AI121" s="4">
        <f>VLOOKUP(A121,'SegEnds_NonXtal_Prot#'!A:AL,31,FALSE)-VLOOKUP(A121,'SegEnds_NonXtal_Prot#'!A:AL,28,FALSE)</f>
        <v>56</v>
      </c>
      <c r="AJ121" s="4">
        <f>VLOOKUP(A121,'SegEnds_NonXtal_Prot#'!A:AL,34,FALSE)-VLOOKUP(A121,'SegEnds_NonXtal_Prot#'!A:AL,31,FALSE)</f>
        <v>36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243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24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08">
        <v>38</v>
      </c>
      <c r="T122" s="1">
        <f t="array" ref="T122">INDEX(ICL3_classA!$G$2:$G$37,MATCH(MIN(ABS(AI122-ICL3_classA!$F$2:$F$37)),ABS(AI122-ICL3_classA!$F$2:$F$37),0))</f>
        <v>68</v>
      </c>
      <c r="U122" s="1">
        <f t="array" ref="U122">INDEX(ICL3_classA!$H$2:$H$37,MATCH(MIN(ABS(AI122-ICL3_classA!$F$2:$F$37)),ABS(AI122-ICL3_classA!$F$2:$F$37),0))</f>
        <v>24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>
        <f>VLOOKUP(A122,'SegEnds_NonXtal_Prot#'!A:AL,10,FALSE)-VLOOKUP(A122,'SegEnds_NonXtal_Prot#'!A:AL,7,FALSE)</f>
        <v>15</v>
      </c>
      <c r="AD122" s="1" t="e">
        <f>VLOOKUP(A122,'SegEnds_NonXtal_Prot#'!A:AL,13,FALSE)-VLOOKUP(A122,'SegEnds_NonXtal_Prot#'!A:AL,10,FALSE)</f>
        <v>#VALUE!</v>
      </c>
      <c r="AE122" s="1">
        <f>VLOOKUP(A122,'SegEnds_NonXtal_Prot#'!A:AL,16,FALSE)-VLOOKUP(A122,'SegEnds_NonXtal_Prot#'!A:AL,10,FALSE)</f>
        <v>49</v>
      </c>
      <c r="AF122" s="1">
        <f>VLOOKUP(A122,'SegEnds_NonXtal_Prot#'!A:AL,22,FALSE)-VLOOKUP(A122,'SegEnds_NonXtal_Prot#'!A:AL,19,FALSE)</f>
        <v>20</v>
      </c>
      <c r="AG122" s="1" t="e">
        <f>VLOOKUP(A122,'SegEnds_NonXtal_Prot#'!A:AL,28,FALSE)-VLOOKUP(A122,'SegEnds_NonXtal_Prot#'!A:AL,25,FALSE)</f>
        <v>#VALUE!</v>
      </c>
      <c r="AH122" s="1">
        <f>VLOOKUP(A122,'SegEnds_NonXtal_Prot#'!A:AL,28,FALSE)-VLOOKUP(A122,'SegEnds_NonXtal_Prot#'!A:AL,22,FALSE)</f>
        <v>33</v>
      </c>
      <c r="AI122" s="1">
        <f>VLOOKUP(A122,'SegEnds_NonXtal_Prot#'!A:AL,31,FALSE)-VLOOKUP(A122,'SegEnds_NonXtal_Prot#'!A:AL,28,FALSE)</f>
        <v>48</v>
      </c>
      <c r="AJ122" s="1">
        <f>VLOOKUP(A122,'SegEnds_NonXtal_Prot#'!A:AL,34,FALSE)-VLOOKUP(A122,'SegEnds_NonXtal_Prot#'!A:AL,31,FALSE)</f>
        <v>38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244</v>
      </c>
      <c r="B123" s="1" t="str">
        <f>VLOOKUP(A123,Xtal_Templ!A:B,2,FALSE)</f>
        <v>5ht2c_human</v>
      </c>
      <c r="C123" s="5">
        <f>VLOOKUP($B123&amp;"__wt",'SegEnds_Xtal_BW#'!$A:$Z,3,FALSE)</f>
        <v>33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08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67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v>35</v>
      </c>
      <c r="T123" s="1">
        <f t="array" ref="T123">INDEX(ICL3_classA!$G$2:$G$37,MATCH(MIN(ABS(AI123-ICL3_classA!$F$2:$F$37)),ABS(AI123-ICL3_classA!$F$2:$F$37),0))</f>
        <v>74</v>
      </c>
      <c r="U123" s="1">
        <f t="array" ref="U123">INDEX(ICL3_classA!$H$2:$H$37,MATCH(MIN(ABS(AI123-ICL3_classA!$F$2:$F$37)),ABS(AI123-ICL3_classA!$F$2:$F$37),0))</f>
        <v>21</v>
      </c>
      <c r="V123" s="1">
        <v>61</v>
      </c>
      <c r="W123" s="1">
        <v>32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60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29</v>
      </c>
      <c r="AC123" s="1">
        <f>VLOOKUP(A123,'SegEnds_NonXtal_Prot#'!A:AL,10,FALSE)-VLOOKUP(A123,'SegEnds_NonXtal_Prot#'!A:AL,7,FALSE)</f>
        <v>16</v>
      </c>
      <c r="AD123" s="1" t="e">
        <f>VLOOKUP(A123,'SegEnds_NonXtal_Prot#'!A:AL,13,FALSE)-VLOOKUP(A123,'SegEnds_NonXtal_Prot#'!A:AL,10,FALSE)</f>
        <v>#VALUE!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21</v>
      </c>
      <c r="AH123" s="1">
        <f>VLOOKUP(A123,'SegEnds_NonXtal_Prot#'!A:AL,28,FALSE)-VLOOKUP(A123,'SegEnds_NonXtal_Prot#'!A:AL,22,FALSE)</f>
        <v>48</v>
      </c>
      <c r="AI123" s="1">
        <f>VLOOKUP(A123,'SegEnds_NonXtal_Prot#'!A:AL,31,FALSE)-VLOOKUP(A123,'SegEnds_NonXtal_Prot#'!A:AL,28,FALSE)</f>
        <v>65</v>
      </c>
      <c r="AJ123" s="1">
        <f>VLOOKUP(A123,'SegEnds_NonXtal_Prot#'!A:AL,34,FALSE)-VLOOKUP(A123,'SegEnds_NonXtal_Prot#'!A:AL,31,FALSE)</f>
        <v>34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245</v>
      </c>
      <c r="B124" s="1" t="str">
        <f>VLOOKUP(A124,Xtal_Templ!A:B,2,FALSE)</f>
        <v>hrh1_human</v>
      </c>
      <c r="C124" s="5">
        <f>VLOOKUP($B124&amp;"__wt",'SegEnds_Xtal_BW#'!$A:$Z,3,FALSE)</f>
        <v>34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53</v>
      </c>
      <c r="O124" s="87">
        <f>VLOOKUP($B124&amp;"__wt",'SegEnds_Xtal_BW#'!$A:$Z,15,FALSE)</f>
        <v>38</v>
      </c>
      <c r="P124" s="1">
        <v>63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v>35</v>
      </c>
      <c r="T124" s="1">
        <f t="array" ref="T124">INDEX(ICL3_classA!$G$2:$G$37,MATCH(MIN(ABS(AI124-ICL3_classA!$F$2:$F$37)),ABS(AI124-ICL3_classA!$F$2:$F$37),0))</f>
        <v>74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">
        <v>31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29</v>
      </c>
      <c r="AC124" s="1">
        <f>VLOOKUP(A124,'SegEnds_NonXtal_Prot#'!A:AL,10,FALSE)-VLOOKUP(A124,'SegEnds_NonXtal_Prot#'!A:AL,7,FALSE)</f>
        <v>16</v>
      </c>
      <c r="AD124" s="1" t="e">
        <f>VLOOKUP(A124,'SegEnds_NonXtal_Prot#'!A:AL,13,FALSE)-VLOOKUP(A124,'SegEnds_NonXtal_Prot#'!A:AL,10,FALSE)</f>
        <v>#VALUE!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18</v>
      </c>
      <c r="AG124" s="1">
        <f>VLOOKUP(A124,'SegEnds_NonXtal_Prot#'!A:AL,28,FALSE)-VLOOKUP(A124,'SegEnds_NonXtal_Prot#'!A:AL,25,FALSE)</f>
        <v>26</v>
      </c>
      <c r="AH124" s="1">
        <f>VLOOKUP(A124,'SegEnds_NonXtal_Prot#'!A:AL,28,FALSE)-VLOOKUP(A124,'SegEnds_NonXtal_Prot#'!A:AL,22,FALSE)</f>
        <v>58</v>
      </c>
      <c r="AI124" s="1">
        <f>VLOOKUP(A124,'SegEnds_NonXtal_Prot#'!A:AL,31,FALSE)-VLOOKUP(A124,'SegEnds_NonXtal_Prot#'!A:AL,28,FALSE)</f>
        <v>105</v>
      </c>
      <c r="AJ124" s="1">
        <f>VLOOKUP(A124,'SegEnds_NonXtal_Prot#'!A:AL,34,FALSE)-VLOOKUP(A124,'SegEnds_NonXtal_Prot#'!A:AL,31,FALSE)</f>
        <v>36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246</v>
      </c>
      <c r="B125" s="1" t="str">
        <f>VLOOKUP(A125,Xtal_Templ!A:B,2,FALSE)</f>
        <v>agtr1_human</v>
      </c>
      <c r="C125" s="5">
        <f>VLOOKUP($B125&amp;"__wt",'SegEnds_Xtal_BW#'!$A:$Z,3,FALSE)</f>
        <v>30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7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INDEX(ICL3_classA!$G$2:$G$37,MATCH(MIN(ABS(AI125-ICL3_classA!$F$2:$F$37)),ABS(AI125-ICL3_classA!$F$2:$F$37),0))</f>
        <v>67</v>
      </c>
      <c r="U125" s="1">
        <f t="array" ref="U125">INDEX(ICL3_classA!$H$2:$H$37,MATCH(MIN(ABS(AI125-ICL3_classA!$F$2:$F$37)),ABS(AI125-ICL3_classA!$F$2:$F$37),0))</f>
        <v>28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23</v>
      </c>
      <c r="AH125" s="1">
        <f>VLOOKUP(A125,'SegEnds_NonXtal_Prot#'!A:AL,28,FALSE)-VLOOKUP(A125,'SegEnds_NonXtal_Prot#'!A:AL,22,FALSE)</f>
        <v>50</v>
      </c>
      <c r="AI125" s="1">
        <f>VLOOKUP(A125,'SegEnds_NonXtal_Prot#'!A:AL,31,FALSE)-VLOOKUP(A125,'SegEnds_NonXtal_Prot#'!A:AL,28,FALSE)</f>
        <v>45</v>
      </c>
      <c r="AJ125" s="1">
        <f>VLOOKUP(A125,'SegEnds_NonXtal_Prot#'!A:AL,34,FALSE)-VLOOKUP(A125,'SegEnds_NonXtal_Prot#'!A:AL,31,FALSE)</f>
        <v>45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247</v>
      </c>
      <c r="B126" s="1" t="str">
        <f>VLOOKUP(A126,Xtal_Templ!A:B,2,FALSE)</f>
        <v>drd2_human</v>
      </c>
      <c r="C126" s="5">
        <f>VLOOKUP($B126&amp;"__wt",'SegEnds_Xtal_BW#'!$A:$Z,3,FALSE)</f>
        <v>29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68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v>38</v>
      </c>
      <c r="P126" s="1">
        <f>VLOOKUP($B126&amp;"__wt",'SegEnds_Xtal_BW#'!$A:$Z,16,FALSE)</f>
        <v>62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INDEX(ICL3_classA!$G$2:$G$37,MATCH(MIN(ABS(AI126-ICL3_classA!$F$2:$F$37)),ABS(AI126-ICL3_classA!$F$2:$F$37),0))</f>
        <v>76</v>
      </c>
      <c r="U126" s="1">
        <f t="array" ref="U126">INDEX(ICL3_classA!$H$2:$H$37,MATCH(MIN(ABS(AI126-ICL3_classA!$F$2:$F$37)),ABS(AI126-ICL3_classA!$F$2:$F$37),0))</f>
        <v>24</v>
      </c>
      <c r="V126" s="1">
        <v>61</v>
      </c>
      <c r="W126" s="1"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29</v>
      </c>
      <c r="AC126" s="1">
        <f>VLOOKUP(A126,'SegEnds_NonXtal_Prot#'!A:AL,10,FALSE)-VLOOKUP(A126,'SegEnds_NonXtal_Prot#'!A:AL,7,FALSE)</f>
        <v>16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25</v>
      </c>
      <c r="AH126" s="1">
        <f>VLOOKUP(A126,'SegEnds_NonXtal_Prot#'!A:AL,28,FALSE)-VLOOKUP(A126,'SegEnds_NonXtal_Prot#'!A:AL,22,FALSE)</f>
        <v>53</v>
      </c>
      <c r="AI126" s="1">
        <f>VLOOKUP(A126,'SegEnds_NonXtal_Prot#'!A:AL,31,FALSE)-VLOOKUP(A126,'SegEnds_NonXtal_Prot#'!A:AL,28,FALSE)</f>
        <v>72</v>
      </c>
      <c r="AJ126" s="1">
        <f>VLOOKUP(A126,'SegEnds_NonXtal_Prot#'!A:AL,34,FALSE)-VLOOKUP(A126,'SegEnds_NonXtal_Prot#'!A:AL,31,FALSE)</f>
        <v>35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248</v>
      </c>
      <c r="B127" s="1" t="str">
        <f>VLOOKUP(A127,Xtal_Templ!A:B,2,FALSE)</f>
        <v>ox1r_human</v>
      </c>
      <c r="C127" s="5">
        <f>VLOOKUP($B127&amp;"__wt",'SegEnds_Xtal_BW#'!$A:$Z,3,FALSE)</f>
        <v>32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58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v>35</v>
      </c>
      <c r="T127" s="1">
        <f t="array" ref="T127">INDEX(ICL3_classA!$G$2:$G$37,MATCH(MIN(ABS(AI127-ICL3_classA!$F$2:$F$37)),ABS(AI127-ICL3_classA!$F$2:$F$37),0))</f>
        <v>76</v>
      </c>
      <c r="U127" s="1">
        <f t="array" ref="U127">INDEX(ICL3_classA!$H$2:$H$37,MATCH(MIN(ABS(AI127-ICL3_classA!$F$2:$F$37)),ABS(AI127-ICL3_classA!$F$2:$F$37),0))</f>
        <v>24</v>
      </c>
      <c r="V127" s="1">
        <v>61</v>
      </c>
      <c r="W127" s="1">
        <v>31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58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 t="e">
        <f>VLOOKUP(A127,'SegEnds_NonXtal_Prot#'!A:AL,13,FALSE)-VLOOKUP(A127,'SegEnds_NonXtal_Prot#'!A:AL,10,FALSE)</f>
        <v>#VALUE!</v>
      </c>
      <c r="AE127" s="1">
        <f>VLOOKUP(A127,'SegEnds_NonXtal_Prot#'!A:AL,16,FALSE)-VLOOKUP(A127,'SegEnds_NonXtal_Prot#'!A:AL,10,FALSE)</f>
        <v>56</v>
      </c>
      <c r="AF127" s="1">
        <f>VLOOKUP(A127,'SegEnds_NonXtal_Prot#'!A:AL,22,FALSE)-VLOOKUP(A127,'SegEnds_NonXtal_Prot#'!A:AL,19,FALSE)</f>
        <v>21</v>
      </c>
      <c r="AG127" s="1">
        <f>VLOOKUP(A127,'SegEnds_NonXtal_Prot#'!A:AL,28,FALSE)-VLOOKUP(A127,'SegEnds_NonXtal_Prot#'!A:AL,25,FALSE)</f>
        <v>18</v>
      </c>
      <c r="AH127" s="1">
        <f>VLOOKUP(A127,'SegEnds_NonXtal_Prot#'!A:AL,28,FALSE)-VLOOKUP(A127,'SegEnds_NonXtal_Prot#'!A:AL,22,FALSE)</f>
        <v>41</v>
      </c>
      <c r="AI127" s="1">
        <f>VLOOKUP(A127,'SegEnds_NonXtal_Prot#'!A:AL,31,FALSE)-VLOOKUP(A127,'SegEnds_NonXtal_Prot#'!A:AL,28,FALSE)</f>
        <v>110</v>
      </c>
      <c r="AJ127" s="1">
        <f>VLOOKUP(A127,'SegEnds_NonXtal_Prot#'!A:AL,34,FALSE)-VLOOKUP(A127,'SegEnds_NonXtal_Prot#'!A:AL,31,FALSE)</f>
        <v>36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249</v>
      </c>
      <c r="B128" s="1" t="str">
        <f>VLOOKUP(A128,Xtal_Templ!A:B,2,FALSE)</f>
        <v>lpar1_human</v>
      </c>
      <c r="C128" s="5">
        <f>VLOOKUP($B128&amp;"__wt",'SegEnds_Xtal_BW#'!$A:$Z,3,FALSE)</f>
        <v>30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v>62</v>
      </c>
      <c r="I128" s="1">
        <v>48</v>
      </c>
      <c r="J128" s="1">
        <v>52</v>
      </c>
      <c r="K128" s="12">
        <v>24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v>38</v>
      </c>
      <c r="P128" s="1">
        <f>VLOOKUP($B128&amp;"__wt",'SegEnds_Xtal_BW#'!$A:$Z,16,FALSE)</f>
        <v>63</v>
      </c>
      <c r="Q128" s="1" t="str">
        <f>VLOOKUP($B128&amp;"__wt",'SegEnds_Xtal_BW#'!$A:$Z,17,FALSE)</f>
        <v>-</v>
      </c>
      <c r="R128" s="1" t="str">
        <f>VLOOKUP($B128&amp;"__wt",'SegEnds_Xtal_BW#'!$A:$Z,18,FALSE)</f>
        <v>-</v>
      </c>
      <c r="S128" s="1">
        <f>VLOOKUP($B128&amp;"__wt",'SegEnds_Xtal_BW#'!$A:$Z,19,FALSE)</f>
        <v>36</v>
      </c>
      <c r="T128" s="1">
        <f t="array" ref="T128">INDEX(ICL3_classA!$G$2:$G$37,MATCH(MIN(ABS(AI128-ICL3_classA!$F$2:$F$37)),ABS(AI128-ICL3_classA!$F$2:$F$37),0))</f>
        <v>73</v>
      </c>
      <c r="U128" s="1">
        <f t="array" ref="U128">INDEX(ICL3_classA!$H$2:$H$37,MATCH(MIN(ABS(AI128-ICL3_classA!$F$2:$F$37)),ABS(AI128-ICL3_classA!$F$2:$F$37),0))</f>
        <v>22</v>
      </c>
      <c r="V128" s="1">
        <v>61</v>
      </c>
      <c r="W128" s="1">
        <v>34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>
        <f>VLOOKUP(A128,'SegEnds_NonXtal_Prot#'!A:AL,10,FALSE)-VLOOKUP(A128,'SegEnds_NonXtal_Prot#'!A:AL,7,FALSE)</f>
        <v>15</v>
      </c>
      <c r="AD128" s="1">
        <f>VLOOKUP(A128,'SegEnds_NonXtal_Prot#'!A:AL,13,FALSE)-VLOOKUP(A128,'SegEnds_NonXtal_Prot#'!A:AL,10,FALSE)</f>
        <v>15</v>
      </c>
      <c r="AE128" s="1">
        <f>VLOOKUP(A128,'SegEnds_NonXtal_Prot#'!A:AL,16,FALSE)-VLOOKUP(A128,'SegEnds_NonXtal_Prot#'!A:AL,10,FALSE)</f>
        <v>48</v>
      </c>
      <c r="AF128" s="1">
        <f>VLOOKUP(A128,'SegEnds_NonXtal_Prot#'!A:AL,22,FALSE)-VLOOKUP(A128,'SegEnds_NonXtal_Prot#'!A:AL,19,FALSE)</f>
        <v>20</v>
      </c>
      <c r="AG128" s="1" t="e">
        <f>VLOOKUP(A128,'SegEnds_NonXtal_Prot#'!A:AL,28,FALSE)-VLOOKUP(A128,'SegEnds_NonXtal_Prot#'!A:AL,25,FALSE)</f>
        <v>#VALUE!</v>
      </c>
      <c r="AH128" s="1">
        <f>VLOOKUP(A128,'SegEnds_NonXtal_Prot#'!A:AL,28,FALSE)-VLOOKUP(A128,'SegEnds_NonXtal_Prot#'!A:AL,22,FALSE)</f>
        <v>44</v>
      </c>
      <c r="AI128" s="1">
        <f>VLOOKUP(A128,'SegEnds_NonXtal_Prot#'!A:AL,31,FALSE)-VLOOKUP(A128,'SegEnds_NonXtal_Prot#'!A:AL,28,FALSE)</f>
        <v>57</v>
      </c>
      <c r="AJ128" s="1">
        <f>VLOOKUP(A128,'SegEnds_NonXtal_Prot#'!A:AL,34,FALSE)-VLOOKUP(A128,'SegEnds_NonXtal_Prot#'!A:AL,31,FALSE)</f>
        <v>32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250</v>
      </c>
      <c r="B129" s="1" t="str">
        <f>VLOOKUP(A129,Xtal_Templ!A:B,2,FALSE)</f>
        <v>oprd_human</v>
      </c>
      <c r="C129" s="5">
        <f>VLOOKUP($B129&amp;"__wt",'SegEnds_Xtal_BW#'!$A:$Z,3,FALSE)</f>
        <v>22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60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50</v>
      </c>
      <c r="AI129" s="1">
        <f>VLOOKUP(A129,'SegEnds_NonXtal_Prot#'!A:AL,31,FALSE)-VLOOKUP(A129,'SegEnds_NonXtal_Prot#'!A:AL,28,FALSE)</f>
        <v>48</v>
      </c>
      <c r="AJ129" s="1">
        <f>VLOOKUP(A129,'SegEnds_NonXtal_Prot#'!A:AL,34,FALSE)-VLOOKUP(A129,'SegEnds_NonXtal_Prot#'!A:AL,31,FALSE)</f>
        <v>42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251</v>
      </c>
      <c r="B130" s="1" t="str">
        <f>VLOOKUP(A130,Xtal_Templ!A:B,2,FALSE)</f>
        <v>oprd_human</v>
      </c>
      <c r="C130" s="5">
        <f>VLOOKUP($B130&amp;"__wt",'SegEnds_Xtal_BW#'!$A:$Z,3,FALSE)</f>
        <v>22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21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60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19</v>
      </c>
      <c r="AE130" s="1">
        <f>VLOOKUP(A130,'SegEnds_NonXtal_Prot#'!A:AL,16,FALSE)-VLOOKUP(A130,'SegEnds_NonXtal_Prot#'!A:AL,10,FALSE)</f>
        <v>51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37</v>
      </c>
      <c r="AH130" s="1">
        <f>VLOOKUP(A130,'SegEnds_NonXtal_Prot#'!A:AL,28,FALSE)-VLOOKUP(A130,'SegEnds_NonXtal_Prot#'!A:AL,22,FALSE)</f>
        <v>62</v>
      </c>
      <c r="AI130" s="1">
        <f>VLOOKUP(A130,'SegEnds_NonXtal_Prot#'!A:AL,31,FALSE)-VLOOKUP(A130,'SegEnds_NonXtal_Prot#'!A:AL,28,FALSE)</f>
        <v>43</v>
      </c>
      <c r="AJ130" s="1">
        <f>VLOOKUP(A130,'SegEnds_NonXtal_Prot#'!A:AL,34,FALSE)-VLOOKUP(A130,'SegEnds_NonXtal_Prot#'!A:AL,31,FALSE)</f>
        <v>42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252</v>
      </c>
      <c r="B131" s="1" t="str">
        <f>VLOOKUP(A131,Xtal_Templ!A:B,2,FALSE)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">
        <v>31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38</v>
      </c>
      <c r="AH131" s="1">
        <f>VLOOKUP(A131,'SegEnds_NonXtal_Prot#'!A:AL,28,FALSE)-VLOOKUP(A131,'SegEnds_NonXtal_Prot#'!A:AL,22,FALSE)</f>
        <v>64</v>
      </c>
      <c r="AI131" s="1">
        <f>VLOOKUP(A131,'SegEnds_NonXtal_Prot#'!A:AL,31,FALSE)-VLOOKUP(A131,'SegEnds_NonXtal_Prot#'!A:AL,28,FALSE)</f>
        <v>43</v>
      </c>
      <c r="AJ131" s="1">
        <f>VLOOKUP(A131,'SegEnds_NonXtal_Prot#'!A:AL,34,FALSE)-VLOOKUP(A131,'SegEnds_NonXtal_Prot#'!A:AL,31,FALSE)</f>
        <v>36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253</v>
      </c>
      <c r="B132" s="1" t="str">
        <f>VLOOKUP(A132,Xtal_Templ!A:B,2,FALSE)</f>
        <v>ptafr_human</v>
      </c>
      <c r="C132" s="5">
        <f>VLOOKUP($B132&amp;"__wt",'SegEnds_Xtal_BW#'!$A:$Z,3,FALSE)</f>
        <v>27</v>
      </c>
      <c r="D132" s="1">
        <f>VLOOKUP($B132&amp;"__wt",'SegEnds_Xtal_BW#'!$A:$Z,4,FALSE)</f>
        <v>61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f>VLOOKUP($B132&amp;"__wt",'SegEnds_Xtal_BW#'!$A:$Z,15,FALSE)</f>
        <v>38</v>
      </c>
      <c r="P132" s="1">
        <f>VLOOKUP($B132&amp;"__wt",'SegEnds_Xtal_BW#'!$A:$Z,16,FALSE)</f>
        <v>63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33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23</v>
      </c>
      <c r="V132" s="1">
        <v>61</v>
      </c>
      <c r="W132" s="1">
        <v>24</v>
      </c>
      <c r="X132" s="1">
        <f>VLOOKUP($B132&amp;"__wt",'SegEnds_Xtal_BW#'!$A:$Z,24,FALSE)</f>
        <v>59</v>
      </c>
      <c r="Y132" s="1">
        <f>VLOOKUP($B132&amp;"__wt",'SegEnds_Xtal_BW#'!$A:$Z,25,FALSE)</f>
        <v>50</v>
      </c>
      <c r="Z132" s="1">
        <f>VLOOKUP($B132&amp;"__wt",'SegEnds_Xtal_BW#'!$A:$Z,26,FALSE)</f>
        <v>63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26</v>
      </c>
      <c r="AH132" s="1">
        <f>VLOOKUP(A132,'SegEnds_NonXtal_Prot#'!A:AL,28,FALSE)-VLOOKUP(A132,'SegEnds_NonXtal_Prot#'!A:AL,22,FALSE)</f>
        <v>51</v>
      </c>
      <c r="AI132" s="1">
        <f>VLOOKUP(A132,'SegEnds_NonXtal_Prot#'!A:AL,31,FALSE)-VLOOKUP(A132,'SegEnds_NonXtal_Prot#'!A:AL,28,FALSE)</f>
        <v>51</v>
      </c>
      <c r="AJ132" s="1">
        <f>VLOOKUP(A132,'SegEnds_NonXtal_Prot#'!A:AL,34,FALSE)-VLOOKUP(A132,'SegEnds_NonXtal_Prot#'!A:AL,31,FALSE)</f>
        <v>43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254</v>
      </c>
      <c r="B133" s="1" t="str">
        <f>VLOOKUP(A133,Xtal_Templ!A:B,2,FALSE)</f>
        <v>ccr2_human</v>
      </c>
      <c r="C133" s="5">
        <f>VLOOKUP($B133&amp;"__wt",'SegEnds_Xtal_BW#'!$A:$Z,3,FALSE)</f>
        <v>27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v>35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24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48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21</v>
      </c>
      <c r="AH133" s="1">
        <f>VLOOKUP(A133,'SegEnds_NonXtal_Prot#'!A:AL,28,FALSE)-VLOOKUP(A133,'SegEnds_NonXtal_Prot#'!A:AL,22,FALSE)</f>
        <v>42</v>
      </c>
      <c r="AI133" s="1">
        <f>VLOOKUP(A133,'SegEnds_NonXtal_Prot#'!A:AL,31,FALSE)-VLOOKUP(A133,'SegEnds_NonXtal_Prot#'!A:AL,28,FALSE)</f>
        <v>49</v>
      </c>
      <c r="AJ133" s="1">
        <f>VLOOKUP(A133,'SegEnds_NonXtal_Prot#'!A:AL,34,FALSE)-VLOOKUP(A133,'SegEnds_NonXtal_Prot#'!A:AL,31,FALSE)</f>
        <v>41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255</v>
      </c>
      <c r="B134" s="1" t="str">
        <f>VLOOKUP(A134,Xtal_Templ!A:B,2,FALSE)</f>
        <v>ednrb_human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52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28</v>
      </c>
      <c r="T134" s="1">
        <f t="array" ref="T134">INDEX(ICL3_classA!$G$2:$G$37,MATCH(MIN(ABS(AI134-ICL3_classA!$F$2:$F$37)),ABS(AI134-ICL3_classA!$F$2:$F$37),0))</f>
        <v>72</v>
      </c>
      <c r="U134" s="1">
        <f t="array" ref="U134">INDEX(ICL3_classA!$H$2:$H$37,MATCH(MIN(ABS(AI134-ICL3_classA!$F$2:$F$37)),ABS(AI134-ICL3_classA!$F$2:$F$37),0))</f>
        <v>24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35</v>
      </c>
      <c r="AH134" s="1">
        <f>VLOOKUP(A134,'SegEnds_NonXtal_Prot#'!A:AL,28,FALSE)-VLOOKUP(A134,'SegEnds_NonXtal_Prot#'!A:AL,22,FALSE)</f>
        <v>67</v>
      </c>
      <c r="AI134" s="1">
        <f>VLOOKUP(A134,'SegEnds_NonXtal_Prot#'!A:AL,31,FALSE)-VLOOKUP(A134,'SegEnds_NonXtal_Prot#'!A:AL,28,FALSE)</f>
        <v>53</v>
      </c>
      <c r="AJ134" s="1">
        <f>VLOOKUP(A134,'SegEnds_NonXtal_Prot#'!A:AL,34,FALSE)-VLOOKUP(A134,'SegEnds_NonXtal_Prot#'!A:AL,31,FALSE)</f>
        <v>39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256</v>
      </c>
      <c r="B135" s="1" t="str">
        <f>VLOOKUP(A135,Xtal_Templ!A:B,2,FALSE)</f>
        <v>ntr1_rat</v>
      </c>
      <c r="C135" s="5">
        <f>VLOOKUP($B135&amp;"__wt",'SegEnds_Xtal_BW#'!$A:$Z,3,FALSE)</f>
        <v>29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v>35</v>
      </c>
      <c r="T135" s="1">
        <f t="array" ref="T135">INDEX(ICL3_classA!$G$2:$G$37,MATCH(MIN(ABS(AI135-ICL3_classA!$F$2:$F$37)),ABS(AI135-ICL3_classA!$F$2:$F$37),0))</f>
        <v>76</v>
      </c>
      <c r="U135" s="1">
        <f t="array" ref="U135">INDEX(ICL3_classA!$H$2:$H$37,MATCH(MIN(ABS(AI135-ICL3_classA!$F$2:$F$37)),ABS(AI135-ICL3_classA!$F$2:$F$37),0))</f>
        <v>24</v>
      </c>
      <c r="V135" s="1">
        <v>61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58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31</v>
      </c>
      <c r="AC135" s="1" t="e">
        <f>VLOOKUP(A135,'SegEnds_NonXtal_Prot#'!A:AL,10,FALSE)-VLOOKUP(A135,'SegEnds_NonXtal_Prot#'!A:AL,7,FALSE)</f>
        <v>#VALUE!</v>
      </c>
      <c r="AD135" s="1" t="e">
        <f>VLOOKUP(A135,'SegEnds_NonXtal_Prot#'!A:AL,13,FALSE)-VLOOKUP(A135,'SegEnds_NonXtal_Prot#'!A:AL,10,FALSE)</f>
        <v>#VALUE!</v>
      </c>
      <c r="AE135" s="1">
        <f>VLOOKUP(A135,'SegEnds_NonXtal_Prot#'!A:AL,16,FALSE)-VLOOKUP(A135,'SegEnds_NonXtal_Prot#'!A:AL,10,FALSE)</f>
        <v>54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21</v>
      </c>
      <c r="AH135" s="1">
        <f>VLOOKUP(A135,'SegEnds_NonXtal_Prot#'!A:AL,28,FALSE)-VLOOKUP(A135,'SegEnds_NonXtal_Prot#'!A:AL,22,FALSE)</f>
        <v>71</v>
      </c>
      <c r="AI135" s="1">
        <f>VLOOKUP(A135,'SegEnds_NonXtal_Prot#'!A:AL,31,FALSE)-VLOOKUP(A135,'SegEnds_NonXtal_Prot#'!A:AL,28,FALSE)</f>
        <v>67</v>
      </c>
      <c r="AJ135" s="1">
        <f>VLOOKUP(A135,'SegEnds_NonXtal_Prot#'!A:AL,34,FALSE)-VLOOKUP(A135,'SegEnds_NonXtal_Prot#'!A:AL,31,FALSE)</f>
        <v>43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257</v>
      </c>
      <c r="B136" s="1" t="str">
        <f>VLOOKUP(A136,Xtal_Templ!A:B,2,FALSE)</f>
        <v>ptafr_human</v>
      </c>
      <c r="C136" s="5">
        <f>VLOOKUP($B136&amp;"__wt",'SegEnds_Xtal_BW#'!$A:$Z,3,FALSE)</f>
        <v>27</v>
      </c>
      <c r="D136" s="1">
        <f>VLOOKUP($B136&amp;"__wt",'SegEnds_Xtal_BW#'!$A:$Z,4,FALSE)</f>
        <v>61</v>
      </c>
      <c r="E136" s="1" t="str">
        <f>VLOOKUP($B136&amp;"__wt",'SegEnds_Xtal_BW#'!$A:$Z,5,FALSE)</f>
        <v>-</v>
      </c>
      <c r="F136" s="1" t="str">
        <f>VLOOKUP($B136&amp;"__wt",'SegEnds_Xtal_BW#'!$A:$Z,6,FALSE)</f>
        <v>-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63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33</v>
      </c>
      <c r="T136" s="1">
        <f t="array" ref="T136">INDEX(ICL3_classA!$G$2:$G$37,MATCH(MIN(ABS(AI136-ICL3_classA!$F$2:$F$37)),ABS(AI136-ICL3_classA!$F$2:$F$37),0))</f>
        <v>67</v>
      </c>
      <c r="U136" s="1">
        <f t="array" ref="U136">INDEX(ICL3_classA!$H$2:$H$37,MATCH(MIN(ABS(AI136-ICL3_classA!$F$2:$F$37)),ABS(AI136-ICL3_classA!$F$2:$F$37),0))</f>
        <v>26</v>
      </c>
      <c r="V136" s="1">
        <v>64</v>
      </c>
      <c r="W136" s="1">
        <v>24</v>
      </c>
      <c r="X136" s="1">
        <f>VLOOKUP($B136&amp;"__wt",'SegEnds_Xtal_BW#'!$A:$Z,24,FALSE)</f>
        <v>59</v>
      </c>
      <c r="Y136" s="1">
        <f>VLOOKUP($B136&amp;"__wt",'SegEnds_Xtal_BW#'!$A:$Z,25,FALSE)</f>
        <v>50</v>
      </c>
      <c r="Z136" s="1">
        <f>VLOOKUP($B136&amp;"__wt",'SegEnds_Xtal_BW#'!$A:$Z,26,FALSE)</f>
        <v>63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 t="e">
        <f>VLOOKUP(A136,'SegEnds_NonXtal_Prot#'!A:AL,10,FALSE)-VLOOKUP(A136,'SegEnds_NonXtal_Prot#'!A:AL,7,FALSE)</f>
        <v>#VALUE!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25</v>
      </c>
      <c r="AH136" s="1">
        <f>VLOOKUP(A136,'SegEnds_NonXtal_Prot#'!A:AL,28,FALSE)-VLOOKUP(A136,'SegEnds_NonXtal_Prot#'!A:AL,22,FALSE)</f>
        <v>51</v>
      </c>
      <c r="AI136" s="1">
        <f>VLOOKUP(A136,'SegEnds_NonXtal_Prot#'!A:AL,31,FALSE)-VLOOKUP(A136,'SegEnds_NonXtal_Prot#'!A:AL,28,FALSE)</f>
        <v>46</v>
      </c>
      <c r="AJ136" s="1">
        <f>VLOOKUP(A136,'SegEnds_NonXtal_Prot#'!A:AL,34,FALSE)-VLOOKUP(A136,'SegEnds_NonXtal_Prot#'!A:AL,31,FALSE)</f>
        <v>44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258</v>
      </c>
      <c r="B137" s="1" t="str">
        <f>VLOOKUP(A137,Xtal_Templ!A:B,2,FALSE)</f>
        <v>par1_human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63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32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28</v>
      </c>
      <c r="V137" s="1">
        <v>61</v>
      </c>
      <c r="W137" s="1">
        <v>33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29</v>
      </c>
      <c r="AC137" s="1" t="e">
        <f>VLOOKUP(A137,'SegEnds_NonXtal_Prot#'!A:AL,10,FALSE)-VLOOKUP(A137,'SegEnds_NonXtal_Prot#'!A:AL,7,FALSE)</f>
        <v>#VALUE!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56</v>
      </c>
      <c r="AI137" s="1">
        <f>VLOOKUP(A137,'SegEnds_NonXtal_Prot#'!A:AL,31,FALSE)-VLOOKUP(A137,'SegEnds_NonXtal_Prot#'!A:AL,28,FALSE)</f>
        <v>44</v>
      </c>
      <c r="AJ137" s="1">
        <f>VLOOKUP(A137,'SegEnds_NonXtal_Prot#'!A:AL,34,FALSE)-VLOOKUP(A137,'SegEnds_NonXtal_Prot#'!A:AL,31,FALSE)</f>
        <v>33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259</v>
      </c>
      <c r="B138" s="1" t="str">
        <f>VLOOKUP(A138,Xtal_Templ!A:B,2,FALSE)</f>
        <v>drd2_human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68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58</v>
      </c>
      <c r="O138" s="87">
        <v>38</v>
      </c>
      <c r="P138" s="1">
        <f>VLOOKUP($B138&amp;"__wt",'SegEnds_Xtal_BW#'!$A:$Z,16,FALSE)</f>
        <v>62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v>35</v>
      </c>
      <c r="T138" s="1">
        <f t="array" ref="T138">INDEX(ICL3_classA!$G$2:$G$37,MATCH(MIN(ABS(AI138-ICL3_classA!$F$2:$F$37)),ABS(AI138-ICL3_classA!$F$2:$F$37),0))</f>
        <v>76</v>
      </c>
      <c r="U138" s="1">
        <f t="array" ref="U138">INDEX(ICL3_classA!$H$2:$H$37,MATCH(MIN(ABS(AI138-ICL3_classA!$F$2:$F$37)),ABS(AI138-ICL3_classA!$F$2:$F$37),0))</f>
        <v>24</v>
      </c>
      <c r="V138" s="1">
        <v>61</v>
      </c>
      <c r="W138" s="1">
        <v>28</v>
      </c>
      <c r="X138" s="128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 t="e">
        <f>VLOOKUP(A138,'SegEnds_NonXtal_Prot#'!A:AL,22,FALSE)-VLOOKUP(A138,'SegEnds_NonXtal_Prot#'!A:AL,19,FALSE)</f>
        <v>#VALUE!</v>
      </c>
      <c r="AG138" s="1">
        <f>VLOOKUP(A138,'SegEnds_NonXtal_Prot#'!A:AL,28,FALSE)-VLOOKUP(A138,'SegEnds_NonXtal_Prot#'!A:AL,25,FALSE)</f>
        <v>25</v>
      </c>
      <c r="AH138" s="1">
        <f>VLOOKUP(A138,'SegEnds_NonXtal_Prot#'!A:AL,28,FALSE)-VLOOKUP(A138,'SegEnds_NonXtal_Prot#'!A:AL,22,FALSE)</f>
        <v>51</v>
      </c>
      <c r="AI138" s="1">
        <f>VLOOKUP(A138,'SegEnds_NonXtal_Prot#'!A:AL,31,FALSE)-VLOOKUP(A138,'SegEnds_NonXtal_Prot#'!A:AL,28,FALSE)</f>
        <v>75</v>
      </c>
      <c r="AJ138" s="1">
        <f>VLOOKUP(A138,'SegEnds_NonXtal_Prot#'!A:AL,34,FALSE)-VLOOKUP(A138,'SegEnds_NonXtal_Prot#'!A:AL,31,FALSE)</f>
        <v>39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260</v>
      </c>
      <c r="B139" s="1" t="str">
        <f>VLOOKUP(A139,Xtal_Templ!A:B,2,FALSE)</f>
        <v>5ht2b_human</v>
      </c>
      <c r="C139" s="5">
        <f>VLOOKUP($B139&amp;"__wt",'SegEnds_Xtal_BW#'!$A:$Z,3,FALSE)</f>
        <v>31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08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INDEX(ICL3_classA!$G$2:$G$37,MATCH(MIN(ABS(AI139-ICL3_classA!$F$2:$F$37)),ABS(AI139-ICL3_classA!$F$2:$F$37),0))</f>
        <v>74</v>
      </c>
      <c r="U139" s="1">
        <f t="array" ref="U139">INDEX(ICL3_classA!$H$2:$H$37,MATCH(MIN(ABS(AI139-ICL3_classA!$F$2:$F$37)),ABS(AI139-ICL3_classA!$F$2:$F$37),0))</f>
        <v>21</v>
      </c>
      <c r="V139" s="1">
        <v>61</v>
      </c>
      <c r="W139" s="1">
        <v>32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58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29</v>
      </c>
      <c r="AC139" s="1">
        <f>VLOOKUP(A139,'SegEnds_NonXtal_Prot#'!A:AL,10,FALSE)-VLOOKUP(A139,'SegEnds_NonXtal_Prot#'!A:AL,7,FALSE)</f>
        <v>16</v>
      </c>
      <c r="AD139" s="1" t="e">
        <f>VLOOKUP(A139,'SegEnds_NonXtal_Prot#'!A:AL,13,FALSE)-VLOOKUP(A139,'SegEnds_NonXtal_Prot#'!A:AL,10,FALSE)</f>
        <v>#VALUE!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21</v>
      </c>
      <c r="AH139" s="1">
        <f>VLOOKUP(A139,'SegEnds_NonXtal_Prot#'!A:AL,28,FALSE)-VLOOKUP(A139,'SegEnds_NonXtal_Prot#'!A:AL,22,FALSE)</f>
        <v>48</v>
      </c>
      <c r="AI139" s="1">
        <f>VLOOKUP(A139,'SegEnds_NonXtal_Prot#'!A:AL,31,FALSE)-VLOOKUP(A139,'SegEnds_NonXtal_Prot#'!A:AL,28,FALSE)</f>
        <v>66</v>
      </c>
      <c r="AJ139" s="1">
        <f>VLOOKUP(A139,'SegEnds_NonXtal_Prot#'!A:AL,34,FALSE)-VLOOKUP(A139,'SegEnds_NonXtal_Prot#'!A:AL,31,FALSE)</f>
        <v>34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261</v>
      </c>
      <c r="B140" s="1" t="str">
        <f>VLOOKUP(A140,Xtal_Templ!A:B,2,FALSE)</f>
        <v>oprk_human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24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30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24</v>
      </c>
      <c r="V140" s="1">
        <v>64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32</v>
      </c>
      <c r="AC140" s="1" t="e">
        <f>VLOOKUP(A140,'SegEnds_NonXtal_Prot#'!A:AL,10,FALSE)-VLOOKUP(A140,'SegEnds_NonXtal_Prot#'!A:AL,7,FALSE)</f>
        <v>#VALUE!</v>
      </c>
      <c r="AD140" s="1" t="e">
        <f>VLOOKUP(A140,'SegEnds_NonXtal_Prot#'!A:AL,13,FALSE)-VLOOKUP(A140,'SegEnds_NonXtal_Prot#'!A:AL,10,FALSE)</f>
        <v>#VALUE!</v>
      </c>
      <c r="AE140" s="1">
        <f>VLOOKUP(A140,'SegEnds_NonXtal_Prot#'!A:AL,16,FALSE)-VLOOKUP(A140,'SegEnds_NonXtal_Prot#'!A:AL,10,FALSE)</f>
        <v>49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25</v>
      </c>
      <c r="AH140" s="1">
        <f>VLOOKUP(A140,'SegEnds_NonXtal_Prot#'!A:AL,28,FALSE)-VLOOKUP(A140,'SegEnds_NonXtal_Prot#'!A:AL,22,FALSE)</f>
        <v>47</v>
      </c>
      <c r="AI140" s="1">
        <f>VLOOKUP(A140,'SegEnds_NonXtal_Prot#'!A:AL,31,FALSE)-VLOOKUP(A140,'SegEnds_NonXtal_Prot#'!A:AL,28,FALSE)</f>
        <v>48</v>
      </c>
      <c r="AJ140" s="1">
        <f>VLOOKUP(A140,'SegEnds_NonXtal_Prot#'!A:AL,34,FALSE)-VLOOKUP(A140,'SegEnds_NonXtal_Prot#'!A:AL,31,FALSE)</f>
        <v>44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262</v>
      </c>
      <c r="B141" s="1" t="str">
        <f>VLOOKUP(A141,Xtal_Templ!A:B,2,FALSE)</f>
        <v>s1pr1_human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62</v>
      </c>
      <c r="I141" s="1">
        <v>48</v>
      </c>
      <c r="J141" s="1">
        <v>52</v>
      </c>
      <c r="K141" s="12">
        <v>24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63</v>
      </c>
      <c r="Q141" s="1" t="str">
        <f>VLOOKUP($B141&amp;"__wt",'SegEnds_Xtal_BW#'!$A:$Z,17,FALSE)</f>
        <v>-</v>
      </c>
      <c r="R141" s="1" t="str">
        <f>VLOOKUP($B141&amp;"__wt",'SegEnds_Xtal_BW#'!$A:$Z,18,FALSE)</f>
        <v>-</v>
      </c>
      <c r="S141" s="1">
        <f>VLOOKUP($B141&amp;"__wt",'SegEnds_Xtal_BW#'!$A:$Z,19,FALSE)</f>
        <v>36</v>
      </c>
      <c r="T141" s="1">
        <f t="array" ref="T141">INDEX(ICL3_classA!$G$2:$G$37,MATCH(MIN(ABS(AI141-ICL3_classA!$F$2:$F$37)),ABS(AI141-ICL3_classA!$F$2:$F$37),0))</f>
        <v>73</v>
      </c>
      <c r="U141" s="1">
        <f t="array" ref="U141">INDEX(ICL3_classA!$H$2:$H$37,MATCH(MIN(ABS(AI141-ICL3_classA!$F$2:$F$37)),ABS(AI141-ICL3_classA!$F$2:$F$37),0))</f>
        <v>22</v>
      </c>
      <c r="V141" s="1">
        <v>61</v>
      </c>
      <c r="W141" s="1">
        <v>34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15</v>
      </c>
      <c r="AE141" s="1">
        <f>VLOOKUP(A141,'SegEnds_NonXtal_Prot#'!A:AL,16,FALSE)-VLOOKUP(A141,'SegEnds_NonXtal_Prot#'!A:AL,10,FALSE)</f>
        <v>48</v>
      </c>
      <c r="AF141" s="1">
        <f>VLOOKUP(A141,'SegEnds_NonXtal_Prot#'!A:AL,22,FALSE)-VLOOKUP(A141,'SegEnds_NonXtal_Prot#'!A:AL,19,FALSE)</f>
        <v>20</v>
      </c>
      <c r="AG141" s="1" t="e">
        <f>VLOOKUP(A141,'SegEnds_NonXtal_Prot#'!A:AL,28,FALSE)-VLOOKUP(A141,'SegEnds_NonXtal_Prot#'!A:AL,25,FALSE)</f>
        <v>#VALUE!</v>
      </c>
      <c r="AH141" s="1">
        <f>VLOOKUP(A141,'SegEnds_NonXtal_Prot#'!A:AL,28,FALSE)-VLOOKUP(A141,'SegEnds_NonXtal_Prot#'!A:AL,22,FALSE)</f>
        <v>44</v>
      </c>
      <c r="AI141" s="1">
        <f>VLOOKUP(A141,'SegEnds_NonXtal_Prot#'!A:AL,31,FALSE)-VLOOKUP(A141,'SegEnds_NonXtal_Prot#'!A:AL,28,FALSE)</f>
        <v>57</v>
      </c>
      <c r="AJ141" s="1">
        <f>VLOOKUP(A141,'SegEnds_NonXtal_Prot#'!A:AL,34,FALSE)-VLOOKUP(A141,'SegEnds_NonXtal_Prot#'!A:AL,31,FALSE)</f>
        <v>32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263</v>
      </c>
      <c r="B142" s="1" t="str">
        <f>VLOOKUP(A142,Xtal_Templ!A:B,2,FALSE)</f>
        <v>ox2r_human</v>
      </c>
      <c r="C142" s="5">
        <f>VLOOKUP($B142&amp;"__wt",'SegEnds_Xtal_BW#'!$A:$Z,3,FALSE)</f>
        <v>31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68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INDEX(ICL3_classA!$G$2:$G$37,MATCH(MIN(ABS(AI142-ICL3_classA!$F$2:$F$37)),ABS(AI142-ICL3_classA!$F$2:$F$37),0))</f>
        <v>76</v>
      </c>
      <c r="U142" s="1">
        <f t="array" ref="U142">INDEX(ICL3_classA!$H$2:$H$37,MATCH(MIN(ABS(AI142-ICL3_classA!$F$2:$F$37)),ABS(AI142-ICL3_classA!$F$2:$F$37),0))</f>
        <v>24</v>
      </c>
      <c r="V142" s="1">
        <v>61</v>
      </c>
      <c r="W142" s="1">
        <v>31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26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21</v>
      </c>
      <c r="AE142" s="1">
        <f>VLOOKUP(A142,'SegEnds_NonXtal_Prot#'!A:AL,16,FALSE)-VLOOKUP(A142,'SegEnds_NonXtal_Prot#'!A:AL,10,FALSE)</f>
        <v>54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25</v>
      </c>
      <c r="AH142" s="1">
        <f>VLOOKUP(A142,'SegEnds_NonXtal_Prot#'!A:AL,28,FALSE)-VLOOKUP(A142,'SegEnds_NonXtal_Prot#'!A:AL,22,FALSE)</f>
        <v>53</v>
      </c>
      <c r="AI142" s="1">
        <f>VLOOKUP(A142,'SegEnds_NonXtal_Prot#'!A:AL,31,FALSE)-VLOOKUP(A142,'SegEnds_NonXtal_Prot#'!A:AL,28,FALSE)</f>
        <v>82</v>
      </c>
      <c r="AJ142" s="1">
        <f>VLOOKUP(A142,'SegEnds_NonXtal_Prot#'!A:AL,34,FALSE)-VLOOKUP(A142,'SegEnds_NonXtal_Prot#'!A:AL,31,FALSE)</f>
        <v>36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264</v>
      </c>
      <c r="B143" s="1" t="str">
        <f>VLOOKUP(A143,Xtal_Templ!A:B,2,FALSE)</f>
        <v>drd3_human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58</v>
      </c>
      <c r="O143" s="87">
        <f>VLOOKUP($B143&amp;"__wt",'SegEnds_Xtal_BW#'!$A:$Z,15,FALSE)</f>
        <v>38</v>
      </c>
      <c r="P143" s="1">
        <f>VLOOKUP($B143&amp;"__wt",'SegEnds_Xtal_BW#'!$A:$Z,16,FALSE)</f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v>35</v>
      </c>
      <c r="T143" s="1">
        <f t="array" ref="T143">INDEX(ICL3_classA!$G$2:$G$37,MATCH(MIN(ABS(AI143-ICL3_classA!$F$2:$F$37)),ABS(AI143-ICL3_classA!$F$2:$F$37),0))</f>
        <v>76</v>
      </c>
      <c r="U143" s="1">
        <f t="array" ref="U143">INDEX(ICL3_classA!$H$2:$H$37,MATCH(MIN(ABS(AI143-ICL3_classA!$F$2:$F$37)),ABS(AI143-ICL3_classA!$F$2:$F$37),0))</f>
        <v>24</v>
      </c>
      <c r="V143" s="1">
        <v>58</v>
      </c>
      <c r="W143" s="1">
        <v>35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26</v>
      </c>
      <c r="AC143" s="1" t="e">
        <f>VLOOKUP(A143,'SegEnds_NonXtal_Prot#'!A:AL,10,FALSE)-VLOOKUP(A143,'SegEnds_NonXtal_Prot#'!A:AL,7,FALSE)</f>
        <v>#VALUE!</v>
      </c>
      <c r="AD143" s="1" t="e">
        <f>VLOOKUP(A143,'SegEnds_NonXtal_Prot#'!A:AL,13,FALSE)-VLOOKUP(A143,'SegEnds_NonXtal_Prot#'!A:AL,10,FALSE)</f>
        <v>#VALUE!</v>
      </c>
      <c r="AE143" s="1">
        <f>VLOOKUP(A143,'SegEnds_NonXtal_Prot#'!A:AL,16,FALSE)-VLOOKUP(A143,'SegEnds_NonXtal_Prot#'!A:AL,10,FALSE)</f>
        <v>55</v>
      </c>
      <c r="AF143" s="1" t="e">
        <f>VLOOKUP(A143,'SegEnds_NonXtal_Prot#'!A:AL,22,FALSE)-VLOOKUP(A143,'SegEnds_NonXtal_Prot#'!A:AL,19,FALSE)</f>
        <v>#VALUE!</v>
      </c>
      <c r="AG143" s="1">
        <f>VLOOKUP(A143,'SegEnds_NonXtal_Prot#'!A:AL,28,FALSE)-VLOOKUP(A143,'SegEnds_NonXtal_Prot#'!A:AL,25,FALSE)</f>
        <v>22</v>
      </c>
      <c r="AH143" s="1">
        <f>VLOOKUP(A143,'SegEnds_NonXtal_Prot#'!A:AL,28,FALSE)-VLOOKUP(A143,'SegEnds_NonXtal_Prot#'!A:AL,22,FALSE)</f>
        <v>47</v>
      </c>
      <c r="AI143" s="1">
        <f>VLOOKUP(A143,'SegEnds_NonXtal_Prot#'!A:AL,31,FALSE)-VLOOKUP(A143,'SegEnds_NonXtal_Prot#'!A:AL,28,FALSE)</f>
        <v>72</v>
      </c>
      <c r="AJ143" s="1">
        <f>VLOOKUP(A143,'SegEnds_NonXtal_Prot#'!A:AL,34,FALSE)-VLOOKUP(A143,'SegEnds_NonXtal_Prot#'!A:AL,31,FALSE)</f>
        <v>31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265</v>
      </c>
      <c r="B144" s="1" t="str">
        <f>VLOOKUP(A144,Xtal_Templ!A:B,2,FALSE)</f>
        <v>5ht2c_human</v>
      </c>
      <c r="C144" s="5">
        <f>VLOOKUP($B144&amp;"__wt",'SegEnds_Xtal_BW#'!$A:$Z,3,FALSE)</f>
        <v>33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68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7">
        <v>38</v>
      </c>
      <c r="P144" s="1">
        <f>VLOOKUP($B144&amp;"__wt",'SegEnds_Xtal_BW#'!$A:$Z,16,FALSE)</f>
        <v>67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INDEX(ICL3_classA!$G$2:$G$37,MATCH(MIN(ABS(AI144-ICL3_classA!$F$2:$F$37)),ABS(AI144-ICL3_classA!$F$2:$F$37),0))</f>
        <v>76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60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 t="e">
        <f>VLOOKUP(A144,'SegEnds_NonXtal_Prot#'!A:AL,22,FALSE)-VLOOKUP(A144,'SegEnds_NonXtal_Prot#'!A:AL,19,FALSE)</f>
        <v>#VALUE!</v>
      </c>
      <c r="AG144" s="1">
        <f>VLOOKUP(A144,'SegEnds_NonXtal_Prot#'!A:AL,28,FALSE)-VLOOKUP(A144,'SegEnds_NonXtal_Prot#'!A:AL,25,FALSE)</f>
        <v>25</v>
      </c>
      <c r="AH144" s="1">
        <f>VLOOKUP(A144,'SegEnds_NonXtal_Prot#'!A:AL,28,FALSE)-VLOOKUP(A144,'SegEnds_NonXtal_Prot#'!A:AL,22,FALSE)</f>
        <v>51</v>
      </c>
      <c r="AI144" s="1">
        <f>VLOOKUP(A144,'SegEnds_NonXtal_Prot#'!A:AL,31,FALSE)-VLOOKUP(A144,'SegEnds_NonXtal_Prot#'!A:AL,28,FALSE)</f>
        <v>75</v>
      </c>
      <c r="AJ144" s="1">
        <f>VLOOKUP(A144,'SegEnds_NonXtal_Prot#'!A:AL,34,FALSE)-VLOOKUP(A144,'SegEnds_NonXtal_Prot#'!A:AL,31,FALSE)</f>
        <v>39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266</v>
      </c>
      <c r="B145" s="1" t="str">
        <f>VLOOKUP(A145,Xtal_Templ!A:B,2,FALSE)</f>
        <v>drd2_human</v>
      </c>
      <c r="C145" s="5">
        <f>VLOOKUP($B145&amp;"__wt",'SegEnds_Xtal_BW#'!$A:$Z,3,FALSE)</f>
        <v>29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58</v>
      </c>
      <c r="O145" s="87">
        <f>VLOOKUP($B145&amp;"__wt",'SegEnds_Xtal_BW#'!$A:$Z,15,FALSE)</f>
        <v>38</v>
      </c>
      <c r="P145" s="1">
        <f>VLOOKUP($B145&amp;"__wt",'SegEnds_Xtal_BW#'!$A:$Z,16,FALSE)</f>
        <v>62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35</v>
      </c>
      <c r="T145" s="1">
        <f t="array" ref="T145">INDEX(ICL3_classA!$G$2:$G$37,MATCH(MIN(ABS(AI145-ICL3_classA!$F$2:$F$37)),ABS(AI145-ICL3_classA!$F$2:$F$37),0))</f>
        <v>76</v>
      </c>
      <c r="U145" s="1">
        <f t="array" ref="U145">INDEX(ICL3_classA!$H$2:$H$37,MATCH(MIN(ABS(AI145-ICL3_classA!$F$2:$F$37)),ABS(AI145-ICL3_classA!$F$2:$F$37),0))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30</v>
      </c>
      <c r="AC145" s="1">
        <f>VLOOKUP(A145,'SegEnds_NonXtal_Prot#'!A:AL,10,FALSE)-VLOOKUP(A145,'SegEnds_NonXtal_Prot#'!A:AL,7,FALSE)</f>
        <v>15</v>
      </c>
      <c r="AD145" s="1" t="e">
        <f>VLOOKUP(A145,'SegEnds_NonXtal_Prot#'!A:AL,13,FALSE)-VLOOKUP(A145,'SegEnds_NonXtal_Prot#'!A:AL,10,FALSE)</f>
        <v>#VALUE!</v>
      </c>
      <c r="AE145" s="1">
        <f>VLOOKUP(A145,'SegEnds_NonXtal_Prot#'!A:AL,16,FALSE)-VLOOKUP(A145,'SegEnds_NonXtal_Prot#'!A:AL,10,FALSE)</f>
        <v>53</v>
      </c>
      <c r="AF145" s="1" t="e">
        <f>VLOOKUP(A145,'SegEnds_NonXtal_Prot#'!A:AL,22,FALSE)-VLOOKUP(A145,'SegEnds_NonXtal_Prot#'!A:AL,19,FALSE)</f>
        <v>#VALUE!</v>
      </c>
      <c r="AG145" s="1">
        <f>VLOOKUP(A145,'SegEnds_NonXtal_Prot#'!A:AL,28,FALSE)-VLOOKUP(A145,'SegEnds_NonXtal_Prot#'!A:AL,25,FALSE)</f>
        <v>25</v>
      </c>
      <c r="AH145" s="1">
        <f>VLOOKUP(A145,'SegEnds_NonXtal_Prot#'!A:AL,28,FALSE)-VLOOKUP(A145,'SegEnds_NonXtal_Prot#'!A:AL,22,FALSE)</f>
        <v>45</v>
      </c>
      <c r="AI145" s="1">
        <f>VLOOKUP(A145,'SegEnds_NonXtal_Prot#'!A:AL,31,FALSE)-VLOOKUP(A145,'SegEnds_NonXtal_Prot#'!A:AL,28,FALSE)</f>
        <v>122</v>
      </c>
      <c r="AJ145" s="1">
        <f>VLOOKUP(A145,'SegEnds_NonXtal_Prot#'!A:AL,34,FALSE)-VLOOKUP(A145,'SegEnds_NonXtal_Prot#'!A:AL,31,FALSE)</f>
        <v>37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267</v>
      </c>
      <c r="B146" s="1" t="str">
        <f>VLOOKUP(A146,Xtal_Templ!A:B,2,FALSE)</f>
        <v>drd2_human</v>
      </c>
      <c r="C146" s="5">
        <f>VLOOKUP($B146&amp;"__wt",'SegEnds_Xtal_BW#'!$A:$Z,3,FALSE)</f>
        <v>29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62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35</v>
      </c>
      <c r="T146" s="1">
        <f t="array" ref="T146">INDEX(ICL3_classA!$G$2:$G$37,MATCH(MIN(ABS(AI146-ICL3_classA!$F$2:$F$37)),ABS(AI146-ICL3_classA!$F$2:$F$37),0))</f>
        <v>76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">
        <v>31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29</v>
      </c>
      <c r="AC146" s="1">
        <f>VLOOKUP(A146,'SegEnds_NonXtal_Prot#'!A:AL,10,FALSE)-VLOOKUP(A146,'SegEnds_NonXtal_Prot#'!A:AL,7,FALSE)</f>
        <v>16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28</v>
      </c>
      <c r="AH146" s="1">
        <f>VLOOKUP(A146,'SegEnds_NonXtal_Prot#'!A:AL,28,FALSE)-VLOOKUP(A146,'SegEnds_NonXtal_Prot#'!A:AL,22,FALSE)</f>
        <v>53</v>
      </c>
      <c r="AI146" s="1">
        <f>VLOOKUP(A146,'SegEnds_NonXtal_Prot#'!A:AL,31,FALSE)-VLOOKUP(A146,'SegEnds_NonXtal_Prot#'!A:AL,28,FALSE)</f>
        <v>72</v>
      </c>
      <c r="AJ146" s="1">
        <f>VLOOKUP(A146,'SegEnds_NonXtal_Prot#'!A:AL,34,FALSE)-VLOOKUP(A146,'SegEnds_NonXtal_Prot#'!A:AL,31,FALSE)</f>
        <v>35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268</v>
      </c>
      <c r="B147" s="1" t="str">
        <f>VLOOKUP(A147,Xtal_Templ!A:B,2,FALSE)</f>
        <v>oprm_mouse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31</v>
      </c>
      <c r="T147" s="1">
        <f t="array" ref="T147">INDEX(ICL3_classA!$G$2:$G$37,MATCH(MIN(ABS(AI147-ICL3_classA!$F$2:$F$37)),ABS(AI147-ICL3_classA!$F$2:$F$37),0))</f>
        <v>68</v>
      </c>
      <c r="U147" s="1">
        <f t="array" ref="U147">INDEX(ICL3_classA!$H$2:$H$37,MATCH(MIN(ABS(AI147-ICL3_classA!$F$2:$F$37)),ABS(AI147-ICL3_classA!$F$2:$F$37),0))</f>
        <v>23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 t="e">
        <f>VLOOKUP(A147,'SegEnds_NonXtal_Prot#'!A:AL,10,FALSE)-VLOOKUP(A147,'SegEnds_NonXtal_Prot#'!A:AL,7,FALSE)</f>
        <v>#VALUE!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56</v>
      </c>
      <c r="AF147" s="1">
        <f>VLOOKUP(A147,'SegEnds_NonXtal_Prot#'!A:AL,22,FALSE)-VLOOKUP(A147,'SegEnds_NonXtal_Prot#'!A:AL,19,FALSE)</f>
        <v>20</v>
      </c>
      <c r="AG147" s="1" t="e">
        <f>VLOOKUP(A147,'SegEnds_NonXtal_Prot#'!A:AL,28,FALSE)-VLOOKUP(A147,'SegEnds_NonXtal_Prot#'!A:AL,25,FALSE)</f>
        <v>#VALUE!</v>
      </c>
      <c r="AH147" s="1">
        <f>VLOOKUP(A147,'SegEnds_NonXtal_Prot#'!A:AL,28,FALSE)-VLOOKUP(A147,'SegEnds_NonXtal_Prot#'!A:AL,22,FALSE)</f>
        <v>53</v>
      </c>
      <c r="AI147" s="1">
        <f>VLOOKUP(A147,'SegEnds_NonXtal_Prot#'!A:AL,31,FALSE)-VLOOKUP(A147,'SegEnds_NonXtal_Prot#'!A:AL,28,FALSE)</f>
        <v>51</v>
      </c>
      <c r="AJ147" s="1">
        <f>VLOOKUP(A147,'SegEnds_NonXtal_Prot#'!A:AL,34,FALSE)-VLOOKUP(A147,'SegEnds_NonXtal_Prot#'!A:AL,31,FALSE)</f>
        <v>42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269</v>
      </c>
      <c r="B148" s="1" t="str">
        <f>VLOOKUP(A148,Xtal_Templ!A:B,2,FALSE)</f>
        <v>ox2r_human</v>
      </c>
      <c r="C148" s="5">
        <f>VLOOKUP($B148&amp;"__wt",'SegEnds_Xtal_BW#'!$A:$Z,3,FALSE)</f>
        <v>31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68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56</v>
      </c>
      <c r="O148" s="87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33</v>
      </c>
      <c r="T148" s="1">
        <f t="array" ref="T148">INDEX(ICL3_classA!$G$2:$G$37,MATCH(MIN(ABS(AI148-ICL3_classA!$F$2:$F$37)),ABS(AI148-ICL3_classA!$F$2:$F$37),0))</f>
        <v>73</v>
      </c>
      <c r="U148" s="1">
        <f t="array" ref="U148">INDEX(ICL3_classA!$H$2:$H$37,MATCH(MIN(ABS(AI148-ICL3_classA!$F$2:$F$37)),ABS(AI148-ICL3_classA!$F$2:$F$37),0))</f>
        <v>22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 t="e">
        <f>VLOOKUP(A148,'SegEnds_NonXtal_Prot#'!A:AL,22,FALSE)-VLOOKUP(A148,'SegEnds_NonXtal_Prot#'!A:AL,19,FALSE)</f>
        <v>#VALUE!</v>
      </c>
      <c r="AG148" s="1">
        <f>VLOOKUP(A148,'SegEnds_NonXtal_Prot#'!A:AL,28,FALSE)-VLOOKUP(A148,'SegEnds_NonXtal_Prot#'!A:AL,25,FALSE)</f>
        <v>27</v>
      </c>
      <c r="AH148" s="1">
        <f>VLOOKUP(A148,'SegEnds_NonXtal_Prot#'!A:AL,28,FALSE)-VLOOKUP(A148,'SegEnds_NonXtal_Prot#'!A:AL,22,FALSE)</f>
        <v>57</v>
      </c>
      <c r="AI148" s="1">
        <f>VLOOKUP(A148,'SegEnds_NonXtal_Prot#'!A:AL,31,FALSE)-VLOOKUP(A148,'SegEnds_NonXtal_Prot#'!A:AL,28,FALSE)</f>
        <v>56</v>
      </c>
      <c r="AJ148" s="1">
        <f>VLOOKUP(A148,'SegEnds_NonXtal_Prot#'!A:AL,34,FALSE)-VLOOKUP(A148,'SegEnds_NonXtal_Prot#'!A:AL,31,FALSE)</f>
        <v>35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270</v>
      </c>
      <c r="B149" s="1" t="str">
        <f>VLOOKUP(A149,Xtal_Templ!A:B,2,FALSE)</f>
        <v>5ht2c_human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68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67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35</v>
      </c>
      <c r="T149" s="1">
        <f t="array" ref="T149">INDEX(ICL3_classA!$G$2:$G$37,MATCH(MIN(ABS(AI149-ICL3_classA!$F$2:$F$37)),ABS(AI149-ICL3_classA!$F$2:$F$37),0))</f>
        <v>74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33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 t="e">
        <f>VLOOKUP(A149,'SegEnds_NonXtal_Prot#'!A:AL,13,FALSE)-VLOOKUP(A149,'SegEnds_NonXtal_Prot#'!A:AL,10,FALSE)</f>
        <v>#VALUE!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67</v>
      </c>
      <c r="AH149" s="1">
        <f>VLOOKUP(A149,'SegEnds_NonXtal_Prot#'!A:AL,28,FALSE)-VLOOKUP(A149,'SegEnds_NonXtal_Prot#'!A:AL,22,FALSE)</f>
        <v>90</v>
      </c>
      <c r="AI149" s="1">
        <f>VLOOKUP(A149,'SegEnds_NonXtal_Prot#'!A:AL,31,FALSE)-VLOOKUP(A149,'SegEnds_NonXtal_Prot#'!A:AL,28,FALSE)</f>
        <v>99</v>
      </c>
      <c r="AJ149" s="1">
        <f>VLOOKUP(A149,'SegEnds_NonXtal_Prot#'!A:AL,34,FALSE)-VLOOKUP(A149,'SegEnds_NonXtal_Prot#'!A:AL,31,FALSE)</f>
        <v>33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271</v>
      </c>
      <c r="B150" s="1" t="str">
        <f>VLOOKUP(A150,Xtal_Templ!A:B,2,FALSE)</f>
        <v>5ht2c_human</v>
      </c>
      <c r="C150" s="5">
        <f>VLOOKUP($B150&amp;"__wt",'SegEnds_Xtal_BW#'!$A:$Z,3,FALSE)</f>
        <v>33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68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67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v>35</v>
      </c>
      <c r="T150" s="1">
        <f t="array" ref="T150">INDEX(ICL3_classA!$G$2:$G$37,MATCH(MIN(ABS(AI150-ICL3_classA!$F$2:$F$37)),ABS(AI150-ICL3_classA!$F$2:$F$37),0))</f>
        <v>76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21</v>
      </c>
      <c r="AE150" s="1">
        <f>VLOOKUP(A150,'SegEnds_NonXtal_Prot#'!A:AL,16,FALSE)-VLOOKUP(A150,'SegEnds_NonXtal_Prot#'!A:AL,10,FALSE)</f>
        <v>53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61</v>
      </c>
      <c r="AH150" s="1">
        <f>VLOOKUP(A150,'SegEnds_NonXtal_Prot#'!A:AL,28,FALSE)-VLOOKUP(A150,'SegEnds_NonXtal_Prot#'!A:AL,22,FALSE)</f>
        <v>87</v>
      </c>
      <c r="AI150" s="1">
        <f>VLOOKUP(A150,'SegEnds_NonXtal_Prot#'!A:AL,31,FALSE)-VLOOKUP(A150,'SegEnds_NonXtal_Prot#'!A:AL,28,FALSE)</f>
        <v>67</v>
      </c>
      <c r="AJ150" s="1">
        <f>VLOOKUP(A150,'SegEnds_NonXtal_Prot#'!A:AL,34,FALSE)-VLOOKUP(A150,'SegEnds_NonXtal_Prot#'!A:AL,31,FALSE)</f>
        <v>36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272</v>
      </c>
      <c r="B151" s="1" t="str">
        <f>VLOOKUP(A151,Xtal_Templ!A:B,2,FALSE)</f>
        <v>p2y12_human</v>
      </c>
      <c r="C151" s="5">
        <f>VLOOKUP($B151&amp;"__wt",'SegEnds_Xtal_BW#'!$A:$Z,3,FALSE)</f>
        <v>28</v>
      </c>
      <c r="D151" s="1">
        <f>VLOOKUP($B151&amp;"__wt",'SegEnds_Xtal_BW#'!$A:$Z,4,FALSE)</f>
        <v>60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66</v>
      </c>
      <c r="I151" s="1" t="str">
        <f>VLOOKUP($B151&amp;"__wt",'SegEnds_Xtal_BW#'!$A:$Z,9,FALSE)</f>
        <v>-</v>
      </c>
      <c r="J151" s="1" t="str">
        <f>VLOOKUP($B151&amp;"__wt",'SegEnds_Xtal_BW#'!$A:$Z,10,FALSE)</f>
        <v>-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30</v>
      </c>
      <c r="T151" s="1">
        <f t="array" ref="T151">INDEX(ICL3_classA!$G$2:$G$37,MATCH(MIN(ABS(AI151-ICL3_classA!$F$2:$F$37)),ABS(AI151-ICL3_classA!$F$2:$F$37),0))</f>
        <v>68</v>
      </c>
      <c r="U151" s="1">
        <f t="array" ref="U151">INDEX(ICL3_classA!$H$2:$H$37,MATCH(MIN(ABS(AI151-ICL3_classA!$F$2:$F$37)),ABS(AI151-ICL3_classA!$F$2:$F$37),0))</f>
        <v>24</v>
      </c>
      <c r="V151" s="1">
        <v>64</v>
      </c>
      <c r="W151" s="1">
        <v>24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57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27</v>
      </c>
      <c r="AC151" s="1" t="e">
        <f>VLOOKUP(A151,'SegEnds_NonXtal_Prot#'!A:AL,10,FALSE)-VLOOKUP(A151,'SegEnds_NonXtal_Prot#'!A:AL,7,FALSE)</f>
        <v>#VALUE!</v>
      </c>
      <c r="AD151" s="1">
        <f>VLOOKUP(A151,'SegEnds_NonXtal_Prot#'!A:AL,13,FALSE)-VLOOKUP(A151,'SegEnds_NonXtal_Prot#'!A:AL,10,FALSE)</f>
        <v>20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26</v>
      </c>
      <c r="AH151" s="1">
        <f>VLOOKUP(A151,'SegEnds_NonXtal_Prot#'!A:AL,28,FALSE)-VLOOKUP(A151,'SegEnds_NonXtal_Prot#'!A:AL,22,FALSE)</f>
        <v>52</v>
      </c>
      <c r="AI151" s="1">
        <f>VLOOKUP(A151,'SegEnds_NonXtal_Prot#'!A:AL,31,FALSE)-VLOOKUP(A151,'SegEnds_NonXtal_Prot#'!A:AL,28,FALSE)</f>
        <v>49</v>
      </c>
      <c r="AJ151" s="1">
        <f>VLOOKUP(A151,'SegEnds_NonXtal_Prot#'!A:AL,34,FALSE)-VLOOKUP(A151,'SegEnds_NonXtal_Prot#'!A:AL,31,FALSE)</f>
        <v>44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273</v>
      </c>
      <c r="B152" s="1" t="str">
        <f>VLOOKUP(A152,Xtal_Templ!A:B,2,FALSE)</f>
        <v>ox1r_human</v>
      </c>
      <c r="C152" s="5">
        <f>VLOOKUP($B152&amp;"__wt",'SegEnds_Xtal_BW#'!$A:$Z,3,FALSE)</f>
        <v>32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f>VLOOKUP($B152&amp;"__wt",'SegEnds_Xtal_BW#'!$A:$Z,15,FALSE)</f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74</v>
      </c>
      <c r="U152" s="1">
        <f t="array" ref="U152">INDEX(ICL3_classA!$H$2:$H$37,MATCH(MIN(ABS(AI152-ICL3_classA!$F$2:$F$37)),ABS(AI152-ICL3_classA!$F$2:$F$37),0))</f>
        <v>21</v>
      </c>
      <c r="V152" s="1">
        <v>61</v>
      </c>
      <c r="W152" s="1">
        <v>32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61</v>
      </c>
      <c r="AF152" s="1">
        <f>VLOOKUP(A152,'SegEnds_NonXtal_Prot#'!A:AL,22,FALSE)-VLOOKUP(A152,'SegEnds_NonXtal_Prot#'!A:AL,19,FALSE)</f>
        <v>20</v>
      </c>
      <c r="AG152" s="1" t="e">
        <f>VLOOKUP(A152,'SegEnds_NonXtal_Prot#'!A:AL,28,FALSE)-VLOOKUP(A152,'SegEnds_NonXtal_Prot#'!A:AL,25,FALSE)</f>
        <v>#VALUE!</v>
      </c>
      <c r="AH152" s="1">
        <f>VLOOKUP(A152,'SegEnds_NonXtal_Prot#'!A:AL,28,FALSE)-VLOOKUP(A152,'SegEnds_NonXtal_Prot#'!A:AL,22,FALSE)</f>
        <v>72</v>
      </c>
      <c r="AI152" s="1">
        <f>VLOOKUP(A152,'SegEnds_NonXtal_Prot#'!A:AL,31,FALSE)-VLOOKUP(A152,'SegEnds_NonXtal_Prot#'!A:AL,28,FALSE)</f>
        <v>61</v>
      </c>
      <c r="AJ152" s="1">
        <f>VLOOKUP(A152,'SegEnds_NonXtal_Prot#'!A:AL,34,FALSE)-VLOOKUP(A152,'SegEnds_NonXtal_Prot#'!A:AL,31,FALSE)</f>
        <v>34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274</v>
      </c>
      <c r="B153" s="1" t="str">
        <f>VLOOKUP(A153,Xtal_Templ!A:B,2,FALSE)</f>
        <v>ednrb_human</v>
      </c>
      <c r="C153" s="5">
        <f>VLOOKUP($B153&amp;"__wt",'SegEnds_Xtal_BW#'!$A:$Z,3,FALSE)</f>
        <v>22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52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28</v>
      </c>
      <c r="T153" s="1">
        <f t="array" ref="T153">INDEX(ICL3_classA!$G$2:$G$37,MATCH(MIN(ABS(AI153-ICL3_classA!$F$2:$F$37)),ABS(AI153-ICL3_classA!$F$2:$F$37),0))</f>
        <v>73</v>
      </c>
      <c r="U153" s="1">
        <f t="array" ref="U153">INDEX(ICL3_classA!$H$2:$H$37,MATCH(MIN(ABS(AI153-ICL3_classA!$F$2:$F$37)),ABS(AI153-ICL3_classA!$F$2:$F$37),0))</f>
        <v>22</v>
      </c>
      <c r="V153" s="1">
        <v>61</v>
      </c>
      <c r="W153" s="1">
        <v>28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60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20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26</v>
      </c>
      <c r="AH153" s="1">
        <f>VLOOKUP(A153,'SegEnds_NonXtal_Prot#'!A:AL,28,FALSE)-VLOOKUP(A153,'SegEnds_NonXtal_Prot#'!A:AL,22,FALSE)</f>
        <v>57</v>
      </c>
      <c r="AI153" s="1">
        <f>VLOOKUP(A153,'SegEnds_NonXtal_Prot#'!A:AL,31,FALSE)-VLOOKUP(A153,'SegEnds_NonXtal_Prot#'!A:AL,28,FALSE)</f>
        <v>57</v>
      </c>
      <c r="AJ153" s="1">
        <f>VLOOKUP(A153,'SegEnds_NonXtal_Prot#'!A:AL,34,FALSE)-VLOOKUP(A153,'SegEnds_NonXtal_Prot#'!A:AL,31,FALSE)</f>
        <v>40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275</v>
      </c>
      <c r="B154" s="1" t="str">
        <f>VLOOKUP(A154,Xtal_Templ!A:B,2,FALSE)</f>
        <v>p2ry1_human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 t="str">
        <f>VLOOKUP($B154&amp;"__wt",'SegEnds_Xtal_BW#'!$A:$Z,5,FALSE)</f>
        <v>-</v>
      </c>
      <c r="F154" s="1" t="str">
        <f>VLOOKUP($B154&amp;"__wt",'SegEnds_Xtal_BW#'!$A:$Z,6,FALSE)</f>
        <v>-</v>
      </c>
      <c r="G154" s="1">
        <v>37</v>
      </c>
      <c r="H154" s="12">
        <f>VLOOKUP($B154&amp;"__wt",'SegEnds_Xtal_BW#'!$A:$Z,8,FALSE)</f>
        <v>66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INDEX(ICL3_classA!$G$2:$G$37,MATCH(MIN(ABS(AI154-ICL3_classA!$F$2:$F$37)),ABS(AI154-ICL3_classA!$F$2:$F$37),0))</f>
        <v>67</v>
      </c>
      <c r="U154" s="1">
        <f t="array" ref="U154">INDEX(ICL3_classA!$H$2:$H$37,MATCH(MIN(ABS(AI154-ICL3_classA!$F$2:$F$37)),ABS(AI154-ICL3_classA!$F$2:$F$37),0))</f>
        <v>26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 t="e">
        <f>VLOOKUP(A154,'SegEnds_NonXtal_Prot#'!A:AL,10,FALSE)-VLOOKUP(A154,'SegEnds_NonXtal_Prot#'!A:AL,7,FALSE)</f>
        <v>#VALUE!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23</v>
      </c>
      <c r="AH154" s="1">
        <f>VLOOKUP(A154,'SegEnds_NonXtal_Prot#'!A:AL,28,FALSE)-VLOOKUP(A154,'SegEnds_NonXtal_Prot#'!A:AL,22,FALSE)</f>
        <v>48</v>
      </c>
      <c r="AI154" s="1">
        <f>VLOOKUP(A154,'SegEnds_NonXtal_Prot#'!A:AL,31,FALSE)-VLOOKUP(A154,'SegEnds_NonXtal_Prot#'!A:AL,28,FALSE)</f>
        <v>47</v>
      </c>
      <c r="AJ154" s="1">
        <f>VLOOKUP(A154,'SegEnds_NonXtal_Prot#'!A:AL,34,FALSE)-VLOOKUP(A154,'SegEnds_NonXtal_Prot#'!A:AL,31,FALSE)</f>
        <v>40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276</v>
      </c>
      <c r="B155" s="1" t="str">
        <f>VLOOKUP(A155,Xtal_Templ!A:B,2,FALSE)</f>
        <v>oprk_human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30</v>
      </c>
      <c r="T155" s="1">
        <f t="array" ref="T155">INDEX(ICL3_classA!$G$2:$G$37,MATCH(MIN(ABS(AI155-ICL3_classA!$F$2:$F$37)),ABS(AI155-ICL3_classA!$F$2:$F$37),0))</f>
        <v>67</v>
      </c>
      <c r="U155" s="1">
        <f t="array" ref="U155">INDEX(ICL3_classA!$H$2:$H$37,MATCH(MIN(ABS(AI155-ICL3_classA!$F$2:$F$37)),ABS(AI155-ICL3_classA!$F$2:$F$37),0))</f>
        <v>26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 t="e">
        <f>VLOOKUP(A155,'SegEnds_NonXtal_Prot#'!A:AL,10,FALSE)-VLOOKUP(A155,'SegEnds_NonXtal_Prot#'!A:AL,7,FALSE)</f>
        <v>#VALUE!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23</v>
      </c>
      <c r="AH155" s="1">
        <f>VLOOKUP(A155,'SegEnds_NonXtal_Prot#'!A:AL,28,FALSE)-VLOOKUP(A155,'SegEnds_NonXtal_Prot#'!A:AL,22,FALSE)</f>
        <v>48</v>
      </c>
      <c r="AI155" s="1">
        <f>VLOOKUP(A155,'SegEnds_NonXtal_Prot#'!A:AL,31,FALSE)-VLOOKUP(A155,'SegEnds_NonXtal_Prot#'!A:AL,28,FALSE)</f>
        <v>46</v>
      </c>
      <c r="AJ155" s="1">
        <f>VLOOKUP(A155,'SegEnds_NonXtal_Prot#'!A:AL,34,FALSE)-VLOOKUP(A155,'SegEnds_NonXtal_Prot#'!A:AL,31,FALSE)</f>
        <v>45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277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64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 t="e">
        <f>VLOOKUP(A156,'SegEnds_NonXtal_Prot#'!A:AL,10,FALSE)-VLOOKUP(A156,'SegEnds_NonXtal_Prot#'!A:AL,7,FALSE)</f>
        <v>#VALUE!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23</v>
      </c>
      <c r="AH156" s="1">
        <f>VLOOKUP(A156,'SegEnds_NonXtal_Prot#'!A:AL,28,FALSE)-VLOOKUP(A156,'SegEnds_NonXtal_Prot#'!A:AL,22,FALSE)</f>
        <v>48</v>
      </c>
      <c r="AI156" s="1">
        <f>VLOOKUP(A156,'SegEnds_NonXtal_Prot#'!A:AL,31,FALSE)-VLOOKUP(A156,'SegEnds_NonXtal_Prot#'!A:AL,28,FALSE)</f>
        <v>46</v>
      </c>
      <c r="AJ156" s="1">
        <f>VLOOKUP(A156,'SegEnds_NonXtal_Prot#'!A:AL,34,FALSE)-VLOOKUP(A156,'SegEnds_NonXtal_Prot#'!A:AL,31,FALSE)</f>
        <v>45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278</v>
      </c>
      <c r="B157" s="1" t="str">
        <f>VLOOKUP(A157,Xtal_Templ!A:B,2,FALSE)</f>
        <v>hrh1_human</v>
      </c>
      <c r="C157" s="5">
        <f>VLOOKUP($B157&amp;"__wt",'SegEnds_Xtal_BW#'!$A:$Z,3,FALSE)</f>
        <v>34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7">
        <f>VLOOKUP($B157&amp;"__wt",'SegEnds_Xtal_BW#'!$A:$Z,15,FALSE)</f>
        <v>38</v>
      </c>
      <c r="P157" s="1">
        <f>VLOOKUP($B157&amp;"__wt",'SegEnds_Xtal_BW#'!$A:$Z,16,FALSE)</f>
        <v>62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v>35</v>
      </c>
      <c r="T157" s="1">
        <f t="array" ref="T157">INDEX(ICL3_classA!$G$2:$G$37,MATCH(MIN(ABS(AI157-ICL3_classA!$F$2:$F$37)),ABS(AI157-ICL3_classA!$F$2:$F$37),0))</f>
        <v>76</v>
      </c>
      <c r="U157" s="1">
        <f t="array" ref="U157">INDEX(ICL3_classA!$H$2:$H$37,MATCH(MIN(ABS(AI157-ICL3_classA!$F$2:$F$37)),ABS(AI157-ICL3_classA!$F$2:$F$37),0))</f>
        <v>24</v>
      </c>
      <c r="V157" s="1">
        <v>61</v>
      </c>
      <c r="W157" s="1">
        <v>31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22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228</v>
      </c>
      <c r="AJ157" s="1">
        <f>VLOOKUP(A157,'SegEnds_NonXtal_Prot#'!A:AL,34,FALSE)-VLOOKUP(A157,'SegEnds_NonXtal_Prot#'!A:AL,31,FALSE)</f>
        <v>35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Xtal</v>
      </c>
    </row>
    <row r="158" spans="1:38" x14ac:dyDescent="0.2">
      <c r="A158" s="1" t="s">
        <v>279</v>
      </c>
      <c r="B158" s="1" t="str">
        <f>VLOOKUP(A158,Xtal_Templ!A:B,2,FALSE)</f>
        <v>adrb2_human</v>
      </c>
      <c r="C158" s="5">
        <f>VLOOKUP($B158&amp;"__wt",'SegEnds_Xtal_BW#'!$A:$Z,3,FALSE)</f>
        <v>25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v>35</v>
      </c>
      <c r="T158" s="1">
        <f t="array" ref="T158">INDEX(ICL3_classA!$G$2:$G$37,MATCH(MIN(ABS(AI158-ICL3_classA!$F$2:$F$37)),ABS(AI158-ICL3_classA!$F$2:$F$37),0))</f>
        <v>73</v>
      </c>
      <c r="U158" s="1">
        <f t="array" ref="U158">INDEX(ICL3_classA!$H$2:$H$37,MATCH(MIN(ABS(AI158-ICL3_classA!$F$2:$F$37)),ABS(AI158-ICL3_classA!$F$2:$F$37),0))</f>
        <v>22</v>
      </c>
      <c r="V158" s="1">
        <v>61</v>
      </c>
      <c r="W158" s="1">
        <v>31</v>
      </c>
      <c r="X158" s="108"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20</v>
      </c>
      <c r="AH158" s="1">
        <f>VLOOKUP(A158,'SegEnds_NonXtal_Prot#'!A:AL,28,FALSE)-VLOOKUP(A158,'SegEnds_NonXtal_Prot#'!A:AL,22,FALSE)</f>
        <v>51</v>
      </c>
      <c r="AI158" s="1">
        <f>VLOOKUP(A158,'SegEnds_NonXtal_Prot#'!A:AL,31,FALSE)-VLOOKUP(A158,'SegEnds_NonXtal_Prot#'!A:AL,28,FALSE)</f>
        <v>55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280</v>
      </c>
      <c r="B159" s="1" t="str">
        <f>VLOOKUP(A159,Xtal_Templ!A:B,2,FALSE)</f>
        <v>hrh1_human</v>
      </c>
      <c r="C159" s="5">
        <f>VLOOKUP($B159&amp;"__wt",'SegEnds_Xtal_BW#'!$A:$Z,3,FALSE)</f>
        <v>34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58</v>
      </c>
      <c r="O159" s="87">
        <f>VLOOKUP($B159&amp;"__wt",'SegEnds_Xtal_BW#'!$A:$Z,15,FALSE)</f>
        <v>38</v>
      </c>
      <c r="P159" s="1"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INDEX(ICL3_classA!$G$2:$G$37,MATCH(MIN(ABS(AI159-ICL3_classA!$F$2:$F$37)),ABS(AI159-ICL3_classA!$F$2:$F$37),0))</f>
        <v>75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">
        <v>31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21</v>
      </c>
      <c r="AG159" s="1">
        <f>VLOOKUP(A159,'SegEnds_NonXtal_Prot#'!A:AL,28,FALSE)-VLOOKUP(A159,'SegEnds_NonXtal_Prot#'!A:AL,25,FALSE)</f>
        <v>22</v>
      </c>
      <c r="AH159" s="1">
        <f>VLOOKUP(A159,'SegEnds_NonXtal_Prot#'!A:AL,28,FALSE)-VLOOKUP(A159,'SegEnds_NonXtal_Prot#'!A:AL,22,FALSE)</f>
        <v>50</v>
      </c>
      <c r="AI159" s="1">
        <f>VLOOKUP(A159,'SegEnds_NonXtal_Prot#'!A:AL,31,FALSE)-VLOOKUP(A159,'SegEnds_NonXtal_Prot#'!A:AL,28,FALSE)</f>
        <v>163</v>
      </c>
      <c r="AJ159" s="1">
        <f>VLOOKUP(A159,'SegEnds_NonXtal_Prot#'!A:AL,34,FALSE)-VLOOKUP(A159,'SegEnds_NonXtal_Prot#'!A:AL,31,FALSE)</f>
        <v>36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281</v>
      </c>
      <c r="B160" s="1" t="str">
        <f>VLOOKUP(A160,Xtal_Templ!A:B,2,FALSE)</f>
        <v>acm3_rat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66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21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58</v>
      </c>
      <c r="O160" s="87">
        <v>38</v>
      </c>
      <c r="P160" s="1"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INDEX(ICL3_classA!$G$2:$G$37,MATCH(MIN(ABS(AI160-ICL3_classA!$F$2:$F$37)),ABS(AI160-ICL3_classA!$F$2:$F$37),0))</f>
        <v>76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">
        <v>31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19</v>
      </c>
      <c r="AE160" s="1">
        <f>VLOOKUP(A160,'SegEnds_NonXtal_Prot#'!A:AL,16,FALSE)-VLOOKUP(A160,'SegEnds_NonXtal_Prot#'!A:AL,10,FALSE)</f>
        <v>51</v>
      </c>
      <c r="AF160" s="1">
        <f>VLOOKUP(A160,'SegEnds_NonXtal_Prot#'!A:AL,22,FALSE)-VLOOKUP(A160,'SegEnds_NonXtal_Prot#'!A:AL,19,FALSE)</f>
        <v>21</v>
      </c>
      <c r="AG160" s="1">
        <f>VLOOKUP(A160,'SegEnds_NonXtal_Prot#'!A:AL,28,FALSE)-VLOOKUP(A160,'SegEnds_NonXtal_Prot#'!A:AL,25,FALSE)</f>
        <v>22</v>
      </c>
      <c r="AH160" s="1">
        <f>VLOOKUP(A160,'SegEnds_NonXtal_Prot#'!A:AL,28,FALSE)-VLOOKUP(A160,'SegEnds_NonXtal_Prot#'!A:AL,22,FALSE)</f>
        <v>46</v>
      </c>
      <c r="AI160" s="1">
        <f>VLOOKUP(A160,'SegEnds_NonXtal_Prot#'!A:AL,31,FALSE)-VLOOKUP(A160,'SegEnds_NonXtal_Prot#'!A:AL,28,FALSE)</f>
        <v>132</v>
      </c>
      <c r="AJ160" s="1">
        <f>VLOOKUP(A160,'SegEnds_NonXtal_Prot#'!A:AL,34,FALSE)-VLOOKUP(A160,'SegEnds_NonXtal_Prot#'!A:AL,31,FALSE)</f>
        <v>37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282</v>
      </c>
      <c r="B161" s="1" t="str">
        <f>VLOOKUP(A161,Xtal_Templ!A:B,2,FALSE)</f>
        <v>oprk_human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INDEX(ICL3_classA!$G$2:$G$37,MATCH(MIN(ABS(AI161-ICL3_classA!$F$2:$F$37)),ABS(AI161-ICL3_classA!$F$2:$F$37),0))</f>
        <v>74</v>
      </c>
      <c r="U161" s="1">
        <f t="array" ref="U161">INDEX(ICL3_classA!$H$2:$H$37,MATCH(MIN(ABS(AI161-ICL3_classA!$F$2:$F$37)),ABS(AI161-ICL3_classA!$F$2:$F$37),0))</f>
        <v>21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25</v>
      </c>
      <c r="AH161" s="1">
        <f>VLOOKUP(A161,'SegEnds_NonXtal_Prot#'!A:AL,28,FALSE)-VLOOKUP(A161,'SegEnds_NonXtal_Prot#'!A:AL,22,FALSE)</f>
        <v>49</v>
      </c>
      <c r="AI161" s="1">
        <f>VLOOKUP(A161,'SegEnds_NonXtal_Prot#'!A:AL,31,FALSE)-VLOOKUP(A161,'SegEnds_NonXtal_Prot#'!A:AL,28,FALSE)</f>
        <v>62</v>
      </c>
      <c r="AJ161" s="1">
        <f>VLOOKUP(A161,'SegEnds_NonXtal_Prot#'!A:AL,34,FALSE)-VLOOKUP(A161,'SegEnds_NonXtal_Prot#'!A:AL,31,FALSE)</f>
        <v>42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283</v>
      </c>
      <c r="B162" s="1" t="str">
        <f>VLOOKUP(A162,Xtal_Templ!A:B,2,FALSE)</f>
        <v>agtr1_human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34</v>
      </c>
      <c r="T162" s="1">
        <f t="array" ref="T162">INDEX(ICL3_classA!$G$2:$G$37,MATCH(MIN(ABS(AI162-ICL3_classA!$F$2:$F$37)),ABS(AI162-ICL3_classA!$F$2:$F$37),0))</f>
        <v>67</v>
      </c>
      <c r="U162" s="1">
        <f t="array" ref="U162">INDEX(ICL3_classA!$H$2:$H$37,MATCH(MIN(ABS(AI162-ICL3_classA!$F$2:$F$37)),ABS(AI162-ICL3_classA!$F$2:$F$37),0))</f>
        <v>28</v>
      </c>
      <c r="V162" s="1">
        <v>61</v>
      </c>
      <c r="W162" s="1"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 t="e">
        <f>VLOOKUP(A162,'SegEnds_NonXtal_Prot#'!A:AL,10,FALSE)-VLOOKUP(A162,'SegEnds_NonXtal_Prot#'!A:AL,7,FALSE)</f>
        <v>#VALUE!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59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24</v>
      </c>
      <c r="AH162" s="1">
        <f>VLOOKUP(A162,'SegEnds_NonXtal_Prot#'!A:AL,28,FALSE)-VLOOKUP(A162,'SegEnds_NonXtal_Prot#'!A:AL,22,FALSE)</f>
        <v>47</v>
      </c>
      <c r="AI162" s="1">
        <f>VLOOKUP(A162,'SegEnds_NonXtal_Prot#'!A:AL,31,FALSE)-VLOOKUP(A162,'SegEnds_NonXtal_Prot#'!A:AL,28,FALSE)</f>
        <v>45</v>
      </c>
      <c r="AJ162" s="1">
        <f>VLOOKUP(A162,'SegEnds_NonXtal_Prot#'!A:AL,34,FALSE)-VLOOKUP(A162,'SegEnds_NonXtal_Prot#'!A:AL,31,FALSE)</f>
        <v>36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284</v>
      </c>
      <c r="B163" s="1" t="str">
        <f>VLOOKUP(A163,Xtal_Templ!A:B,2,FALSE)</f>
        <v>aa2ar_human</v>
      </c>
      <c r="C163" s="5">
        <f>VLOOKUP($B163&amp;"__wt",'SegEnds_Xtal_BW#'!$A:$Z,3,FALSE)</f>
        <v>27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34</v>
      </c>
      <c r="T163" s="1">
        <f t="array" ref="T163">INDEX(ICL3_classA!$G$2:$G$37,MATCH(MIN(ABS(AI163-ICL3_classA!$F$2:$F$37)),ABS(AI163-ICL3_classA!$F$2:$F$37),0))</f>
        <v>67</v>
      </c>
      <c r="U163" s="1">
        <f t="array" ref="U163">INDEX(ICL3_classA!$H$2:$H$37,MATCH(MIN(ABS(AI163-ICL3_classA!$F$2:$F$37)),ABS(AI163-ICL3_classA!$F$2:$F$37),0))</f>
        <v>28</v>
      </c>
      <c r="V163" s="1">
        <v>61</v>
      </c>
      <c r="W163" s="1"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 t="e">
        <f>VLOOKUP(A163,'SegEnds_NonXtal_Prot#'!A:AL,10,FALSE)-VLOOKUP(A163,'SegEnds_NonXtal_Prot#'!A:AL,7,FALSE)</f>
        <v>#VALUE!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59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24</v>
      </c>
      <c r="AH163" s="1">
        <f>VLOOKUP(A163,'SegEnds_NonXtal_Prot#'!A:AL,28,FALSE)-VLOOKUP(A163,'SegEnds_NonXtal_Prot#'!A:AL,22,FALSE)</f>
        <v>47</v>
      </c>
      <c r="AI163" s="1">
        <f>VLOOKUP(A163,'SegEnds_NonXtal_Prot#'!A:AL,31,FALSE)-VLOOKUP(A163,'SegEnds_NonXtal_Prot#'!A:AL,28,FALSE)</f>
        <v>45</v>
      </c>
      <c r="AJ163" s="1">
        <f>VLOOKUP(A163,'SegEnds_NonXtal_Prot#'!A:AL,34,FALSE)-VLOOKUP(A163,'SegEnds_NonXtal_Prot#'!A:AL,31,FALSE)</f>
        <v>36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285</v>
      </c>
      <c r="B164" s="1" t="str">
        <f>VLOOKUP(A164,Xtal_Templ!A:B,2,FALSE)</f>
        <v>adrb2_human</v>
      </c>
      <c r="C164" s="5">
        <f>VLOOKUP($B164&amp;"__wt",'SegEnds_Xtal_BW#'!$A:$Z,3,FALSE)</f>
        <v>25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INDEX(ICL3_classA!$G$2:$G$37,MATCH(MIN(ABS(AI164-ICL3_classA!$F$2:$F$37)),ABS(AI164-ICL3_classA!$F$2:$F$37),0))</f>
        <v>67</v>
      </c>
      <c r="U164" s="1">
        <f t="array" ref="U164">INDEX(ICL3_classA!$H$2:$H$37,MATCH(MIN(ABS(AI164-ICL3_classA!$F$2:$F$37)),ABS(AI164-ICL3_classA!$F$2:$F$37),0))</f>
        <v>28</v>
      </c>
      <c r="V164" s="1">
        <v>61</v>
      </c>
      <c r="W164" s="1">
        <v>31</v>
      </c>
      <c r="X164" s="108"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29</v>
      </c>
      <c r="AC164" s="1" t="e">
        <f>VLOOKUP(A164,'SegEnds_NonXtal_Prot#'!A:AL,10,FALSE)-VLOOKUP(A164,'SegEnds_NonXtal_Prot#'!A:AL,7,FALSE)</f>
        <v>#VALUE!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59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26</v>
      </c>
      <c r="AH164" s="1">
        <f>VLOOKUP(A164,'SegEnds_NonXtal_Prot#'!A:AL,28,FALSE)-VLOOKUP(A164,'SegEnds_NonXtal_Prot#'!A:AL,22,FALSE)</f>
        <v>49</v>
      </c>
      <c r="AI164" s="1">
        <f>VLOOKUP(A164,'SegEnds_NonXtal_Prot#'!A:AL,31,FALSE)-VLOOKUP(A164,'SegEnds_NonXtal_Prot#'!A:AL,28,FALSE)</f>
        <v>45</v>
      </c>
      <c r="AJ164" s="1">
        <f>VLOOKUP(A164,'SegEnds_NonXtal_Prot#'!A:AL,34,FALSE)-VLOOKUP(A164,'SegEnds_NonXtal_Prot#'!A:AL,31,FALSE)</f>
        <v>36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103</v>
      </c>
      <c r="B165" s="1" t="str">
        <f>VLOOKUP(A165,Xtal_Templ!A:B,2,FALSE)</f>
        <v>lpar1_human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63</v>
      </c>
      <c r="I165" s="1">
        <f>VLOOKUP($B165&amp;"__wt",'SegEnds_Xtal_BW#'!$A:$Z,9,FALSE)</f>
        <v>47</v>
      </c>
      <c r="J165" s="1">
        <f>VLOOKUP($B165&amp;"__wt",'SegEnds_Xtal_BW#'!$A:$Z,10,FALSE)</f>
        <v>53</v>
      </c>
      <c r="K165" s="12">
        <f>VLOOKUP($B165&amp;"__wt",'SegEnds_Xtal_BW#'!$A:$Z,11,FALSE)</f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56</v>
      </c>
      <c r="O165" s="87">
        <f>VLOOKUP($B165&amp;"__wt",'SegEnds_Xtal_BW#'!$A:$Z,15,FALSE)</f>
        <v>38</v>
      </c>
      <c r="P165" s="1">
        <f>VLOOKUP($B165&amp;"__wt",'SegEnds_Xtal_BW#'!$A:$Z,16,FALSE)</f>
        <v>63</v>
      </c>
      <c r="Q165" s="1" t="str">
        <f>VLOOKUP($B165&amp;"__wt",'SegEnds_Xtal_BW#'!$A:$Z,17,FALSE)</f>
        <v>-</v>
      </c>
      <c r="R165" s="1" t="str">
        <f>VLOOKUP($B165&amp;"__wt",'SegEnds_Xtal_BW#'!$A:$Z,18,FALSE)</f>
        <v>-</v>
      </c>
      <c r="S165" s="1">
        <f>VLOOKUP($B165&amp;"__wt",'SegEnds_Xtal_BW#'!$A:$Z,19,FALSE)</f>
        <v>36</v>
      </c>
      <c r="T165" s="1">
        <f t="array" ref="T165">INDEX(ICL3_classA!$G$2:$G$37,MATCH(MIN(ABS(AI165-ICL3_classA!$F$2:$F$37)),ABS(AI165-ICL3_classA!$F$2:$F$37),0))</f>
        <v>73</v>
      </c>
      <c r="U165" s="1">
        <f t="array" ref="U165">INDEX(ICL3_classA!$H$2:$H$37,MATCH(MIN(ABS(AI165-ICL3_classA!$F$2:$F$37)),ABS(AI165-ICL3_classA!$F$2:$F$37),0))</f>
        <v>22</v>
      </c>
      <c r="V165" s="1">
        <v>61</v>
      </c>
      <c r="W165" s="1">
        <v>30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18</v>
      </c>
      <c r="AE165" s="1">
        <f>VLOOKUP(A165,'SegEnds_NonXtal_Prot#'!A:AL,16,FALSE)-VLOOKUP(A165,'SegEnds_NonXtal_Prot#'!A:AL,10,FALSE)</f>
        <v>51</v>
      </c>
      <c r="AF165" s="1">
        <f>VLOOKUP(A165,'SegEnds_NonXtal_Prot#'!A:AL,22,FALSE)-VLOOKUP(A165,'SegEnds_NonXtal_Prot#'!A:AL,19,FALSE)</f>
        <v>19</v>
      </c>
      <c r="AG165" s="1" t="e">
        <f>VLOOKUP(A165,'SegEnds_NonXtal_Prot#'!A:AL,28,FALSE)-VLOOKUP(A165,'SegEnds_NonXtal_Prot#'!A:AL,25,FALSE)</f>
        <v>#VALUE!</v>
      </c>
      <c r="AH165" s="1">
        <f>VLOOKUP(A165,'SegEnds_NonXtal_Prot#'!A:AL,28,FALSE)-VLOOKUP(A165,'SegEnds_NonXtal_Prot#'!A:AL,22,FALSE)</f>
        <v>45</v>
      </c>
      <c r="AI165" s="1">
        <f>VLOOKUP(A165,'SegEnds_NonXtal_Prot#'!A:AL,31,FALSE)-VLOOKUP(A165,'SegEnds_NonXtal_Prot#'!A:AL,28,FALSE)</f>
        <v>56</v>
      </c>
      <c r="AJ165" s="1">
        <f>VLOOKUP(A165,'SegEnds_NonXtal_Prot#'!A:AL,34,FALSE)-VLOOKUP(A165,'SegEnds_NonXtal_Prot#'!A:AL,31,FALSE)</f>
        <v>35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Xtal</v>
      </c>
    </row>
    <row r="166" spans="1:38" x14ac:dyDescent="0.2">
      <c r="A166" s="1" t="s">
        <v>286</v>
      </c>
      <c r="B166" s="1" t="str">
        <f>VLOOKUP(A166,Xtal_Templ!A:B,2,FALSE)</f>
        <v>lpar1_human</v>
      </c>
      <c r="C166" s="5">
        <f>VLOOKUP($B166&amp;"__wt",'SegEnds_Xtal_BW#'!$A:$Z,3,FALSE)</f>
        <v>30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63</v>
      </c>
      <c r="I166" s="1">
        <f>VLOOKUP($B166&amp;"__wt",'SegEnds_Xtal_BW#'!$A:$Z,9,FALSE)</f>
        <v>47</v>
      </c>
      <c r="J166" s="1">
        <f>VLOOKUP($B166&amp;"__wt",'SegEnds_Xtal_BW#'!$A:$Z,10,FALSE)</f>
        <v>53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08">
        <v>56</v>
      </c>
      <c r="O166" s="87">
        <f>VLOOKUP($B166&amp;"__wt",'SegEnds_Xtal_BW#'!$A:$Z,15,FALSE)</f>
        <v>38</v>
      </c>
      <c r="P166" s="1">
        <f>VLOOKUP($B166&amp;"__wt",'SegEnds_Xtal_BW#'!$A:$Z,16,FALSE)</f>
        <v>63</v>
      </c>
      <c r="Q166" s="1" t="str">
        <f>VLOOKUP($B166&amp;"__wt",'SegEnds_Xtal_BW#'!$A:$Z,17,FALSE)</f>
        <v>-</v>
      </c>
      <c r="R166" s="1" t="str">
        <f>VLOOKUP($B166&amp;"__wt",'SegEnds_Xtal_BW#'!$A:$Z,18,FALSE)</f>
        <v>-</v>
      </c>
      <c r="S166" s="1">
        <f>VLOOKUP($B166&amp;"__wt",'SegEnds_Xtal_BW#'!$A:$Z,19,FALSE)</f>
        <v>36</v>
      </c>
      <c r="T166" s="1">
        <f t="array" ref="T166">INDEX(ICL3_classA!$G$2:$G$37,MATCH(MIN(ABS(AI166-ICL3_classA!$F$2:$F$37)),ABS(AI166-ICL3_classA!$F$2:$F$37),0))</f>
        <v>73</v>
      </c>
      <c r="U166" s="1">
        <f t="array" ref="U166">INDEX(ICL3_classA!$H$2:$H$37,MATCH(MIN(ABS(AI166-ICL3_classA!$F$2:$F$37)),ABS(AI166-ICL3_classA!$F$2:$F$37),0))</f>
        <v>22</v>
      </c>
      <c r="V166" s="1">
        <v>61</v>
      </c>
      <c r="W166" s="1">
        <v>30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18</v>
      </c>
      <c r="AE166" s="1">
        <f>VLOOKUP(A166,'SegEnds_NonXtal_Prot#'!A:AL,16,FALSE)-VLOOKUP(A166,'SegEnds_NonXtal_Prot#'!A:AL,10,FALSE)</f>
        <v>51</v>
      </c>
      <c r="AF166" s="1">
        <f>VLOOKUP(A166,'SegEnds_NonXtal_Prot#'!A:AL,22,FALSE)-VLOOKUP(A166,'SegEnds_NonXtal_Prot#'!A:AL,19,FALSE)</f>
        <v>19</v>
      </c>
      <c r="AG166" s="1" t="e">
        <f>VLOOKUP(A166,'SegEnds_NonXtal_Prot#'!A:AL,28,FALSE)-VLOOKUP(A166,'SegEnds_NonXtal_Prot#'!A:AL,25,FALSE)</f>
        <v>#VALUE!</v>
      </c>
      <c r="AH166" s="1">
        <f>VLOOKUP(A166,'SegEnds_NonXtal_Prot#'!A:AL,28,FALSE)-VLOOKUP(A166,'SegEnds_NonXtal_Prot#'!A:AL,22,FALSE)</f>
        <v>45</v>
      </c>
      <c r="AI166" s="1">
        <f>VLOOKUP(A166,'SegEnds_NonXtal_Prot#'!A:AL,31,FALSE)-VLOOKUP(A166,'SegEnds_NonXtal_Prot#'!A:AL,28,FALSE)</f>
        <v>56</v>
      </c>
      <c r="AJ166" s="1">
        <f>VLOOKUP(A166,'SegEnds_NonXtal_Prot#'!A:AL,34,FALSE)-VLOOKUP(A166,'SegEnds_NonXtal_Prot#'!A:AL,31,FALSE)</f>
        <v>36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287</v>
      </c>
      <c r="B167" s="1" t="str">
        <f>VLOOKUP(A167,Xtal_Templ!A:B,2,FALSE)</f>
        <v>lpar1_human</v>
      </c>
      <c r="C167" s="5">
        <f>VLOOKUP($B167&amp;"__wt",'SegEnds_Xtal_BW#'!$A:$Z,3,FALSE)</f>
        <v>30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63</v>
      </c>
      <c r="I167" s="1">
        <f>VLOOKUP($B167&amp;"__wt",'SegEnds_Xtal_BW#'!$A:$Z,9,FALSE)</f>
        <v>47</v>
      </c>
      <c r="J167" s="1">
        <f>VLOOKUP($B167&amp;"__wt",'SegEnds_Xtal_BW#'!$A:$Z,10,FALSE)</f>
        <v>53</v>
      </c>
      <c r="K167" s="12">
        <v>21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08">
        <v>56</v>
      </c>
      <c r="O167" s="87">
        <f>VLOOKUP($B167&amp;"__wt",'SegEnds_Xtal_BW#'!$A:$Z,15,FALSE)</f>
        <v>38</v>
      </c>
      <c r="P167" s="1">
        <f>VLOOKUP($B167&amp;"__wt",'SegEnds_Xtal_BW#'!$A:$Z,16,FALSE)</f>
        <v>63</v>
      </c>
      <c r="Q167" s="1" t="str">
        <f>VLOOKUP($B167&amp;"__wt",'SegEnds_Xtal_BW#'!$A:$Z,17,FALSE)</f>
        <v>-</v>
      </c>
      <c r="R167" s="1" t="str">
        <f>VLOOKUP($B167&amp;"__wt",'SegEnds_Xtal_BW#'!$A:$Z,18,FALSE)</f>
        <v>-</v>
      </c>
      <c r="S167" s="1">
        <f>VLOOKUP($B167&amp;"__wt",'SegEnds_Xtal_BW#'!$A:$Z,19,FALSE)</f>
        <v>36</v>
      </c>
      <c r="T167" s="1">
        <f t="array" ref="T167">INDEX(ICL3_classA!$G$2:$G$37,MATCH(MIN(ABS(AI167-ICL3_classA!$F$2:$F$37)),ABS(AI167-ICL3_classA!$F$2:$F$37),0))</f>
        <v>73</v>
      </c>
      <c r="U167" s="1">
        <f t="array" ref="U167">INDEX(ICL3_classA!$H$2:$H$37,MATCH(MIN(ABS(AI167-ICL3_classA!$F$2:$F$37)),ABS(AI167-ICL3_classA!$F$2:$F$37),0))</f>
        <v>22</v>
      </c>
      <c r="V167" s="1">
        <v>61</v>
      </c>
      <c r="W167" s="1">
        <v>30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18</v>
      </c>
      <c r="AE167" s="1">
        <f>VLOOKUP(A167,'SegEnds_NonXtal_Prot#'!A:AL,16,FALSE)-VLOOKUP(A167,'SegEnds_NonXtal_Prot#'!A:AL,10,FALSE)</f>
        <v>51</v>
      </c>
      <c r="AF167" s="1">
        <f>VLOOKUP(A167,'SegEnds_NonXtal_Prot#'!A:AL,22,FALSE)-VLOOKUP(A167,'SegEnds_NonXtal_Prot#'!A:AL,19,FALSE)</f>
        <v>19</v>
      </c>
      <c r="AG167" s="1" t="e">
        <f>VLOOKUP(A167,'SegEnds_NonXtal_Prot#'!A:AL,28,FALSE)-VLOOKUP(A167,'SegEnds_NonXtal_Prot#'!A:AL,25,FALSE)</f>
        <v>#VALUE!</v>
      </c>
      <c r="AH167" s="1">
        <f>VLOOKUP(A167,'SegEnds_NonXtal_Prot#'!A:AL,28,FALSE)-VLOOKUP(A167,'SegEnds_NonXtal_Prot#'!A:AL,22,FALSE)</f>
        <v>45</v>
      </c>
      <c r="AI167" s="1">
        <f>VLOOKUP(A167,'SegEnds_NonXtal_Prot#'!A:AL,31,FALSE)-VLOOKUP(A167,'SegEnds_NonXtal_Prot#'!A:AL,28,FALSE)</f>
        <v>56</v>
      </c>
      <c r="AJ167" s="1">
        <f>VLOOKUP(A167,'SegEnds_NonXtal_Prot#'!A:AL,34,FALSE)-VLOOKUP(A167,'SegEnds_NonXtal_Prot#'!A:AL,31,FALSE)</f>
        <v>36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288</v>
      </c>
      <c r="B168" s="1" t="str">
        <f>VLOOKUP(A168,Xtal_Templ!A:B,2,FALSE)</f>
        <v>oprk_human</v>
      </c>
      <c r="C168" s="5">
        <f>VLOOKUP($B168&amp;"__wt",'SegEnds_Xtal_BW#'!$A:$Z,3,FALSE)</f>
        <v>30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v>66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68</v>
      </c>
      <c r="U168" s="1">
        <f t="array" ref="U168">INDEX(ICL3_classA!$H$2:$H$37,MATCH(MIN(ABS(AI168-ICL3_classA!$F$2:$F$37)),ABS(AI168-ICL3_classA!$F$2:$F$37),0))</f>
        <v>24</v>
      </c>
      <c r="V168" s="1">
        <v>64</v>
      </c>
      <c r="W168" s="1">
        <v>24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19</v>
      </c>
      <c r="AE168" s="1">
        <f>VLOOKUP(A168,'SegEnds_NonXtal_Prot#'!A:AL,16,FALSE)-VLOOKUP(A168,'SegEnds_NonXtal_Prot#'!A:AL,10,FALSE)</f>
        <v>51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48</v>
      </c>
      <c r="AJ168" s="1">
        <f>VLOOKUP(A168,'SegEnds_NonXtal_Prot#'!A:AL,34,FALSE)-VLOOKUP(A168,'SegEnds_NonXtal_Prot#'!A:AL,31,FALSE)</f>
        <v>44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289</v>
      </c>
      <c r="B169" s="1" t="str">
        <f>VLOOKUP(A169,Xtal_Templ!A:B,2,FALSE)</f>
        <v>par2_human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v>66</v>
      </c>
      <c r="I169" s="1">
        <f>VLOOKUP($B169&amp;"__wt",'SegEnds_Xtal_BW#'!$A:$Z,9,FALSE)</f>
        <v>47</v>
      </c>
      <c r="J169" s="1">
        <f>VLOOKUP($B169&amp;"__wt",'SegEnds_Xtal_BW#'!$A:$Z,10,FALSE)</f>
        <v>52</v>
      </c>
      <c r="K169" s="12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v>38</v>
      </c>
      <c r="P169" s="1">
        <f>VLOOKUP($B169&amp;"__wt",'SegEnds_Xtal_BW#'!$A:$Z,16,FALSE)</f>
        <v>62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31</v>
      </c>
      <c r="T169" s="1">
        <f t="array" ref="T169">INDEX(ICL3_classA!$G$2:$G$37,MATCH(MIN(ABS(AI169-ICL3_classA!$F$2:$F$37)),ABS(AI169-ICL3_classA!$F$2:$F$37),0))</f>
        <v>67</v>
      </c>
      <c r="U169" s="1">
        <f t="array" ref="U169">INDEX(ICL3_classA!$H$2:$H$37,MATCH(MIN(ABS(AI169-ICL3_classA!$F$2:$F$37)),ABS(AI169-ICL3_classA!$F$2:$F$37),0))</f>
        <v>26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61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19</v>
      </c>
      <c r="AE169" s="1">
        <f>VLOOKUP(A169,'SegEnds_NonXtal_Prot#'!A:AL,16,FALSE)-VLOOKUP(A169,'SegEnds_NonXtal_Prot#'!A:AL,10,FALSE)</f>
        <v>51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28</v>
      </c>
      <c r="AH169" s="1">
        <f>VLOOKUP(A169,'SegEnds_NonXtal_Prot#'!A:AL,28,FALSE)-VLOOKUP(A169,'SegEnds_NonXtal_Prot#'!A:AL,22,FALSE)</f>
        <v>57</v>
      </c>
      <c r="AI169" s="1">
        <f>VLOOKUP(A169,'SegEnds_NonXtal_Prot#'!A:AL,31,FALSE)-VLOOKUP(A169,'SegEnds_NonXtal_Prot#'!A:AL,28,FALSE)</f>
        <v>46</v>
      </c>
      <c r="AJ169" s="1">
        <f>VLOOKUP(A169,'SegEnds_NonXtal_Prot#'!A:AL,34,FALSE)-VLOOKUP(A169,'SegEnds_NonXtal_Prot#'!A:AL,31,FALSE)</f>
        <v>45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290</v>
      </c>
      <c r="B170" s="1" t="str">
        <f>VLOOKUP(A170,Xtal_Templ!A:B,2,FALSE)</f>
        <v>ptafr_human</v>
      </c>
      <c r="C170" s="5">
        <f>VLOOKUP($B170&amp;"__wt",'SegEnds_Xtal_BW#'!$A:$Z,3,FALSE)</f>
        <v>27</v>
      </c>
      <c r="D170" s="108">
        <v>60</v>
      </c>
      <c r="E170" s="1" t="str">
        <f>VLOOKUP($B170&amp;"__wt",'SegEnds_Xtal_BW#'!$A:$Z,5,FALSE)</f>
        <v>-</v>
      </c>
      <c r="F170" s="1" t="str">
        <f>VLOOKUP($B170&amp;"__wt",'SegEnds_Xtal_BW#'!$A:$Z,6,FALSE)</f>
        <v>-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21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63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33</v>
      </c>
      <c r="T170" s="1">
        <f t="array" ref="T170">INDEX(ICL3_classA!$G$2:$G$37,MATCH(MIN(ABS(AI170-ICL3_classA!$F$2:$F$37)),ABS(AI170-ICL3_classA!$F$2:$F$37),0))</f>
        <v>68</v>
      </c>
      <c r="U170" s="1">
        <f t="array" ref="U170">INDEX(ICL3_classA!$H$2:$H$37,MATCH(MIN(ABS(AI170-ICL3_classA!$F$2:$F$37)),ABS(AI170-ICL3_classA!$F$2:$F$37),0))</f>
        <v>24</v>
      </c>
      <c r="V170" s="1">
        <v>64</v>
      </c>
      <c r="W170" s="1">
        <v>24</v>
      </c>
      <c r="X170" s="1">
        <f>VLOOKUP($B170&amp;"__wt",'SegEnds_Xtal_BW#'!$A:$Z,24,FALSE)</f>
        <v>59</v>
      </c>
      <c r="Y170" s="1">
        <f>VLOOKUP($B170&amp;"__wt",'SegEnds_Xtal_BW#'!$A:$Z,25,FALSE)</f>
        <v>50</v>
      </c>
      <c r="Z170" s="1">
        <f>VLOOKUP($B170&amp;"__wt",'SegEnds_Xtal_BW#'!$A:$Z,26,FALSE)</f>
        <v>63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19</v>
      </c>
      <c r="AE170" s="1">
        <f>VLOOKUP(A170,'SegEnds_NonXtal_Prot#'!A:AL,16,FALSE)-VLOOKUP(A170,'SegEnds_NonXtal_Prot#'!A:AL,10,FALSE)</f>
        <v>51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28</v>
      </c>
      <c r="AH170" s="1">
        <f>VLOOKUP(A170,'SegEnds_NonXtal_Prot#'!A:AL,28,FALSE)-VLOOKUP(A170,'SegEnds_NonXtal_Prot#'!A:AL,22,FALSE)</f>
        <v>55</v>
      </c>
      <c r="AI170" s="1">
        <f>VLOOKUP(A170,'SegEnds_NonXtal_Prot#'!A:AL,31,FALSE)-VLOOKUP(A170,'SegEnds_NonXtal_Prot#'!A:AL,28,FALSE)</f>
        <v>48</v>
      </c>
      <c r="AJ170" s="1">
        <f>VLOOKUP(A170,'SegEnds_NonXtal_Prot#'!A:AL,34,FALSE)-VLOOKUP(A170,'SegEnds_NonXtal_Prot#'!A:AL,31,FALSE)</f>
        <v>44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291</v>
      </c>
      <c r="B171" s="1" t="str">
        <f>VLOOKUP(A171,Xtal_Templ!A:B,2,FALSE)</f>
        <v>hrh1_human</v>
      </c>
      <c r="C171" s="5">
        <f>VLOOKUP($B171&amp;"__wt",'SegEnds_Xtal_BW#'!$A:$Z,3,FALSE)</f>
        <v>34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62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35</v>
      </c>
      <c r="T171" s="1">
        <f t="array" ref="T171">INDEX(ICL3_classA!$G$2:$G$37,MATCH(MIN(ABS(AI171-ICL3_classA!$F$2:$F$37)),ABS(AI171-ICL3_classA!$F$2:$F$37),0))</f>
        <v>67</v>
      </c>
      <c r="U171" s="1">
        <f t="array" ref="U171">INDEX(ICL3_classA!$H$2:$H$37,MATCH(MIN(ABS(AI171-ICL3_classA!$F$2:$F$37)),ABS(AI171-ICL3_classA!$F$2:$F$37),0))</f>
        <v>26</v>
      </c>
      <c r="V171" s="1">
        <v>61</v>
      </c>
      <c r="W171" s="1">
        <v>31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14</v>
      </c>
      <c r="AD171" s="1">
        <f>VLOOKUP(A171,'SegEnds_NonXtal_Prot#'!A:AL,13,FALSE)-VLOOKUP(A171,'SegEnds_NonXtal_Prot#'!A:AL,10,FALSE)</f>
        <v>28</v>
      </c>
      <c r="AE171" s="1">
        <f>VLOOKUP(A171,'SegEnds_NonXtal_Prot#'!A:AL,16,FALSE)-VLOOKUP(A171,'SegEnds_NonXtal_Prot#'!A:AL,10,FALSE)</f>
        <v>59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24</v>
      </c>
      <c r="AH171" s="1">
        <f>VLOOKUP(A171,'SegEnds_NonXtal_Prot#'!A:AL,28,FALSE)-VLOOKUP(A171,'SegEnds_NonXtal_Prot#'!A:AL,22,FALSE)</f>
        <v>47</v>
      </c>
      <c r="AI171" s="1">
        <f>VLOOKUP(A171,'SegEnds_NonXtal_Prot#'!A:AL,31,FALSE)-VLOOKUP(A171,'SegEnds_NonXtal_Prot#'!A:AL,28,FALSE)</f>
        <v>46</v>
      </c>
      <c r="AJ171" s="1">
        <f>VLOOKUP(A171,'SegEnds_NonXtal_Prot#'!A:AL,34,FALSE)-VLOOKUP(A171,'SegEnds_NonXtal_Prot#'!A:AL,31,FALSE)</f>
        <v>36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292</v>
      </c>
      <c r="B172" s="1" t="str">
        <f>VLOOKUP(A172,Xtal_Templ!A:B,2,FALSE)</f>
        <v>pd2r2_human</v>
      </c>
      <c r="C172" s="5">
        <f>VLOOKUP($B172&amp;"__wt",'SegEnds_Xtal_BW#'!$A:$Z,3,FALSE)</f>
        <v>32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21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08">
        <v>29</v>
      </c>
      <c r="T172" s="1">
        <f t="array" ref="T172">INDEX(ICL3_classA!$G$2:$G$37,MATCH(MIN(ABS(AI172-ICL3_classA!$F$2:$F$37)),ABS(AI172-ICL3_classA!$F$2:$F$37),0))</f>
        <v>68</v>
      </c>
      <c r="U172" s="1">
        <f t="array" ref="U172">INDEX(ICL3_classA!$H$2:$H$37,MATCH(MIN(ABS(AI172-ICL3_classA!$F$2:$F$37)),ABS(AI172-ICL3_classA!$F$2:$F$37),0))</f>
        <v>30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64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19</v>
      </c>
      <c r="AE172" s="1">
        <f>VLOOKUP(A172,'SegEnds_NonXtal_Prot#'!A:AL,16,FALSE)-VLOOKUP(A172,'SegEnds_NonXtal_Prot#'!A:AL,10,FALSE)</f>
        <v>51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25</v>
      </c>
      <c r="AH172" s="1">
        <f>VLOOKUP(A172,'SegEnds_NonXtal_Prot#'!A:AL,28,FALSE)-VLOOKUP(A172,'SegEnds_NonXtal_Prot#'!A:AL,22,FALSE)</f>
        <v>51</v>
      </c>
      <c r="AI172" s="1">
        <f>VLOOKUP(A172,'SegEnds_NonXtal_Prot#'!A:AL,31,FALSE)-VLOOKUP(A172,'SegEnds_NonXtal_Prot#'!A:AL,28,FALSE)</f>
        <v>43</v>
      </c>
      <c r="AJ172" s="1">
        <f>VLOOKUP(A172,'SegEnds_NonXtal_Prot#'!A:AL,34,FALSE)-VLOOKUP(A172,'SegEnds_NonXtal_Prot#'!A:AL,31,FALSE)</f>
        <v>46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293</v>
      </c>
      <c r="B173" s="1" t="str">
        <f>VLOOKUP(A173,Xtal_Templ!A:B,2,FALSE)</f>
        <v>pd2r2_human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21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INDEX(ICL3_classA!$G$2:$G$37,MATCH(MIN(ABS(AI173-ICL3_classA!$F$2:$F$37)),ABS(AI173-ICL3_classA!$F$2:$F$37),0))</f>
        <v>67</v>
      </c>
      <c r="U173" s="1">
        <f t="array" ref="U173">INDEX(ICL3_classA!$H$2:$H$37,MATCH(MIN(ABS(AI173-ICL3_classA!$F$2:$F$37)),ABS(AI173-ICL3_classA!$F$2:$F$37),0))</f>
        <v>26</v>
      </c>
      <c r="V173" s="1">
        <v>64</v>
      </c>
      <c r="W173" s="1">
        <v>24</v>
      </c>
      <c r="X173" s="108">
        <v>56</v>
      </c>
      <c r="Y173" s="1">
        <f>VLOOKUP($B173&amp;"__wt",'SegEnds_Xtal_BW#'!$A:$Z,25,FALSE)</f>
        <v>47</v>
      </c>
      <c r="Z173" s="1">
        <f>VLOOKUP($B173&amp;"__wt",'SegEnds_Xtal_BW#'!$A:$Z,26,FALSE)</f>
        <v>64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30</v>
      </c>
      <c r="AC173" s="1">
        <f>VLOOKUP(A173,'SegEnds_NonXtal_Prot#'!A:AL,10,FALSE)-VLOOKUP(A173,'SegEnds_NonXtal_Prot#'!A:AL,7,FALSE)</f>
        <v>17</v>
      </c>
      <c r="AD173" s="1">
        <f>VLOOKUP(A173,'SegEnds_NonXtal_Prot#'!A:AL,13,FALSE)-VLOOKUP(A173,'SegEnds_NonXtal_Prot#'!A:AL,10,FALSE)</f>
        <v>19</v>
      </c>
      <c r="AE173" s="1">
        <f>VLOOKUP(A173,'SegEnds_NonXtal_Prot#'!A:AL,16,FALSE)-VLOOKUP(A173,'SegEnds_NonXtal_Prot#'!A:AL,10,FALSE)</f>
        <v>51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22</v>
      </c>
      <c r="AH173" s="1">
        <f>VLOOKUP(A173,'SegEnds_NonXtal_Prot#'!A:AL,28,FALSE)-VLOOKUP(A173,'SegEnds_NonXtal_Prot#'!A:AL,22,FALSE)</f>
        <v>47</v>
      </c>
      <c r="AI173" s="1">
        <f>VLOOKUP(A173,'SegEnds_NonXtal_Prot#'!A:AL,31,FALSE)-VLOOKUP(A173,'SegEnds_NonXtal_Prot#'!A:AL,28,FALSE)</f>
        <v>46</v>
      </c>
      <c r="AJ173" s="1">
        <f>VLOOKUP(A173,'SegEnds_NonXtal_Prot#'!A:AL,34,FALSE)-VLOOKUP(A173,'SegEnds_NonXtal_Prot#'!A:AL,31,FALSE)</f>
        <v>46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294</v>
      </c>
      <c r="B174" s="1" t="str">
        <f>VLOOKUP(A174,Xtal_Templ!A:B,2,FALSE)</f>
        <v>agtr1_human</v>
      </c>
      <c r="C174" s="5">
        <f>VLOOKUP($B174&amp;"__wt",'SegEnds_Xtal_BW#'!$A:$Z,3,FALSE)</f>
        <v>30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34</v>
      </c>
      <c r="T174" s="1">
        <f t="array" ref="T174">INDEX(ICL3_classA!$G$2:$G$37,MATCH(MIN(ABS(AI174-ICL3_classA!$F$2:$F$37)),ABS(AI174-ICL3_classA!$F$2:$F$37),0))</f>
        <v>68</v>
      </c>
      <c r="U174" s="1">
        <f t="array" ref="U174">INDEX(ICL3_classA!$H$2:$H$37,MATCH(MIN(ABS(AI174-ICL3_classA!$F$2:$F$37)),ABS(AI174-ICL3_classA!$F$2:$F$37),0))</f>
        <v>30</v>
      </c>
      <c r="V174" s="1">
        <v>61</v>
      </c>
      <c r="W174" s="1">
        <v>32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61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27</v>
      </c>
      <c r="AC174" s="1" t="e">
        <f>VLOOKUP(A174,'SegEnds_NonXtal_Prot#'!A:AL,10,FALSE)-VLOOKUP(A174,'SegEnds_NonXtal_Prot#'!A:AL,7,FALSE)</f>
        <v>#VALUE!</v>
      </c>
      <c r="AD174" s="1" t="e">
        <f>VLOOKUP(A174,'SegEnds_NonXtal_Prot#'!A:AL,13,FALSE)-VLOOKUP(A174,'SegEnds_NonXtal_Prot#'!A:AL,10,FALSE)</f>
        <v>#VALUE!</v>
      </c>
      <c r="AE174" s="1">
        <f>VLOOKUP(A174,'SegEnds_NonXtal_Prot#'!A:AL,16,FALSE)-VLOOKUP(A174,'SegEnds_NonXtal_Prot#'!A:AL,10,FALSE)</f>
        <v>53</v>
      </c>
      <c r="AF174" s="1">
        <f>VLOOKUP(A174,'SegEnds_NonXtal_Prot#'!A:AL,22,FALSE)-VLOOKUP(A174,'SegEnds_NonXtal_Prot#'!A:AL,19,FALSE)</f>
        <v>20</v>
      </c>
      <c r="AG174" s="1" t="e">
        <f>VLOOKUP(A174,'SegEnds_NonXtal_Prot#'!A:AL,28,FALSE)-VLOOKUP(A174,'SegEnds_NonXtal_Prot#'!A:AL,25,FALSE)</f>
        <v>#VALUE!</v>
      </c>
      <c r="AH174" s="1">
        <f>VLOOKUP(A174,'SegEnds_NonXtal_Prot#'!A:AL,28,FALSE)-VLOOKUP(A174,'SegEnds_NonXtal_Prot#'!A:AL,22,FALSE)</f>
        <v>44</v>
      </c>
      <c r="AI174" s="1">
        <f>VLOOKUP(A174,'SegEnds_NonXtal_Prot#'!A:AL,31,FALSE)-VLOOKUP(A174,'SegEnds_NonXtal_Prot#'!A:AL,28,FALSE)</f>
        <v>42</v>
      </c>
      <c r="AJ174" s="1">
        <f>VLOOKUP(A174,'SegEnds_NonXtal_Prot#'!A:AL,34,FALSE)-VLOOKUP(A174,'SegEnds_NonXtal_Prot#'!A:AL,31,FALSE)</f>
        <v>34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295</v>
      </c>
      <c r="B175" s="1" t="str">
        <f>VLOOKUP(A175,Xtal_Templ!A:B,2,FALSE)</f>
        <v>ccr9_human</v>
      </c>
      <c r="C175" s="5">
        <f>VLOOKUP($B175&amp;"__wt",'SegEnds_Xtal_BW#'!$A:$Z,3,FALSE)</f>
        <v>27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33</v>
      </c>
      <c r="T175" s="1">
        <f t="array" ref="T175">INDEX(ICL3_classA!$G$2:$G$37,MATCH(MIN(ABS(AI175-ICL3_classA!$F$2:$F$37)),ABS(AI175-ICL3_classA!$F$2:$F$37),0))</f>
        <v>68</v>
      </c>
      <c r="U175" s="1">
        <f t="array" ref="U175">INDEX(ICL3_classA!$H$2:$H$37,MATCH(MIN(ABS(AI175-ICL3_classA!$F$2:$F$37)),ABS(AI175-ICL3_classA!$F$2:$F$37),0))</f>
        <v>30</v>
      </c>
      <c r="V175" s="1">
        <v>61</v>
      </c>
      <c r="W175" s="1">
        <v>34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67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26</v>
      </c>
      <c r="AC175" s="1" t="e">
        <f>VLOOKUP(A175,'SegEnds_NonXtal_Prot#'!A:AL,10,FALSE)-VLOOKUP(A175,'SegEnds_NonXtal_Prot#'!A:AL,7,FALSE)</f>
        <v>#VALUE!</v>
      </c>
      <c r="AD175" s="1" t="e">
        <f>VLOOKUP(A175,'SegEnds_NonXtal_Prot#'!A:AL,13,FALSE)-VLOOKUP(A175,'SegEnds_NonXtal_Prot#'!A:AL,10,FALSE)</f>
        <v>#VALUE!</v>
      </c>
      <c r="AE175" s="1">
        <f>VLOOKUP(A175,'SegEnds_NonXtal_Prot#'!A:AL,16,FALSE)-VLOOKUP(A175,'SegEnds_NonXtal_Prot#'!A:AL,10,FALSE)</f>
        <v>52</v>
      </c>
      <c r="AF175" s="1">
        <f>VLOOKUP(A175,'SegEnds_NonXtal_Prot#'!A:AL,22,FALSE)-VLOOKUP(A175,'SegEnds_NonXtal_Prot#'!A:AL,19,FALSE)</f>
        <v>20</v>
      </c>
      <c r="AG175" s="1" t="e">
        <f>VLOOKUP(A175,'SegEnds_NonXtal_Prot#'!A:AL,28,FALSE)-VLOOKUP(A175,'SegEnds_NonXtal_Prot#'!A:AL,25,FALSE)</f>
        <v>#VALUE!</v>
      </c>
      <c r="AH175" s="1">
        <f>VLOOKUP(A175,'SegEnds_NonXtal_Prot#'!A:AL,28,FALSE)-VLOOKUP(A175,'SegEnds_NonXtal_Prot#'!A:AL,22,FALSE)</f>
        <v>39</v>
      </c>
      <c r="AI175" s="1">
        <f>VLOOKUP(A175,'SegEnds_NonXtal_Prot#'!A:AL,31,FALSE)-VLOOKUP(A175,'SegEnds_NonXtal_Prot#'!A:AL,28,FALSE)</f>
        <v>42</v>
      </c>
      <c r="AJ175" s="1">
        <f>VLOOKUP(A175,'SegEnds_NonXtal_Prot#'!A:AL,34,FALSE)-VLOOKUP(A175,'SegEnds_NonXtal_Prot#'!A:AL,31,FALSE)</f>
        <v>32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296</v>
      </c>
      <c r="B176" s="1" t="str">
        <f>VLOOKUP(A176,Xtal_Templ!A:B,2,FALSE)</f>
        <v>lpar1_human</v>
      </c>
      <c r="C176" s="5">
        <f>VLOOKUP($B176&amp;"__wt",'SegEnds_Xtal_BW#'!$A:$Z,3,FALSE)</f>
        <v>30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67</v>
      </c>
      <c r="I176" s="1" t="s">
        <v>23</v>
      </c>
      <c r="J176" s="1" t="s">
        <v>23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7">
        <f>VLOOKUP($B176&amp;"__wt",'SegEnds_Xtal_BW#'!$A:$Z,15,FALSE)</f>
        <v>38</v>
      </c>
      <c r="P176" s="1">
        <f>VLOOKUP($B176&amp;"__wt",'SegEnds_Xtal_BW#'!$A:$Z,16,FALSE)</f>
        <v>63</v>
      </c>
      <c r="Q176" s="1" t="str">
        <f>VLOOKUP($B176&amp;"__wt",'SegEnds_Xtal_BW#'!$A:$Z,17,FALSE)</f>
        <v>-</v>
      </c>
      <c r="R176" s="1" t="str">
        <f>VLOOKUP($B176&amp;"__wt",'SegEnds_Xtal_BW#'!$A:$Z,18,FALSE)</f>
        <v>-</v>
      </c>
      <c r="S176" s="108">
        <v>33</v>
      </c>
      <c r="T176" s="1">
        <f t="array" ref="T176">INDEX(ICL3_classA!$G$2:$G$37,MATCH(MIN(ABS(AI176-ICL3_classA!$F$2:$F$37)),ABS(AI176-ICL3_classA!$F$2:$F$37),0))</f>
        <v>68</v>
      </c>
      <c r="U176" s="108">
        <v>27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 t="e">
        <f>VLOOKUP(A176,'SegEnds_NonXtal_Prot#'!A:AL,13,FALSE)-VLOOKUP(A176,'SegEnds_NonXtal_Prot#'!A:AL,10,FALSE)</f>
        <v>#VALUE!</v>
      </c>
      <c r="AE176" s="1">
        <f>VLOOKUP(A176,'SegEnds_NonXtal_Prot#'!A:AL,16,FALSE)-VLOOKUP(A176,'SegEnds_NonXtal_Prot#'!A:AL,10,FALSE)</f>
        <v>58</v>
      </c>
      <c r="AF176" s="1">
        <f>VLOOKUP(A176,'SegEnds_NonXtal_Prot#'!A:AL,22,FALSE)-VLOOKUP(A176,'SegEnds_NonXtal_Prot#'!A:AL,19,FALSE)</f>
        <v>20</v>
      </c>
      <c r="AG176" s="1" t="e">
        <f>VLOOKUP(A176,'SegEnds_NonXtal_Prot#'!A:AL,28,FALSE)-VLOOKUP(A176,'SegEnds_NonXtal_Prot#'!A:AL,25,FALSE)</f>
        <v>#VALUE!</v>
      </c>
      <c r="AH176" s="1">
        <f>VLOOKUP(A176,'SegEnds_NonXtal_Prot#'!A:AL,28,FALSE)-VLOOKUP(A176,'SegEnds_NonXtal_Prot#'!A:AL,22,FALSE)</f>
        <v>40</v>
      </c>
      <c r="AI176" s="1">
        <f>VLOOKUP(A176,'SegEnds_NonXtal_Prot#'!A:AL,31,FALSE)-VLOOKUP(A176,'SegEnds_NonXtal_Prot#'!A:AL,28,FALSE)</f>
        <v>48</v>
      </c>
      <c r="AJ176" s="1">
        <f>VLOOKUP(A176,'SegEnds_NonXtal_Prot#'!A:AL,34,FALSE)-VLOOKUP(A176,'SegEnds_NonXtal_Prot#'!A:AL,31,FALSE)</f>
        <v>39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297</v>
      </c>
      <c r="B177" s="1" t="str">
        <f>VLOOKUP(A177,Xtal_Templ!A:B,2,FALSE)</f>
        <v>s1pr1_human</v>
      </c>
      <c r="C177" s="5">
        <f>VLOOKUP($B177&amp;"__wt",'SegEnds_Xtal_BW#'!$A:$Z,3,FALSE)</f>
        <v>29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67</v>
      </c>
      <c r="I177" s="1" t="s">
        <v>23</v>
      </c>
      <c r="J177" s="1" t="s">
        <v>23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63</v>
      </c>
      <c r="Q177" s="1" t="str">
        <f>VLOOKUP($B177&amp;"__wt",'SegEnds_Xtal_BW#'!$A:$Z,17,FALSE)</f>
        <v>-</v>
      </c>
      <c r="R177" s="1" t="str">
        <f>VLOOKUP($B177&amp;"__wt",'SegEnds_Xtal_BW#'!$A:$Z,18,FALSE)</f>
        <v>-</v>
      </c>
      <c r="S177" s="108">
        <v>33</v>
      </c>
      <c r="T177" s="1">
        <f t="array" ref="T177">INDEX(ICL3_classA!$G$2:$G$37,MATCH(MIN(ABS(AI177-ICL3_classA!$F$2:$F$37)),ABS(AI177-ICL3_classA!$F$2:$F$37),0))</f>
        <v>67</v>
      </c>
      <c r="U177" s="108">
        <v>27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 t="e">
        <f>VLOOKUP(A177,'SegEnds_NonXtal_Prot#'!A:AL,13,FALSE)-VLOOKUP(A177,'SegEnds_NonXtal_Prot#'!A:AL,10,FALSE)</f>
        <v>#VALUE!</v>
      </c>
      <c r="AE177" s="1">
        <f>VLOOKUP(A177,'SegEnds_NonXtal_Prot#'!A:AL,16,FALSE)-VLOOKUP(A177,'SegEnds_NonXtal_Prot#'!A:AL,10,FALSE)</f>
        <v>57</v>
      </c>
      <c r="AF177" s="1">
        <f>VLOOKUP(A177,'SegEnds_NonXtal_Prot#'!A:AL,22,FALSE)-VLOOKUP(A177,'SegEnds_NonXtal_Prot#'!A:AL,19,FALSE)</f>
        <v>20</v>
      </c>
      <c r="AG177" s="1" t="e">
        <f>VLOOKUP(A177,'SegEnds_NonXtal_Prot#'!A:AL,28,FALSE)-VLOOKUP(A177,'SegEnds_NonXtal_Prot#'!A:AL,25,FALSE)</f>
        <v>#VALUE!</v>
      </c>
      <c r="AH177" s="1">
        <f>VLOOKUP(A177,'SegEnds_NonXtal_Prot#'!A:AL,28,FALSE)-VLOOKUP(A177,'SegEnds_NonXtal_Prot#'!A:AL,22,FALSE)</f>
        <v>40</v>
      </c>
      <c r="AI177" s="1">
        <f>VLOOKUP(A177,'SegEnds_NonXtal_Prot#'!A:AL,31,FALSE)-VLOOKUP(A177,'SegEnds_NonXtal_Prot#'!A:AL,28,FALSE)</f>
        <v>46</v>
      </c>
      <c r="AJ177" s="1">
        <f>VLOOKUP(A177,'SegEnds_NonXtal_Prot#'!A:AL,34,FALSE)-VLOOKUP(A177,'SegEnds_NonXtal_Prot#'!A:AL,31,FALSE)</f>
        <v>39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298</v>
      </c>
      <c r="B178" s="1" t="str">
        <f>VLOOKUP(A178,Xtal_Templ!A:B,2,FALSE)</f>
        <v>lpar1_human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63</v>
      </c>
      <c r="I178" s="1">
        <v>49</v>
      </c>
      <c r="J178" s="1">
        <f>VLOOKUP($B178&amp;"__wt",'SegEnds_Xtal_BW#'!$A:$Z,10,FALSE)</f>
        <v>53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f>VLOOKUP($B178&amp;"__wt",'SegEnds_Xtal_BW#'!$A:$Z,15,FALSE)</f>
        <v>38</v>
      </c>
      <c r="P178" s="1">
        <f>VLOOKUP($B178&amp;"__wt",'SegEnds_Xtal_BW#'!$A:$Z,16,FALSE)</f>
        <v>63</v>
      </c>
      <c r="Q178" s="1" t="str">
        <f>VLOOKUP($B178&amp;"__wt",'SegEnds_Xtal_BW#'!$A:$Z,17,FALSE)</f>
        <v>-</v>
      </c>
      <c r="R178" s="1" t="str">
        <f>VLOOKUP($B178&amp;"__wt",'SegEnds_Xtal_BW#'!$A:$Z,18,FALSE)</f>
        <v>-</v>
      </c>
      <c r="S178" s="108">
        <v>33</v>
      </c>
      <c r="T178" s="1">
        <f t="array" ref="T178">INDEX(ICL3_classA!$G$2:$G$37,MATCH(MIN(ABS(AI178-ICL3_classA!$F$2:$F$37)),ABS(AI178-ICL3_classA!$F$2:$F$37),0))</f>
        <v>67</v>
      </c>
      <c r="U178" s="108">
        <v>27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58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40</v>
      </c>
      <c r="AI178" s="1">
        <f>VLOOKUP(A178,'SegEnds_NonXtal_Prot#'!A:AL,31,FALSE)-VLOOKUP(A178,'SegEnds_NonXtal_Prot#'!A:AL,28,FALSE)</f>
        <v>46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299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30</v>
      </c>
      <c r="T179" s="1">
        <f t="array" ref="T179">INDEX(ICL3_classA!$G$2:$G$37,MATCH(MIN(ABS(AI179-ICL3_classA!$F$2:$F$37)),ABS(AI179-ICL3_classA!$F$2:$F$37),0))</f>
        <v>68</v>
      </c>
      <c r="U179" s="1">
        <f t="array" ref="U179">INDEX(ICL3_classA!$H$2:$H$37,MATCH(MIN(ABS(AI179-ICL3_classA!$F$2:$F$37)),ABS(AI179-ICL3_classA!$F$2:$F$37),0))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31</v>
      </c>
      <c r="AC179" s="1">
        <f>VLOOKUP(A179,'SegEnds_NonXtal_Prot#'!A:AL,10,FALSE)-VLOOKUP(A179,'SegEnds_NonXtal_Prot#'!A:AL,7,FALSE)</f>
        <v>18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26</v>
      </c>
      <c r="AH179" s="1">
        <f>VLOOKUP(A179,'SegEnds_NonXtal_Prot#'!A:AL,28,FALSE)-VLOOKUP(A179,'SegEnds_NonXtal_Prot#'!A:AL,22,FALSE)</f>
        <v>52</v>
      </c>
      <c r="AI179" s="1">
        <f>VLOOKUP(A179,'SegEnds_NonXtal_Prot#'!A:AL,31,FALSE)-VLOOKUP(A179,'SegEnds_NonXtal_Prot#'!A:AL,28,FALSE)</f>
        <v>51</v>
      </c>
      <c r="AJ179" s="1">
        <f>VLOOKUP(A179,'SegEnds_NonXtal_Prot#'!A:AL,34,FALSE)-VLOOKUP(A179,'SegEnds_NonXtal_Prot#'!A:AL,31,FALSE)</f>
        <v>37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300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73</v>
      </c>
      <c r="U180" s="1">
        <f t="array" ref="U180">INDEX(ICL3_classA!$H$2:$H$37,MATCH(MIN(ABS(AI180-ICL3_classA!$F$2:$F$37)),ABS(AI180-ICL3_classA!$F$2:$F$37),0))</f>
        <v>22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51</v>
      </c>
      <c r="AI180" s="1">
        <f>VLOOKUP(A180,'SegEnds_NonXtal_Prot#'!A:AL,31,FALSE)-VLOOKUP(A180,'SegEnds_NonXtal_Prot#'!A:AL,28,FALSE)</f>
        <v>57</v>
      </c>
      <c r="AJ180" s="1">
        <f>VLOOKUP(A180,'SegEnds_NonXtal_Prot#'!A:AL,34,FALSE)-VLOOKUP(A180,'SegEnds_NonXtal_Prot#'!A:AL,31,FALSE)</f>
        <v>37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301</v>
      </c>
      <c r="B181" s="1" t="str">
        <f>VLOOKUP(A181,Xtal_Templ!A:B,2,FALSE)</f>
        <v>c5ar1_human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INDEX(ICL3_classA!$G$2:$G$37,MATCH(MIN(ABS(AI181-ICL3_classA!$F$2:$F$37)),ABS(AI181-ICL3_classA!$F$2:$F$37),0))</f>
        <v>68</v>
      </c>
      <c r="U181" s="1">
        <f t="array" ref="U181">INDEX(ICL3_classA!$H$2:$H$37,MATCH(MIN(ABS(AI181-ICL3_classA!$F$2:$F$37)),ABS(AI181-ICL3_classA!$F$2:$F$37),0))</f>
        <v>28</v>
      </c>
      <c r="V181" s="1">
        <v>61</v>
      </c>
      <c r="W181" s="1">
        <v>31</v>
      </c>
      <c r="X181" s="108">
        <v>56</v>
      </c>
      <c r="Y181" s="1">
        <f>VLOOKUP($B181&amp;"__wt",'SegEnds_Xtal_BW#'!$A:$Z,25,FALSE)</f>
        <v>47</v>
      </c>
      <c r="Z181" s="1">
        <f>VLOOKUP($B181&amp;"__wt",'SegEnds_Xtal_BW#'!$A:$Z,26,FALSE)</f>
        <v>56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51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42</v>
      </c>
      <c r="AI181" s="1">
        <f>VLOOKUP(A181,'SegEnds_NonXtal_Prot#'!A:AL,31,FALSE)-VLOOKUP(A181,'SegEnds_NonXtal_Prot#'!A:AL,28,FALSE)</f>
        <v>44</v>
      </c>
      <c r="AJ181" s="1">
        <f>VLOOKUP(A181,'SegEnds_NonXtal_Prot#'!A:AL,34,FALSE)-VLOOKUP(A181,'SegEnds_NonXtal_Prot#'!A:AL,31,FALSE)</f>
        <v>37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302</v>
      </c>
      <c r="B182" s="1" t="str">
        <f>VLOOKUP(A182,Xtal_Templ!A:B,2,FALSE)</f>
        <v>cxcr4_human</v>
      </c>
      <c r="C182" s="5">
        <f>VLOOKUP($B182&amp;"__wt",'SegEnds_Xtal_BW#'!$A:$Z,3,FALSE)</f>
        <v>24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32</v>
      </c>
      <c r="T182" s="1">
        <f t="array" ref="T182">INDEX(ICL3_classA!$G$2:$G$37,MATCH(MIN(ABS(AI182-ICL3_classA!$F$2:$F$37)),ABS(AI182-ICL3_classA!$F$2:$F$37),0))</f>
        <v>68</v>
      </c>
      <c r="U182" s="1">
        <f t="array" ref="U182">INDEX(ICL3_classA!$H$2:$H$37,MATCH(MIN(ABS(AI182-ICL3_classA!$F$2:$F$37)),ABS(AI182-ICL3_classA!$F$2:$F$37),0))</f>
        <v>30</v>
      </c>
      <c r="V182" s="1">
        <v>61</v>
      </c>
      <c r="W182" s="1">
        <v>32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42</v>
      </c>
      <c r="AI182" s="1">
        <f>VLOOKUP(A182,'SegEnds_NonXtal_Prot#'!A:AL,31,FALSE)-VLOOKUP(A182,'SegEnds_NonXtal_Prot#'!A:AL,28,FALSE)</f>
        <v>42</v>
      </c>
      <c r="AJ182" s="1">
        <f>VLOOKUP(A182,'SegEnds_NonXtal_Prot#'!A:AL,34,FALSE)-VLOOKUP(A182,'SegEnds_NonXtal_Prot#'!A:AL,31,FALSE)</f>
        <v>34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303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INDEX(ICL3_classA!$G$2:$G$37,MATCH(MIN(ABS(AI183-ICL3_classA!$F$2:$F$37)),ABS(AI183-ICL3_classA!$F$2:$F$37),0))</f>
        <v>68</v>
      </c>
      <c r="U183" s="1">
        <f t="array" ref="U183">INDEX(ICL3_classA!$H$2:$H$37,MATCH(MIN(ABS(AI183-ICL3_classA!$F$2:$F$37)),ABS(AI183-ICL3_classA!$F$2:$F$37),0))</f>
        <v>30</v>
      </c>
      <c r="V183" s="1">
        <v>61</v>
      </c>
      <c r="W183" s="1">
        <v>32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56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 t="e">
        <f>VLOOKUP(A183,'SegEnds_NonXtal_Prot#'!A:AL,13,FALSE)-VLOOKUP(A183,'SegEnds_NonXtal_Prot#'!A:AL,10,FALSE)</f>
        <v>#VALUE!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43</v>
      </c>
      <c r="AI183" s="1">
        <f>VLOOKUP(A183,'SegEnds_NonXtal_Prot#'!A:AL,31,FALSE)-VLOOKUP(A183,'SegEnds_NonXtal_Prot#'!A:AL,28,FALSE)</f>
        <v>43</v>
      </c>
      <c r="AJ183" s="1">
        <f>VLOOKUP(A183,'SegEnds_NonXtal_Prot#'!A:AL,34,FALSE)-VLOOKUP(A183,'SegEnds_NonXtal_Prot#'!A:AL,31,FALSE)</f>
        <v>34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304</v>
      </c>
      <c r="B184" s="1" t="str">
        <f>VLOOKUP(A184,Xtal_Templ!A:B,2,FALSE)</f>
        <v>pd2r2_human</v>
      </c>
      <c r="C184" s="5">
        <f>VLOOKUP($B184&amp;"__wt",'SegEnds_Xtal_BW#'!$A:$Z,3,FALSE)</f>
        <v>32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v>63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08">
        <v>24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26</v>
      </c>
      <c r="T184" s="1">
        <f t="array" ref="T184">INDEX(ICL3_classA!$G$2:$G$37,MATCH(MIN(ABS(AI184-ICL3_classA!$F$2:$F$37)),ABS(AI184-ICL3_classA!$F$2:$F$37),0))</f>
        <v>67</v>
      </c>
      <c r="U184" s="1">
        <f t="array" ref="U184">INDEX(ICL3_classA!$H$2:$H$37,MATCH(MIN(ABS(AI184-ICL3_classA!$F$2:$F$37)),ABS(AI184-ICL3_classA!$F$2:$F$37),0))</f>
        <v>30</v>
      </c>
      <c r="V184" s="1">
        <v>61</v>
      </c>
      <c r="W184" s="1">
        <v>32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64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27</v>
      </c>
      <c r="AC184" s="1" t="e">
        <f>VLOOKUP(A184,'SegEnds_NonXtal_Prot#'!A:AL,10,FALSE)-VLOOKUP(A184,'SegEnds_NonXtal_Prot#'!A:AL,7,FALSE)</f>
        <v>#VALUE!</v>
      </c>
      <c r="AD184" s="1" t="e">
        <f>VLOOKUP(A184,'SegEnds_NonXtal_Prot#'!A:AL,13,FALSE)-VLOOKUP(A184,'SegEnds_NonXtal_Prot#'!A:AL,10,FALSE)</f>
        <v>#VALUE!</v>
      </c>
      <c r="AE184" s="1">
        <f>VLOOKUP(A184,'SegEnds_NonXtal_Prot#'!A:AL,16,FALSE)-VLOOKUP(A184,'SegEnds_NonXtal_Prot#'!A:AL,10,FALSE)</f>
        <v>46</v>
      </c>
      <c r="AF184" s="1">
        <f>VLOOKUP(A184,'SegEnds_NonXtal_Prot#'!A:AL,22,FALSE)-VLOOKUP(A184,'SegEnds_NonXtal_Prot#'!A:AL,19,FALSE)</f>
        <v>20</v>
      </c>
      <c r="AG184" s="1" t="e">
        <f>VLOOKUP(A184,'SegEnds_NonXtal_Prot#'!A:AL,28,FALSE)-VLOOKUP(A184,'SegEnds_NonXtal_Prot#'!A:AL,25,FALSE)</f>
        <v>#VALUE!</v>
      </c>
      <c r="AH184" s="1">
        <f>VLOOKUP(A184,'SegEnds_NonXtal_Prot#'!A:AL,28,FALSE)-VLOOKUP(A184,'SegEnds_NonXtal_Prot#'!A:AL,22,FALSE)</f>
        <v>42</v>
      </c>
      <c r="AI184" s="1">
        <f>VLOOKUP(A184,'SegEnds_NonXtal_Prot#'!A:AL,31,FALSE)-VLOOKUP(A184,'SegEnds_NonXtal_Prot#'!A:AL,28,FALSE)</f>
        <v>41</v>
      </c>
      <c r="AJ184" s="1">
        <f>VLOOKUP(A184,'SegEnds_NonXtal_Prot#'!A:AL,34,FALSE)-VLOOKUP(A184,'SegEnds_NonXtal_Prot#'!A:AL,31,FALSE)</f>
        <v>34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305</v>
      </c>
      <c r="B185" s="1" t="str">
        <f>VLOOKUP(A185,Xtal_Templ!A:B,2,FALSE)</f>
        <v>agtr1_human</v>
      </c>
      <c r="C185" s="5">
        <f>VLOOKUP($B185&amp;"__wt",'SegEnds_Xtal_BW#'!$A:$Z,3,FALSE)</f>
        <v>30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24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34</v>
      </c>
      <c r="T185" s="1">
        <f t="array" ref="T185">INDEX(ICL3_classA!$G$2:$G$37,MATCH(MIN(ABS(AI185-ICL3_classA!$F$2:$F$37)),ABS(AI185-ICL3_classA!$F$2:$F$37),0))</f>
        <v>68</v>
      </c>
      <c r="U185" s="1">
        <f t="array" ref="U185">INDEX(ICL3_classA!$H$2:$H$37,MATCH(MIN(ABS(AI185-ICL3_classA!$F$2:$F$37)),ABS(AI185-ICL3_classA!$F$2:$F$37),0))</f>
        <v>30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61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27</v>
      </c>
      <c r="AC185" s="1" t="e">
        <f>VLOOKUP(A185,'SegEnds_NonXtal_Prot#'!A:AL,10,FALSE)-VLOOKUP(A185,'SegEnds_NonXtal_Prot#'!A:AL,7,FALSE)</f>
        <v>#VALUE!</v>
      </c>
      <c r="AD185" s="1" t="e">
        <f>VLOOKUP(A185,'SegEnds_NonXtal_Prot#'!A:AL,13,FALSE)-VLOOKUP(A185,'SegEnds_NonXtal_Prot#'!A:AL,10,FALSE)</f>
        <v>#VALUE!</v>
      </c>
      <c r="AE185" s="1">
        <f>VLOOKUP(A185,'SegEnds_NonXtal_Prot#'!A:AL,16,FALSE)-VLOOKUP(A185,'SegEnds_NonXtal_Prot#'!A:AL,10,FALSE)</f>
        <v>48</v>
      </c>
      <c r="AF185" s="1">
        <f>VLOOKUP(A185,'SegEnds_NonXtal_Prot#'!A:AL,22,FALSE)-VLOOKUP(A185,'SegEnds_NonXtal_Prot#'!A:AL,19,FALSE)</f>
        <v>20</v>
      </c>
      <c r="AG185" s="1" t="e">
        <f>VLOOKUP(A185,'SegEnds_NonXtal_Prot#'!A:AL,28,FALSE)-VLOOKUP(A185,'SegEnds_NonXtal_Prot#'!A:AL,25,FALSE)</f>
        <v>#VALUE!</v>
      </c>
      <c r="AH185" s="1">
        <f>VLOOKUP(A185,'SegEnds_NonXtal_Prot#'!A:AL,28,FALSE)-VLOOKUP(A185,'SegEnds_NonXtal_Prot#'!A:AL,22,FALSE)</f>
        <v>42</v>
      </c>
      <c r="AI185" s="1">
        <f>VLOOKUP(A185,'SegEnds_NonXtal_Prot#'!A:AL,31,FALSE)-VLOOKUP(A185,'SegEnds_NonXtal_Prot#'!A:AL,28,FALSE)</f>
        <v>42</v>
      </c>
      <c r="AJ185" s="1">
        <f>VLOOKUP(A185,'SegEnds_NonXtal_Prot#'!A:AL,34,FALSE)-VLOOKUP(A185,'SegEnds_NonXtal_Prot#'!A:AL,31,FALSE)</f>
        <v>38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306</v>
      </c>
      <c r="B186" s="1" t="str">
        <f>VLOOKUP(A186,Xtal_Templ!A:B,2,FALSE)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21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">
        <f t="array" ref="U186">INDEX(ICL3_classA!$H$2:$H$37,MATCH(MIN(ABS(AI186-ICL3_classA!$F$2:$F$37)),ABS(AI186-ICL3_classA!$F$2:$F$37),0))</f>
        <v>30</v>
      </c>
      <c r="V186" s="1">
        <v>61</v>
      </c>
      <c r="W186" s="1">
        <v>28</v>
      </c>
      <c r="X186" s="108">
        <v>56</v>
      </c>
      <c r="Y186" s="1">
        <f>VLOOKUP($B186&amp;"__wt",'SegEnds_Xtal_BW#'!$A:$Z,25,FALSE)</f>
        <v>47</v>
      </c>
      <c r="Z186" s="1">
        <f>VLOOKUP($B186&amp;"__wt",'SegEnds_Xtal_BW#'!$A:$Z,26,FALSE)</f>
        <v>56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27</v>
      </c>
      <c r="AC186" s="1" t="e">
        <f>VLOOKUP(A186,'SegEnds_NonXtal_Prot#'!A:AL,10,FALSE)-VLOOKUP(A186,'SegEnds_NonXtal_Prot#'!A:AL,7,FALSE)</f>
        <v>#VALUE!</v>
      </c>
      <c r="AD186" s="1" t="e">
        <f>VLOOKUP(A186,'SegEnds_NonXtal_Prot#'!A:AL,13,FALSE)-VLOOKUP(A186,'SegEnds_NonXtal_Prot#'!A:AL,10,FALSE)</f>
        <v>#VALUE!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 t="e">
        <f>VLOOKUP(A186,'SegEnds_NonXtal_Prot#'!A:AL,28,FALSE)-VLOOKUP(A186,'SegEnds_NonXtal_Prot#'!A:AL,25,FALSE)</f>
        <v>#VALUE!</v>
      </c>
      <c r="AH186" s="1">
        <f>VLOOKUP(A186,'SegEnds_NonXtal_Prot#'!A:AL,28,FALSE)-VLOOKUP(A186,'SegEnds_NonXtal_Prot#'!A:AL,22,FALSE)</f>
        <v>42</v>
      </c>
      <c r="AI186" s="1">
        <f>VLOOKUP(A186,'SegEnds_NonXtal_Prot#'!A:AL,31,FALSE)-VLOOKUP(A186,'SegEnds_NonXtal_Prot#'!A:AL,28,FALSE)</f>
        <v>42</v>
      </c>
      <c r="AJ186" s="1">
        <f>VLOOKUP(A186,'SegEnds_NonXtal_Prot#'!A:AL,34,FALSE)-VLOOKUP(A186,'SegEnds_NonXtal_Prot#'!A:AL,31,FALSE)</f>
        <v>38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307</v>
      </c>
      <c r="B187" s="1" t="str">
        <f>VLOOKUP(A187,Xtal_Templ!A:B,2,FALSE)</f>
        <v>pd2r2_human</v>
      </c>
      <c r="C187" s="5">
        <f>VLOOKUP($B187&amp;"__wt",'SegEnds_Xtal_BW#'!$A:$Z,3,FALSE)</f>
        <v>32</v>
      </c>
      <c r="D187" s="1">
        <f>VLOOKUP($B187&amp;"__wt",'SegEnds_Xtal_BW#'!$A:$Z,4,FALSE)</f>
        <v>60</v>
      </c>
      <c r="E187" s="1" t="str">
        <f>VLOOKUP($B187&amp;"__wt",'SegEnds_Xtal_BW#'!$A:$Z,5,FALSE)</f>
        <v>-</v>
      </c>
      <c r="F187" s="1" t="str">
        <f>VLOOKUP($B187&amp;"__wt",'SegEnds_Xtal_BW#'!$A:$Z,6,FALSE)</f>
        <v>-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24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26</v>
      </c>
      <c r="T187" s="1">
        <f t="array" ref="T187">INDEX(ICL3_classA!$G$2:$G$37,MATCH(MIN(ABS(AI187-ICL3_classA!$F$2:$F$37)),ABS(AI187-ICL3_classA!$F$2:$F$37),0))</f>
        <v>68</v>
      </c>
      <c r="U187" s="1">
        <f t="array" ref="U187">INDEX(ICL3_classA!$H$2:$H$37,MATCH(MIN(ABS(AI187-ICL3_classA!$F$2:$F$37)),ABS(AI187-ICL3_classA!$F$2:$F$37),0))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64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27</v>
      </c>
      <c r="AC187" s="1" t="e">
        <f>VLOOKUP(A187,'SegEnds_NonXtal_Prot#'!A:AL,10,FALSE)-VLOOKUP(A187,'SegEnds_NonXtal_Prot#'!A:AL,7,FALSE)</f>
        <v>#VALUE!</v>
      </c>
      <c r="AD187" s="1" t="e">
        <f>VLOOKUP(A187,'SegEnds_NonXtal_Prot#'!A:AL,13,FALSE)-VLOOKUP(A187,'SegEnds_NonXtal_Prot#'!A:AL,10,FALSE)</f>
        <v>#VALUE!</v>
      </c>
      <c r="AE187" s="1">
        <f>VLOOKUP(A187,'SegEnds_NonXtal_Prot#'!A:AL,16,FALSE)-VLOOKUP(A187,'SegEnds_NonXtal_Prot#'!A:AL,10,FALSE)</f>
        <v>48</v>
      </c>
      <c r="AF187" s="1">
        <f>VLOOKUP(A187,'SegEnds_NonXtal_Prot#'!A:AL,22,FALSE)-VLOOKUP(A187,'SegEnds_NonXtal_Prot#'!A:AL,19,FALSE)</f>
        <v>20</v>
      </c>
      <c r="AG187" s="1" t="e">
        <f>VLOOKUP(A187,'SegEnds_NonXtal_Prot#'!A:AL,28,FALSE)-VLOOKUP(A187,'SegEnds_NonXtal_Prot#'!A:AL,25,FALSE)</f>
        <v>#VALUE!</v>
      </c>
      <c r="AH187" s="1">
        <f>VLOOKUP(A187,'SegEnds_NonXtal_Prot#'!A:AL,28,FALSE)-VLOOKUP(A187,'SegEnds_NonXtal_Prot#'!A:AL,22,FALSE)</f>
        <v>42</v>
      </c>
      <c r="AI187" s="1">
        <f>VLOOKUP(A187,'SegEnds_NonXtal_Prot#'!A:AL,31,FALSE)-VLOOKUP(A187,'SegEnds_NonXtal_Prot#'!A:AL,28,FALSE)</f>
        <v>42</v>
      </c>
      <c r="AJ187" s="1">
        <f>VLOOKUP(A187,'SegEnds_NonXtal_Prot#'!A:AL,34,FALSE)-VLOOKUP(A187,'SegEnds_NonXtal_Prot#'!A:AL,31,FALSE)</f>
        <v>38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308</v>
      </c>
      <c r="B188" s="1" t="str">
        <f>VLOOKUP(A188,Xtal_Templ!A:B,2,FALSE)</f>
        <v>c5ar1_human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24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INDEX(ICL3_classA!$G$2:$G$37,MATCH(MIN(ABS(AI188-ICL3_classA!$F$2:$F$37)),ABS(AI188-ICL3_classA!$F$2:$F$37),0))</f>
        <v>68</v>
      </c>
      <c r="U188" s="1">
        <f t="array" ref="U188">INDEX(ICL3_classA!$H$2:$H$37,MATCH(MIN(ABS(AI188-ICL3_classA!$F$2:$F$37)),ABS(AI188-ICL3_classA!$F$2:$F$37),0))</f>
        <v>30</v>
      </c>
      <c r="V188" s="1">
        <v>61</v>
      </c>
      <c r="W188" s="1">
        <v>28</v>
      </c>
      <c r="X188" s="108">
        <v>56</v>
      </c>
      <c r="Y188" s="1">
        <f>VLOOKUP($B188&amp;"__wt",'SegEnds_Xtal_BW#'!$A:$Z,25,FALSE)</f>
        <v>47</v>
      </c>
      <c r="Z188" s="1">
        <f>VLOOKUP($B188&amp;"__wt",'SegEnds_Xtal_BW#'!$A:$Z,26,FALSE)</f>
        <v>56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27</v>
      </c>
      <c r="AC188" s="1" t="e">
        <f>VLOOKUP(A188,'SegEnds_NonXtal_Prot#'!A:AL,10,FALSE)-VLOOKUP(A188,'SegEnds_NonXtal_Prot#'!A:AL,7,FALSE)</f>
        <v>#VALUE!</v>
      </c>
      <c r="AD188" s="1" t="e">
        <f>VLOOKUP(A188,'SegEnds_NonXtal_Prot#'!A:AL,13,FALSE)-VLOOKUP(A188,'SegEnds_NonXtal_Prot#'!A:AL,10,FALSE)</f>
        <v>#VALUE!</v>
      </c>
      <c r="AE188" s="1">
        <f>VLOOKUP(A188,'SegEnds_NonXtal_Prot#'!A:AL,16,FALSE)-VLOOKUP(A188,'SegEnds_NonXtal_Prot#'!A:AL,10,FALSE)</f>
        <v>48</v>
      </c>
      <c r="AF188" s="1">
        <f>VLOOKUP(A188,'SegEnds_NonXtal_Prot#'!A:AL,22,FALSE)-VLOOKUP(A188,'SegEnds_NonXtal_Prot#'!A:AL,19,FALSE)</f>
        <v>20</v>
      </c>
      <c r="AG188" s="1" t="e">
        <f>VLOOKUP(A188,'SegEnds_NonXtal_Prot#'!A:AL,28,FALSE)-VLOOKUP(A188,'SegEnds_NonXtal_Prot#'!A:AL,25,FALSE)</f>
        <v>#VALUE!</v>
      </c>
      <c r="AH188" s="1">
        <f>VLOOKUP(A188,'SegEnds_NonXtal_Prot#'!A:AL,28,FALSE)-VLOOKUP(A188,'SegEnds_NonXtal_Prot#'!A:AL,22,FALSE)</f>
        <v>42</v>
      </c>
      <c r="AI188" s="1">
        <f>VLOOKUP(A188,'SegEnds_NonXtal_Prot#'!A:AL,31,FALSE)-VLOOKUP(A188,'SegEnds_NonXtal_Prot#'!A:AL,28,FALSE)</f>
        <v>42</v>
      </c>
      <c r="AJ188" s="1">
        <f>VLOOKUP(A188,'SegEnds_NonXtal_Prot#'!A:AL,34,FALSE)-VLOOKUP(A188,'SegEnds_NonXtal_Prot#'!A:AL,31,FALSE)</f>
        <v>38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309</v>
      </c>
      <c r="B189" s="1" t="str">
        <f>VLOOKUP(A189,Xtal_Templ!A:B,2,FALSE)</f>
        <v>s1pr1_human</v>
      </c>
      <c r="C189" s="5">
        <f>VLOOKUP($B189&amp;"__wt",'SegEnds_Xtal_BW#'!$A:$Z,3,FALSE)</f>
        <v>29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67</v>
      </c>
      <c r="I189" s="1" t="s">
        <v>23</v>
      </c>
      <c r="J189" s="1" t="s">
        <v>23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f>VLOOKUP($B189&amp;"__wt",'SegEnds_Xtal_BW#'!$A:$Z,15,FALSE)</f>
        <v>38</v>
      </c>
      <c r="P189" s="1">
        <f>VLOOKUP($B189&amp;"__wt",'SegEnds_Xtal_BW#'!$A:$Z,16,FALSE)</f>
        <v>63</v>
      </c>
      <c r="Q189" s="1" t="str">
        <f>VLOOKUP($B189&amp;"__wt",'SegEnds_Xtal_BW#'!$A:$Z,17,FALSE)</f>
        <v>-</v>
      </c>
      <c r="R189" s="1" t="str">
        <f>VLOOKUP($B189&amp;"__wt",'SegEnds_Xtal_BW#'!$A:$Z,18,FALSE)</f>
        <v>-</v>
      </c>
      <c r="S189" s="108">
        <v>33</v>
      </c>
      <c r="T189" s="1">
        <f t="array" ref="T189">INDEX(ICL3_classA!$G$2:$G$37,MATCH(MIN(ABS(AI189-ICL3_classA!$F$2:$F$37)),ABS(AI189-ICL3_classA!$F$2:$F$37),0))</f>
        <v>67</v>
      </c>
      <c r="U189" s="108">
        <v>27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 t="e">
        <f>VLOOKUP(A189,'SegEnds_NonXtal_Prot#'!A:AL,13,FALSE)-VLOOKUP(A189,'SegEnds_NonXtal_Prot#'!A:AL,10,FALSE)</f>
        <v>#VALUE!</v>
      </c>
      <c r="AE189" s="1">
        <f>VLOOKUP(A189,'SegEnds_NonXtal_Prot#'!A:AL,16,FALSE)-VLOOKUP(A189,'SegEnds_NonXtal_Prot#'!A:AL,10,FALSE)</f>
        <v>58</v>
      </c>
      <c r="AF189" s="1">
        <f>VLOOKUP(A189,'SegEnds_NonXtal_Prot#'!A:AL,22,FALSE)-VLOOKUP(A189,'SegEnds_NonXtal_Prot#'!A:AL,19,FALSE)</f>
        <v>20</v>
      </c>
      <c r="AG189" s="1" t="e">
        <f>VLOOKUP(A189,'SegEnds_NonXtal_Prot#'!A:AL,28,FALSE)-VLOOKUP(A189,'SegEnds_NonXtal_Prot#'!A:AL,25,FALSE)</f>
        <v>#VALUE!</v>
      </c>
      <c r="AH189" s="1">
        <f>VLOOKUP(A189,'SegEnds_NonXtal_Prot#'!A:AL,28,FALSE)-VLOOKUP(A189,'SegEnds_NonXtal_Prot#'!A:AL,22,FALSE)</f>
        <v>40</v>
      </c>
      <c r="AI189" s="1">
        <f>VLOOKUP(A189,'SegEnds_NonXtal_Prot#'!A:AL,31,FALSE)-VLOOKUP(A189,'SegEnds_NonXtal_Prot#'!A:AL,28,FALSE)</f>
        <v>47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310</v>
      </c>
      <c r="B190" s="1" t="str">
        <f>VLOOKUP(A190,Xtal_Templ!A:B,2,FALSE)</f>
        <v>ntr1_rat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INDEX(ICL3_classA!$G$2:$G$37,MATCH(MIN(ABS(AI190-ICL3_classA!$F$2:$F$37)),ABS(AI190-ICL3_classA!$F$2:$F$37),0))</f>
        <v>72</v>
      </c>
      <c r="U190" s="1">
        <f t="array" ref="U190">INDEX(ICL3_classA!$H$2:$H$37,MATCH(MIN(ABS(AI190-ICL3_classA!$F$2:$F$37)),ABS(AI190-ICL3_classA!$F$2:$F$37),0))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24</v>
      </c>
      <c r="AH190" s="1">
        <f>VLOOKUP(A190,'SegEnds_NonXtal_Prot#'!A:AL,28,FALSE)-VLOOKUP(A190,'SegEnds_NonXtal_Prot#'!A:AL,22,FALSE)</f>
        <v>96</v>
      </c>
      <c r="AI190" s="1">
        <f>VLOOKUP(A190,'SegEnds_NonXtal_Prot#'!A:AL,31,FALSE)-VLOOKUP(A190,'SegEnds_NonXtal_Prot#'!A:AL,28,FALSE)</f>
        <v>54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311</v>
      </c>
      <c r="B191" s="1" t="str">
        <f>VLOOKUP(A191,Xtal_Templ!A:B,2,FALSE)</f>
        <v>npy1r_human</v>
      </c>
      <c r="C191" s="5">
        <f>VLOOKUP($B191&amp;"__wt",'SegEnds_Xtal_BW#'!$A:$Z,3,FALSE)</f>
        <v>28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68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08">
        <v>50</v>
      </c>
      <c r="N191" s="12">
        <v>57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INDEX(ICL3_classA!$G$2:$G$37,MATCH(MIN(ABS(AI191-ICL3_classA!$F$2:$F$37)),ABS(AI191-ICL3_classA!$F$2:$F$37),0))</f>
        <v>72</v>
      </c>
      <c r="U191" s="1">
        <f t="array" ref="U191">INDEX(ICL3_classA!$H$2:$H$37,MATCH(MIN(ABS(AI191-ICL3_classA!$F$2:$F$37)),ABS(AI191-ICL3_classA!$F$2:$F$37),0))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22</v>
      </c>
      <c r="AH191" s="1">
        <f>VLOOKUP(A191,'SegEnds_NonXtal_Prot#'!A:AL,28,FALSE)-VLOOKUP(A191,'SegEnds_NonXtal_Prot#'!A:AL,22,FALSE)</f>
        <v>47</v>
      </c>
      <c r="AI191" s="1">
        <f>VLOOKUP(A191,'SegEnds_NonXtal_Prot#'!A:AL,31,FALSE)-VLOOKUP(A191,'SegEnds_NonXtal_Prot#'!A:AL,28,FALSE)</f>
        <v>54</v>
      </c>
      <c r="AJ191" s="1">
        <f>VLOOKUP(A191,'SegEnds_NonXtal_Prot#'!A:AL,34,FALSE)-VLOOKUP(A191,'SegEnds_NonXtal_Prot#'!A:AL,31,FALSE)</f>
        <v>39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312</v>
      </c>
      <c r="B192" s="1" t="str">
        <f>VLOOKUP(A192,Xtal_Templ!A:B,2,FALSE)</f>
        <v>ox2r_human</v>
      </c>
      <c r="C192" s="5">
        <f>VLOOKUP($B192&amp;"__wt",'SegEnds_Xtal_BW#'!$A:$Z,3,FALSE)</f>
        <v>31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v>35</v>
      </c>
      <c r="T192" s="1">
        <f t="array" ref="T192">INDEX(ICL3_classA!$G$2:$G$37,MATCH(MIN(ABS(AI192-ICL3_classA!$F$2:$F$37)),ABS(AI192-ICL3_classA!$F$2:$F$37),0))</f>
        <v>72</v>
      </c>
      <c r="U192" s="1">
        <f t="array" ref="U192">INDEX(ICL3_classA!$H$2:$H$37,MATCH(MIN(ABS(AI192-ICL3_classA!$F$2:$F$37)),ABS(AI192-ICL3_classA!$F$2:$F$37),0))</f>
        <v>24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58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>
        <f>VLOOKUP(A192,'SegEnds_NonXtal_Prot#'!A:AL,28,FALSE)-VLOOKUP(A192,'SegEnds_NonXtal_Prot#'!A:AL,25,FALSE)</f>
        <v>22</v>
      </c>
      <c r="AH192" s="1">
        <f>VLOOKUP(A192,'SegEnds_NonXtal_Prot#'!A:AL,28,FALSE)-VLOOKUP(A192,'SegEnds_NonXtal_Prot#'!A:AL,22,FALSE)</f>
        <v>47</v>
      </c>
      <c r="AI192" s="1">
        <f>VLOOKUP(A192,'SegEnds_NonXtal_Prot#'!A:AL,31,FALSE)-VLOOKUP(A192,'SegEnds_NonXtal_Prot#'!A:AL,28,FALSE)</f>
        <v>54</v>
      </c>
      <c r="AJ192" s="1">
        <f>VLOOKUP(A192,'SegEnds_NonXtal_Prot#'!A:AL,34,FALSE)-VLOOKUP(A192,'SegEnds_NonXtal_Prot#'!A:AL,31,FALSE)</f>
        <v>39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313</v>
      </c>
      <c r="B193" s="1" t="str">
        <f>VLOOKUP(A193,Xtal_Templ!A:B,2,FALSE)</f>
        <v>ox2r_human</v>
      </c>
      <c r="C193" s="5">
        <f>VLOOKUP($B193&amp;"__wt",'SegEnds_Xtal_BW#'!$A:$Z,3,FALSE)</f>
        <v>31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v>35</v>
      </c>
      <c r="T193" s="1">
        <f t="array" ref="T193">INDEX(ICL3_classA!$G$2:$G$37,MATCH(MIN(ABS(AI193-ICL3_classA!$F$2:$F$37)),ABS(AI193-ICL3_classA!$F$2:$F$37),0))</f>
        <v>72</v>
      </c>
      <c r="U193" s="1">
        <f t="array" ref="U193">INDEX(ICL3_classA!$H$2:$H$37,MATCH(MIN(ABS(AI193-ICL3_classA!$F$2:$F$37)),ABS(AI193-ICL3_classA!$F$2:$F$37),0))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22</v>
      </c>
      <c r="AH193" s="1">
        <f>VLOOKUP(A193,'SegEnds_NonXtal_Prot#'!A:AL,28,FALSE)-VLOOKUP(A193,'SegEnds_NonXtal_Prot#'!A:AL,22,FALSE)</f>
        <v>47</v>
      </c>
      <c r="AI193" s="1">
        <f>VLOOKUP(A193,'SegEnds_NonXtal_Prot#'!A:AL,31,FALSE)-VLOOKUP(A193,'SegEnds_NonXtal_Prot#'!A:AL,28,FALSE)</f>
        <v>52</v>
      </c>
      <c r="AJ193" s="1">
        <f>VLOOKUP(A193,'SegEnds_NonXtal_Prot#'!A:AL,34,FALSE)-VLOOKUP(A193,'SegEnds_NonXtal_Prot#'!A:AL,31,FALSE)</f>
        <v>39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314</v>
      </c>
      <c r="B194" s="1" t="str">
        <f>VLOOKUP(A194,Xtal_Templ!A:B,2,FALSE)</f>
        <v>nk1r_human</v>
      </c>
      <c r="C194" s="5">
        <f>VLOOKUP($B194&amp;"__wt",'SegEnds_Xtal_BW#'!$A:$Z,3,FALSE)</f>
        <v>31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 t="str">
        <f>VLOOKUP($B194&amp;"__wt",'SegEnds_Xtal_BW#'!$A:$Z,13,FALSE)</f>
        <v>-</v>
      </c>
      <c r="N194" s="12">
        <v>56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30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 t="e">
        <f>VLOOKUP(A194,'SegEnds_NonXtal_Prot#'!A:AL,22,FALSE)-VLOOKUP(A194,'SegEnds_NonXtal_Prot#'!A:AL,19,FALSE)</f>
        <v>#VALUE!</v>
      </c>
      <c r="AG194" s="1">
        <f>VLOOKUP(A194,'SegEnds_NonXtal_Prot#'!A:AL,28,FALSE)-VLOOKUP(A194,'SegEnds_NonXtal_Prot#'!A:AL,25,FALSE)</f>
        <v>28</v>
      </c>
      <c r="AH194" s="1">
        <f>VLOOKUP(A194,'SegEnds_NonXtal_Prot#'!A:AL,28,FALSE)-VLOOKUP(A194,'SegEnds_NonXtal_Prot#'!A:AL,22,FALSE)</f>
        <v>53</v>
      </c>
      <c r="AI194" s="1">
        <f>VLOOKUP(A194,'SegEnds_NonXtal_Prot#'!A:AL,31,FALSE)-VLOOKUP(A194,'SegEnds_NonXtal_Prot#'!A:AL,28,FALSE)</f>
        <v>55</v>
      </c>
      <c r="AJ194" s="1">
        <f>VLOOKUP(A194,'SegEnds_NonXtal_Prot#'!A:AL,34,FALSE)-VLOOKUP(A194,'SegEnds_NonXtal_Prot#'!A:AL,31,FALSE)</f>
        <v>39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Xtal</v>
      </c>
    </row>
    <row r="195" spans="1:38" x14ac:dyDescent="0.2">
      <c r="A195" s="1" t="s">
        <v>315</v>
      </c>
      <c r="B195" s="1" t="str">
        <f>VLOOKUP(A195,Xtal_Templ!A:B,2,FALSE)</f>
        <v>nk1r_human</v>
      </c>
      <c r="C195" s="5">
        <f>VLOOKUP($B195&amp;"__wt",'SegEnds_Xtal_BW#'!$A:$Z,3,FALSE)</f>
        <v>31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 t="str">
        <f>VLOOKUP($B195&amp;"__wt",'SegEnds_Xtal_BW#'!$A:$Z,13,FALSE)</f>
        <v>-</v>
      </c>
      <c r="N195" s="12">
        <v>56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30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 t="e">
        <f>VLOOKUP(A195,'SegEnds_NonXtal_Prot#'!A:AL,22,FALSE)-VLOOKUP(A195,'SegEnds_NonXtal_Prot#'!A:AL,19,FALSE)</f>
        <v>#VALUE!</v>
      </c>
      <c r="AG195" s="1">
        <f>VLOOKUP(A195,'SegEnds_NonXtal_Prot#'!A:AL,28,FALSE)-VLOOKUP(A195,'SegEnds_NonXtal_Prot#'!A:AL,25,FALSE)</f>
        <v>28</v>
      </c>
      <c r="AH195" s="1">
        <f>VLOOKUP(A195,'SegEnds_NonXtal_Prot#'!A:AL,28,FALSE)-VLOOKUP(A195,'SegEnds_NonXtal_Prot#'!A:AL,22,FALSE)</f>
        <v>53</v>
      </c>
      <c r="AI195" s="1">
        <f>VLOOKUP(A195,'SegEnds_NonXtal_Prot#'!A:AL,31,FALSE)-VLOOKUP(A195,'SegEnds_NonXtal_Prot#'!A:AL,28,FALSE)</f>
        <v>56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316</v>
      </c>
      <c r="B196" s="1" t="str">
        <f>VLOOKUP(A196,Xtal_Templ!A:B,2,FALSE)</f>
        <v>nk1r_human</v>
      </c>
      <c r="C196" s="5">
        <f>VLOOKUP($B196&amp;"__wt",'SegEnds_Xtal_BW#'!$A:$Z,3,FALSE)</f>
        <v>31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 t="str">
        <f>VLOOKUP($B196&amp;"__wt",'SegEnds_Xtal_BW#'!$A:$Z,13,FALSE)</f>
        <v>-</v>
      </c>
      <c r="N196" s="12">
        <v>56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30</v>
      </c>
      <c r="T196" s="1">
        <f t="array" ref="T196">INDEX(ICL3_classA!$G$2:$G$37,MATCH(MIN(ABS(AI196-ICL3_classA!$F$2:$F$37)),ABS(AI196-ICL3_classA!$F$2:$F$37),0))</f>
        <v>73</v>
      </c>
      <c r="U196" s="1">
        <f t="array" ref="U196">INDEX(ICL3_classA!$H$2:$H$37,MATCH(MIN(ABS(AI196-ICL3_classA!$F$2:$F$37)),ABS(AI196-ICL3_classA!$F$2:$F$37),0))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 t="e">
        <f>VLOOKUP(A196,'SegEnds_NonXtal_Prot#'!A:AL,22,FALSE)-VLOOKUP(A196,'SegEnds_NonXtal_Prot#'!A:AL,19,FALSE)</f>
        <v>#VALUE!</v>
      </c>
      <c r="AG196" s="1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51</v>
      </c>
      <c r="AI196" s="1">
        <f>VLOOKUP(A196,'SegEnds_NonXtal_Prot#'!A:AL,31,FALSE)-VLOOKUP(A196,'SegEnds_NonXtal_Prot#'!A:AL,28,FALSE)</f>
        <v>55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317</v>
      </c>
      <c r="B197" s="1" t="str">
        <f>VLOOKUP(A197,Xtal_Templ!A:B,2,FALSE)</f>
        <v>ednrb_human</v>
      </c>
      <c r="C197" s="5">
        <f>VLOOKUP($B197&amp;"__wt",'SegEnds_Xtal_BW#'!$A:$Z,3,FALSE)</f>
        <v>22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52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28</v>
      </c>
      <c r="T197" s="1">
        <f t="array" ref="T197">INDEX(ICL3_classA!$G$2:$G$37,MATCH(MIN(ABS(AI197-ICL3_classA!$F$2:$F$37)),ABS(AI197-ICL3_classA!$F$2:$F$37),0))</f>
        <v>73</v>
      </c>
      <c r="U197" s="1">
        <f t="array" ref="U197">INDEX(ICL3_classA!$H$2:$H$37,MATCH(MIN(ABS(AI197-ICL3_classA!$F$2:$F$37)),ABS(AI197-ICL3_classA!$F$2:$F$37),0))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60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26</v>
      </c>
      <c r="AH197" s="1">
        <f>VLOOKUP(A197,'SegEnds_NonXtal_Prot#'!A:AL,28,FALSE)-VLOOKUP(A197,'SegEnds_NonXtal_Prot#'!A:AL,22,FALSE)</f>
        <v>56</v>
      </c>
      <c r="AI197" s="1">
        <f>VLOOKUP(A197,'SegEnds_NonXtal_Prot#'!A:AL,31,FALSE)-VLOOKUP(A197,'SegEnds_NonXtal_Prot#'!A:AL,28,FALSE)</f>
        <v>57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4" t="s">
        <v>318</v>
      </c>
      <c r="B198" s="4" t="str">
        <f>VLOOKUP(A198,Xtal_Templ!A:B,2,FALSE)</f>
        <v>ntr1_rat</v>
      </c>
      <c r="C198" s="5">
        <f>VLOOKUP($B198&amp;"__wt",'SegEnds_Xtal_BW#'!$A:$Z,3,FALSE)</f>
        <v>29</v>
      </c>
      <c r="D198" s="4">
        <f>VLOOKUP($B198&amp;"__wt",'SegEnds_Xtal_BW#'!$A:$Z,4,FALSE)</f>
        <v>60</v>
      </c>
      <c r="E198" s="4">
        <f>VLOOKUP($B198&amp;"__wt",'SegEnds_Xtal_BW#'!$A:$Z,5,FALSE)</f>
        <v>48</v>
      </c>
      <c r="F198" s="4">
        <f>VLOOKUP($B198&amp;"__wt",'SegEnds_Xtal_BW#'!$A:$Z,6,FALSE)</f>
        <v>51</v>
      </c>
      <c r="G198" s="4">
        <v>37</v>
      </c>
      <c r="H198" s="11">
        <v>66</v>
      </c>
      <c r="I198" s="4">
        <f>VLOOKUP($B198&amp;"__wt",'SegEnds_Xtal_BW#'!$A:$Z,9,FALSE)</f>
        <v>49</v>
      </c>
      <c r="J198" s="4">
        <f>VLOOKUP($B198&amp;"__wt",'SegEnds_Xtal_BW#'!$A:$Z,10,FALSE)</f>
        <v>52</v>
      </c>
      <c r="K198" s="11">
        <v>18</v>
      </c>
      <c r="L198" s="4">
        <f>VLOOKUP($B198&amp;"__wt",'SegEnds_Xtal_BW#'!$A:$Z,12,FALSE)</f>
        <v>56</v>
      </c>
      <c r="M198" s="4">
        <f>VLOOKUP($B198&amp;"__wt",'SegEnds_Xtal_BW#'!$A:$Z,13,FALSE)</f>
        <v>50</v>
      </c>
      <c r="N198" s="11">
        <v>57</v>
      </c>
      <c r="O198" s="87">
        <f>VLOOKUP($B198&amp;"__wt",'SegEnds_Xtal_BW#'!$A:$Z,15,FALSE)</f>
        <v>38</v>
      </c>
      <c r="P198" s="4">
        <f>VLOOKUP($B198&amp;"__wt",'SegEnds_Xtal_BW#'!$A:$Z,16,FALSE)</f>
        <v>64</v>
      </c>
      <c r="Q198" s="4">
        <f>VLOOKUP($B198&amp;"__wt",'SegEnds_Xtal_BW#'!$A:$Z,17,FALSE)</f>
        <v>50</v>
      </c>
      <c r="R198" s="4">
        <f>VLOOKUP($B198&amp;"__wt",'SegEnds_Xtal_BW#'!$A:$Z,18,FALSE)</f>
        <v>52</v>
      </c>
      <c r="S198" s="4">
        <f>VLOOKUP($B198&amp;"__wt",'SegEnds_Xtal_BW#'!$A:$Z,19,FALSE)</f>
        <v>32</v>
      </c>
      <c r="T198" s="4">
        <f t="array" ref="T198">INDEX(ICL3_classA!$G$2:$G$37,MATCH(MIN(ABS(AI198-ICL3_classA!$F$2:$F$37)),ABS(AI198-ICL3_classA!$F$2:$F$37),0))</f>
        <v>76</v>
      </c>
      <c r="U198" s="4">
        <f t="array" ref="U198">INDEX(ICL3_classA!$H$2:$H$37,MATCH(MIN(ABS(AI198-ICL3_classA!$F$2:$F$37)),ABS(AI198-ICL3_classA!$F$2:$F$37),0))</f>
        <v>24</v>
      </c>
      <c r="V198" s="4">
        <v>61</v>
      </c>
      <c r="W198" s="4">
        <v>28</v>
      </c>
      <c r="X198" s="4">
        <f>VLOOKUP($B198&amp;"__wt",'SegEnds_Xtal_BW#'!$A:$Z,24,FALSE)</f>
        <v>56</v>
      </c>
      <c r="Y198" s="4">
        <f>VLOOKUP($B198&amp;"__wt",'SegEnds_Xtal_BW#'!$A:$Z,25,FALSE)</f>
        <v>47</v>
      </c>
      <c r="Z198" s="4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4">
        <f>VLOOKUP(A198,'SegEnds_NonXtal_Prot#'!A:AL,10,FALSE)-VLOOKUP(A198,'SegEnds_NonXtal_Prot#'!A:AL,7,FALSE)</f>
        <v>15</v>
      </c>
      <c r="AD198" s="4">
        <f>VLOOKUP(A198,'SegEnds_NonXtal_Prot#'!A:AL,13,FALSE)-VLOOKUP(A198,'SegEnds_NonXtal_Prot#'!A:AL,10,FALSE)</f>
        <v>19</v>
      </c>
      <c r="AE198" s="4">
        <f>VLOOKUP(A198,'SegEnds_NonXtal_Prot#'!A:AL,16,FALSE)-VLOOKUP(A198,'SegEnds_NonXtal_Prot#'!A:AL,10,FALSE)</f>
        <v>53</v>
      </c>
      <c r="AF198" s="1">
        <f>VLOOKUP(A198,'SegEnds_NonXtal_Prot#'!A:AL,22,FALSE)-VLOOKUP(A198,'SegEnds_NonXtal_Prot#'!A:AL,19,FALSE)</f>
        <v>20</v>
      </c>
      <c r="AG198" s="4">
        <f>VLOOKUP(A198,'SegEnds_NonXtal_Prot#'!A:AL,28,FALSE)-VLOOKUP(A198,'SegEnds_NonXtal_Prot#'!A:AL,25,FALSE)</f>
        <v>24</v>
      </c>
      <c r="AH198" s="1">
        <f>VLOOKUP(A198,'SegEnds_NonXtal_Prot#'!A:AL,28,FALSE)-VLOOKUP(A198,'SegEnds_NonXtal_Prot#'!A:AL,22,FALSE)</f>
        <v>57</v>
      </c>
      <c r="AI198" s="4">
        <f>VLOOKUP(A198,'SegEnds_NonXtal_Prot#'!A:AL,31,FALSE)-VLOOKUP(A198,'SegEnds_NonXtal_Prot#'!A:AL,28,FALSE)</f>
        <v>69</v>
      </c>
      <c r="AJ198" s="4">
        <f>VLOOKUP(A198,'SegEnds_NonXtal_Prot#'!A:AL,34,FALSE)-VLOOKUP(A198,'SegEnds_NonXtal_Prot#'!A:AL,31,FALSE)</f>
        <v>41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319</v>
      </c>
      <c r="B199" s="1" t="str">
        <f>VLOOKUP(A199,Xtal_Templ!A:B,2,FALSE)</f>
        <v>ntr1_rat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32</v>
      </c>
      <c r="T199" s="1">
        <f t="array" ref="T199">INDEX(ICL3_classA!$G$2:$G$37,MATCH(MIN(ABS(AI199-ICL3_classA!$F$2:$F$37)),ABS(AI199-ICL3_classA!$F$2:$F$37),0))</f>
        <v>73</v>
      </c>
      <c r="U199" s="1">
        <f t="array" ref="U199">INDEX(ICL3_classA!$H$2:$H$37,MATCH(MIN(ABS(AI199-ICL3_classA!$F$2:$F$37)),ABS(AI199-ICL3_classA!$F$2:$F$37),0))</f>
        <v>22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19</v>
      </c>
      <c r="AE199" s="1">
        <f>VLOOKUP(A199,'SegEnds_NonXtal_Prot#'!A:AL,16,FALSE)-VLOOKUP(A199,'SegEnds_NonXtal_Prot#'!A:AL,10,FALSE)</f>
        <v>53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24</v>
      </c>
      <c r="AH199" s="1">
        <f>VLOOKUP(A199,'SegEnds_NonXtal_Prot#'!A:AL,28,FALSE)-VLOOKUP(A199,'SegEnds_NonXtal_Prot#'!A:AL,22,FALSE)</f>
        <v>57</v>
      </c>
      <c r="AI199" s="1">
        <f>VLOOKUP(A199,'SegEnds_NonXtal_Prot#'!A:AL,31,FALSE)-VLOOKUP(A199,'SegEnds_NonXtal_Prot#'!A:AL,28,FALSE)</f>
        <v>55</v>
      </c>
      <c r="AJ199" s="1">
        <f>VLOOKUP(A199,'SegEnds_NonXtal_Prot#'!A:AL,34,FALSE)-VLOOKUP(A199,'SegEnds_NonXtal_Prot#'!A:AL,31,FALSE)</f>
        <v>41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320</v>
      </c>
      <c r="B200" s="1" t="str">
        <f>VLOOKUP(A200,Xtal_Templ!A:B,2,FALSE)</f>
        <v>oprk_human</v>
      </c>
      <c r="C200" s="5">
        <f>VLOOKUP($B200&amp;"__wt",'SegEnds_Xtal_BW#'!$A:$Z,3,FALSE)</f>
        <v>30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30</v>
      </c>
      <c r="T200" s="1">
        <f t="array" ref="T200">INDEX(ICL3_classA!$G$2:$G$37,MATCH(MIN(ABS(AI200-ICL3_classA!$F$2:$F$37)),ABS(AI200-ICL3_classA!$F$2:$F$37),0))</f>
        <v>68</v>
      </c>
      <c r="U200" s="1">
        <f t="array" ref="U200">INDEX(ICL3_classA!$H$2:$H$37,MATCH(MIN(ABS(AI200-ICL3_classA!$F$2:$F$37)),ABS(AI200-ICL3_classA!$F$2:$F$37),0))</f>
        <v>23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19</v>
      </c>
      <c r="AE200" s="1">
        <f>VLOOKUP(A200,'SegEnds_NonXtal_Prot#'!A:AL,16,FALSE)-VLOOKUP(A200,'SegEnds_NonXtal_Prot#'!A:AL,10,FALSE)</f>
        <v>51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52</v>
      </c>
      <c r="AI200" s="1">
        <f>VLOOKUP(A200,'SegEnds_NonXtal_Prot#'!A:AL,31,FALSE)-VLOOKUP(A200,'SegEnds_NonXtal_Prot#'!A:AL,28,FALSE)</f>
        <v>51</v>
      </c>
      <c r="AJ200" s="1">
        <f>VLOOKUP(A200,'SegEnds_NonXtal_Prot#'!A:AL,34,FALSE)-VLOOKUP(A200,'SegEnds_NonXtal_Prot#'!A:AL,31,FALSE)</f>
        <v>38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321</v>
      </c>
      <c r="B201" s="1" t="str">
        <f>VLOOKUP(A201,Xtal_Templ!A:B,2,FALSE)</f>
        <v>oprd_human</v>
      </c>
      <c r="C201" s="5">
        <f>VLOOKUP($B201&amp;"__wt",'SegEnds_Xtal_BW#'!$A:$Z,3,FALSE)</f>
        <v>22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21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7"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INDEX(ICL3_classA!$G$2:$G$37,MATCH(MIN(ABS(AI201-ICL3_classA!$F$2:$F$37)),ABS(AI201-ICL3_classA!$F$2:$F$37),0))</f>
        <v>68</v>
      </c>
      <c r="U201" s="1">
        <f t="array" ref="U201">INDEX(ICL3_classA!$H$2:$H$37,MATCH(MIN(ABS(AI201-ICL3_classA!$F$2:$F$37)),ABS(AI201-ICL3_classA!$F$2:$F$37),0))</f>
        <v>23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60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19</v>
      </c>
      <c r="AE201" s="1">
        <f>VLOOKUP(A201,'SegEnds_NonXtal_Prot#'!A:AL,16,FALSE)-VLOOKUP(A201,'SegEnds_NonXtal_Prot#'!A:AL,10,FALSE)</f>
        <v>51</v>
      </c>
      <c r="AF201" s="1" t="e">
        <f>VLOOKUP(A201,'SegEnds_NonXtal_Prot#'!A:AL,22,FALSE)-VLOOKUP(A201,'SegEnds_NonXtal_Prot#'!A:AL,19,FALSE)</f>
        <v>#VALUE!</v>
      </c>
      <c r="AG201" s="1">
        <f>VLOOKUP(A201,'SegEnds_NonXtal_Prot#'!A:AL,28,FALSE)-VLOOKUP(A201,'SegEnds_NonXtal_Prot#'!A:AL,25,FALSE)</f>
        <v>27</v>
      </c>
      <c r="AH201" s="1">
        <f>VLOOKUP(A201,'SegEnds_NonXtal_Prot#'!A:AL,28,FALSE)-VLOOKUP(A201,'SegEnds_NonXtal_Prot#'!A:AL,22,FALSE)</f>
        <v>53</v>
      </c>
      <c r="AI201" s="1">
        <f>VLOOKUP(A201,'SegEnds_NonXtal_Prot#'!A:AL,31,FALSE)-VLOOKUP(A201,'SegEnds_NonXtal_Prot#'!A:AL,28,FALSE)</f>
        <v>51</v>
      </c>
      <c r="AJ201" s="1">
        <f>VLOOKUP(A201,'SegEnds_NonXtal_Prot#'!A:AL,34,FALSE)-VLOOKUP(A201,'SegEnds_NonXtal_Prot#'!A:AL,31,FALSE)</f>
        <v>38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322</v>
      </c>
      <c r="B202" s="1" t="str">
        <f>VLOOKUP(A202,Xtal_Templ!A:B,2,FALSE)</f>
        <v>ox1r_human</v>
      </c>
      <c r="C202" s="5">
        <f>VLOOKUP($B202&amp;"__wt",'SegEnds_Xtal_BW#'!$A:$Z,3,FALSE)</f>
        <v>32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56</v>
      </c>
      <c r="O202" s="87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32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58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1">
        <f>VLOOKUP(A202,'SegEnds_NonXtal_Prot#'!A:AL,28,FALSE)-VLOOKUP(A202,'SegEnds_NonXtal_Prot#'!A:AL,25,FALSE)</f>
        <v>25</v>
      </c>
      <c r="AH202" s="1">
        <f>VLOOKUP(A202,'SegEnds_NonXtal_Prot#'!A:AL,28,FALSE)-VLOOKUP(A202,'SegEnds_NonXtal_Prot#'!A:AL,22,FALSE)</f>
        <v>62</v>
      </c>
      <c r="AI202" s="1">
        <f>VLOOKUP(A202,'SegEnds_NonXtal_Prot#'!A:AL,31,FALSE)-VLOOKUP(A202,'SegEnds_NonXtal_Prot#'!A:AL,28,FALSE)</f>
        <v>57</v>
      </c>
      <c r="AJ202" s="1">
        <f>VLOOKUP(A202,'SegEnds_NonXtal_Prot#'!A:AL,34,FALSE)-VLOOKUP(A202,'SegEnds_NonXtal_Prot#'!A:AL,31,FALSE)</f>
        <v>41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323</v>
      </c>
      <c r="B203" s="1" t="str">
        <f>VLOOKUP(A203,Xtal_Templ!A:B,2,FALSE)</f>
        <v>ox1r_human</v>
      </c>
      <c r="C203" s="5">
        <f>VLOOKUP($B203&amp;"__wt",'SegEnds_Xtal_BW#'!$A:$Z,3,FALSE)</f>
        <v>32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56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32</v>
      </c>
      <c r="T203" s="1">
        <f t="array" ref="T203">INDEX(ICL3_classA!$G$2:$G$37,MATCH(MIN(ABS(AI203-ICL3_classA!$F$2:$F$37)),ABS(AI203-ICL3_classA!$F$2:$F$37),0))</f>
        <v>73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"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58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 t="e">
        <f>VLOOKUP(A203,'SegEnds_NonXtal_Prot#'!A:AL,22,FALSE)-VLOOKUP(A203,'SegEnds_NonXtal_Prot#'!A:AL,19,FALSE)</f>
        <v>#VALUE!</v>
      </c>
      <c r="AG203" s="1">
        <f>VLOOKUP(A203,'SegEnds_NonXtal_Prot#'!A:AL,28,FALSE)-VLOOKUP(A203,'SegEnds_NonXtal_Prot#'!A:AL,25,FALSE)</f>
        <v>25</v>
      </c>
      <c r="AH203" s="1">
        <f>VLOOKUP(A203,'SegEnds_NonXtal_Prot#'!A:AL,28,FALSE)-VLOOKUP(A203,'SegEnds_NonXtal_Prot#'!A:AL,22,FALSE)</f>
        <v>63</v>
      </c>
      <c r="AI203" s="1">
        <f>VLOOKUP(A203,'SegEnds_NonXtal_Prot#'!A:AL,31,FALSE)-VLOOKUP(A203,'SegEnds_NonXtal_Prot#'!A:AL,28,FALSE)</f>
        <v>58</v>
      </c>
      <c r="AJ203" s="1">
        <f>VLOOKUP(A203,'SegEnds_NonXtal_Prot#'!A:AL,34,FALSE)-VLOOKUP(A203,'SegEnds_NonXtal_Prot#'!A:AL,31,FALSE)</f>
        <v>41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324</v>
      </c>
      <c r="B204" s="1" t="str">
        <f>VLOOKUP(A204,Xtal_Templ!A:B,2,FALSE)</f>
        <v>5ht2c_human</v>
      </c>
      <c r="C204" s="5">
        <f>VLOOKUP($B204&amp;"__wt",'SegEnds_Xtal_BW#'!$A:$Z,3,FALSE)</f>
        <v>33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53</v>
      </c>
      <c r="O204" s="87">
        <v>38</v>
      </c>
      <c r="P204" s="1">
        <f>VLOOKUP($B204&amp;"__wt",'SegEnds_Xtal_BW#'!$A:$Z,16,FALSE)</f>
        <v>67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35</v>
      </c>
      <c r="T204" s="1">
        <f t="array" ref="T204">INDEX(ICL3_classA!$G$2:$G$37,MATCH(MIN(ABS(AI204-ICL3_classA!$F$2:$F$37)),ABS(AI204-ICL3_classA!$F$2:$F$37),0))</f>
        <v>76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60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27</v>
      </c>
      <c r="AC204" s="1" t="e">
        <f>VLOOKUP(A204,'SegEnds_NonXtal_Prot#'!A:AL,10,FALSE)-VLOOKUP(A204,'SegEnds_NonXtal_Prot#'!A:AL,7,FALSE)</f>
        <v>#VALUE!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18</v>
      </c>
      <c r="AG204" s="1">
        <f>VLOOKUP(A204,'SegEnds_NonXtal_Prot#'!A:AL,28,FALSE)-VLOOKUP(A204,'SegEnds_NonXtal_Prot#'!A:AL,25,FALSE)</f>
        <v>25</v>
      </c>
      <c r="AH204" s="1">
        <f>VLOOKUP(A204,'SegEnds_NonXtal_Prot#'!A:AL,28,FALSE)-VLOOKUP(A204,'SegEnds_NonXtal_Prot#'!A:AL,22,FALSE)</f>
        <v>51</v>
      </c>
      <c r="AI204" s="1">
        <f>VLOOKUP(A204,'SegEnds_NonXtal_Prot#'!A:AL,31,FALSE)-VLOOKUP(A204,'SegEnds_NonXtal_Prot#'!A:AL,28,FALSE)</f>
        <v>67</v>
      </c>
      <c r="AJ204" s="1">
        <f>VLOOKUP(A204,'SegEnds_NonXtal_Prot#'!A:AL,34,FALSE)-VLOOKUP(A204,'SegEnds_NonXtal_Prot#'!A:AL,31,FALSE)</f>
        <v>38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325</v>
      </c>
      <c r="B205" s="1" t="str">
        <f>VLOOKUP(A205,Xtal_Templ!A:B,2,FALSE)</f>
        <v>npy1r_human</v>
      </c>
      <c r="C205" s="5">
        <f>VLOOKUP($B205&amp;"__wt",'SegEnds_Xtal_BW#'!$A:$Z,3,FALSE)</f>
        <v>28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68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 t="str">
        <f>VLOOKUP($B205&amp;"__wt",'SegEnds_Xtal_BW#'!$A:$Z,13,FALSE)</f>
        <v>-</v>
      </c>
      <c r="N205" s="108" t="s">
        <v>23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31</v>
      </c>
      <c r="T205" s="1">
        <f t="array" ref="T205">INDEX(ICL3_classA!$G$2:$G$37,MATCH(MIN(ABS(AI205-ICL3_classA!$F$2:$F$37)),ABS(AI205-ICL3_classA!$F$2:$F$37),0))</f>
        <v>73</v>
      </c>
      <c r="U205" s="1">
        <f t="array" ref="U205">INDEX(ICL3_classA!$H$2:$H$37,MATCH(MIN(ABS(AI205-ICL3_classA!$F$2:$F$37)),ABS(AI205-ICL3_classA!$F$2:$F$37),0))</f>
        <v>22</v>
      </c>
      <c r="V205" s="1">
        <v>61</v>
      </c>
      <c r="W205" s="1">
        <v>28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 t="e">
        <f>VLOOKUP(A205,'SegEnds_NonXtal_Prot#'!A:AL,22,FALSE)-VLOOKUP(A205,'SegEnds_NonXtal_Prot#'!A:AL,19,FALSE)</f>
        <v>#VALUE!</v>
      </c>
      <c r="AG205" s="1">
        <f>VLOOKUP(A205,'SegEnds_NonXtal_Prot#'!A:AL,28,FALSE)-VLOOKUP(A205,'SegEnds_NonXtal_Prot#'!A:AL,25,FALSE)</f>
        <v>25</v>
      </c>
      <c r="AH205" s="1">
        <f>VLOOKUP(A205,'SegEnds_NonXtal_Prot#'!A:AL,28,FALSE)-VLOOKUP(A205,'SegEnds_NonXtal_Prot#'!A:AL,22,FALSE)</f>
        <v>60</v>
      </c>
      <c r="AI205" s="1">
        <f>VLOOKUP(A205,'SegEnds_NonXtal_Prot#'!A:AL,31,FALSE)-VLOOKUP(A205,'SegEnds_NonXtal_Prot#'!A:AL,28,FALSE)</f>
        <v>55</v>
      </c>
      <c r="AJ205" s="1">
        <f>VLOOKUP(A205,'SegEnds_NonXtal_Prot#'!A:AL,34,FALSE)-VLOOKUP(A205,'SegEnds_NonXtal_Prot#'!A:AL,31,FALSE)</f>
        <v>39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Xtal</v>
      </c>
    </row>
    <row r="206" spans="1:38" x14ac:dyDescent="0.2">
      <c r="A206" s="1" t="s">
        <v>326</v>
      </c>
      <c r="B206" s="1" t="str">
        <f>VLOOKUP(A206,Xtal_Templ!A:B,2,FALSE)</f>
        <v>ox2r_human</v>
      </c>
      <c r="C206" s="5">
        <f>VLOOKUP($B206&amp;"__wt",'SegEnds_Xtal_BW#'!$A:$Z,3,FALSE)</f>
        <v>31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68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56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33</v>
      </c>
      <c r="T206" s="1">
        <f t="array" ref="T206">INDEX(ICL3_classA!$G$2:$G$37,MATCH(MIN(ABS(AI206-ICL3_classA!$F$2:$F$37)),ABS(AI206-ICL3_classA!$F$2:$F$37),0))</f>
        <v>72</v>
      </c>
      <c r="U206" s="1">
        <f t="array" ref="U206">INDEX(ICL3_classA!$H$2:$H$37,MATCH(MIN(ABS(AI206-ICL3_classA!$F$2:$F$37)),ABS(AI206-ICL3_classA!$F$2:$F$37),0))</f>
        <v>24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 t="e">
        <f>VLOOKUP(A206,'SegEnds_NonXtal_Prot#'!A:AL,22,FALSE)-VLOOKUP(A206,'SegEnds_NonXtal_Prot#'!A:AL,19,FALSE)</f>
        <v>#VALUE!</v>
      </c>
      <c r="AG206" s="1">
        <f>VLOOKUP(A206,'SegEnds_NonXtal_Prot#'!A:AL,28,FALSE)-VLOOKUP(A206,'SegEnds_NonXtal_Prot#'!A:AL,25,FALSE)</f>
        <v>28</v>
      </c>
      <c r="AH206" s="1">
        <f>VLOOKUP(A206,'SegEnds_NonXtal_Prot#'!A:AL,28,FALSE)-VLOOKUP(A206,'SegEnds_NonXtal_Prot#'!A:AL,22,FALSE)</f>
        <v>58</v>
      </c>
      <c r="AI206" s="1">
        <f>VLOOKUP(A206,'SegEnds_NonXtal_Prot#'!A:AL,31,FALSE)-VLOOKUP(A206,'SegEnds_NonXtal_Prot#'!A:AL,28,FALSE)</f>
        <v>52</v>
      </c>
      <c r="AJ206" s="1">
        <f>VLOOKUP(A206,'SegEnds_NonXtal_Prot#'!A:AL,34,FALSE)-VLOOKUP(A206,'SegEnds_NonXtal_Prot#'!A:AL,31,FALSE)</f>
        <v>39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327</v>
      </c>
      <c r="B207" s="1" t="str">
        <f>VLOOKUP(A207,Xtal_Templ!A:B,2,FALSE)</f>
        <v>npy1r_human</v>
      </c>
      <c r="C207" s="5">
        <f>VLOOKUP($B207&amp;"__wt",'SegEnds_Xtal_BW#'!$A:$Z,3,FALSE)</f>
        <v>28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 t="str">
        <f>VLOOKUP($B207&amp;"__wt",'SegEnds_Xtal_BW#'!$A:$Z,13,FALSE)</f>
        <v>-</v>
      </c>
      <c r="N207" s="108" t="s">
        <v>23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31</v>
      </c>
      <c r="T207" s="1">
        <f t="array" ref="T207">INDEX(ICL3_classA!$G$2:$G$37,MATCH(MIN(ABS(AI207-ICL3_classA!$F$2:$F$37)),ABS(AI207-ICL3_classA!$F$2:$F$37),0))</f>
        <v>72</v>
      </c>
      <c r="U207" s="1">
        <f t="array" ref="U207">INDEX(ICL3_classA!$H$2:$H$37,MATCH(MIN(ABS(AI207-ICL3_classA!$F$2:$F$37)),ABS(AI207-ICL3_classA!$F$2:$F$37),0))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 t="e">
        <f>VLOOKUP(A207,'SegEnds_NonXtal_Prot#'!A:AL,22,FALSE)-VLOOKUP(A207,'SegEnds_NonXtal_Prot#'!A:AL,19,FALSE)</f>
        <v>#VALUE!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62</v>
      </c>
      <c r="AI207" s="1">
        <f>VLOOKUP(A207,'SegEnds_NonXtal_Prot#'!A:AL,31,FALSE)-VLOOKUP(A207,'SegEnds_NonXtal_Prot#'!A:AL,28,FALSE)</f>
        <v>54</v>
      </c>
      <c r="AJ207" s="1">
        <f>VLOOKUP(A207,'SegEnds_NonXtal_Prot#'!A:AL,34,FALSE)-VLOOKUP(A207,'SegEnds_NonXtal_Prot#'!A:AL,31,FALSE)</f>
        <v>39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328</v>
      </c>
      <c r="B208" s="1" t="str">
        <f>VLOOKUP(A208,Xtal_Templ!A:B,2,FALSE)</f>
        <v>npy1r_human</v>
      </c>
      <c r="C208" s="5">
        <f>VLOOKUP($B208&amp;"__wt",'SegEnds_Xtal_BW#'!$A:$Z,3,FALSE)</f>
        <v>28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 t="str">
        <f>VLOOKUP($B208&amp;"__wt",'SegEnds_Xtal_BW#'!$A:$Z,13,FALSE)</f>
        <v>-</v>
      </c>
      <c r="N208" s="108" t="s">
        <v>23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31</v>
      </c>
      <c r="T208" s="1">
        <f t="array" ref="T208">INDEX(ICL3_classA!$G$2:$G$37,MATCH(MIN(ABS(AI208-ICL3_classA!$F$2:$F$37)),ABS(AI208-ICL3_classA!$F$2:$F$37),0))</f>
        <v>76</v>
      </c>
      <c r="U208" s="1">
        <f t="array" ref="U208">INDEX(ICL3_classA!$H$2:$H$37,MATCH(MIN(ABS(AI208-ICL3_classA!$F$2:$F$37)),ABS(AI208-ICL3_classA!$F$2:$F$37),0))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59</v>
      </c>
      <c r="AI208" s="1">
        <f>VLOOKUP(A208,'SegEnds_NonXtal_Prot#'!A:AL,31,FALSE)-VLOOKUP(A208,'SegEnds_NonXtal_Prot#'!A:AL,28,FALSE)</f>
        <v>160</v>
      </c>
      <c r="AJ208" s="1">
        <f>VLOOKUP(A208,'SegEnds_NonXtal_Prot#'!A:AL,34,FALSE)-VLOOKUP(A208,'SegEnds_NonXtal_Prot#'!A:AL,31,FALSE)</f>
        <v>39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127</v>
      </c>
      <c r="B209" s="1" t="str">
        <f>VLOOKUP(A209,Xtal_Templ!A:B,2,FALSE)</f>
        <v>ntr1_rat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INDEX(ICL3_classA!$G$2:$G$37,MATCH(MIN(ABS(AI209-ICL3_classA!$F$2:$F$37)),ABS(AI209-ICL3_classA!$F$2:$F$37),0))</f>
        <v>76</v>
      </c>
      <c r="U209" s="1">
        <f t="array" ref="U209">INDEX(ICL3_classA!$H$2:$H$37,MATCH(MIN(ABS(AI209-ICL3_classA!$F$2:$F$37)),ABS(AI209-ICL3_classA!$F$2:$F$37),0))</f>
        <v>24</v>
      </c>
      <c r="V209" s="1">
        <v>61</v>
      </c>
      <c r="W209" s="1">
        <v>24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31</v>
      </c>
      <c r="AC209" s="1">
        <f>VLOOKUP(A209,'SegEnds_NonXtal_Prot#'!A:AL,10,FALSE)-VLOOKUP(A209,'SegEnds_NonXtal_Prot#'!A:AL,7,FALSE)</f>
        <v>18</v>
      </c>
      <c r="AD209" s="1">
        <f>VLOOKUP(A209,'SegEnds_NonXtal_Prot#'!A:AL,13,FALSE)-VLOOKUP(A209,'SegEnds_NonXtal_Prot#'!A:AL,10,FALSE)</f>
        <v>22</v>
      </c>
      <c r="AE209" s="1">
        <f>VLOOKUP(A209,'SegEnds_NonXtal_Prot#'!A:AL,16,FALSE)-VLOOKUP(A209,'SegEnds_NonXtal_Prot#'!A:AL,10,FALSE)</f>
        <v>54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24</v>
      </c>
      <c r="AH209" s="1">
        <f>VLOOKUP(A209,'SegEnds_NonXtal_Prot#'!A:AL,28,FALSE)-VLOOKUP(A209,'SegEnds_NonXtal_Prot#'!A:AL,22,FALSE)</f>
        <v>55</v>
      </c>
      <c r="AI209" s="1">
        <f>VLOOKUP(A209,'SegEnds_NonXtal_Prot#'!A:AL,31,FALSE)-VLOOKUP(A209,'SegEnds_NonXtal_Prot#'!A:AL,28,FALSE)</f>
        <v>70</v>
      </c>
      <c r="AJ209" s="1">
        <f>VLOOKUP(A209,'SegEnds_NonXtal_Prot#'!A:AL,34,FALSE)-VLOOKUP(A209,'SegEnds_NonXtal_Prot#'!A:AL,31,FALSE)</f>
        <v>43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914</v>
      </c>
      <c r="B210" s="1" t="str">
        <f>VLOOKUP(A210,Xtal_Templ!A:B,2,FALSE)</f>
        <v>ntr1_rat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INDEX(ICL3_classA!$G$2:$G$37,MATCH(MIN(ABS(AI210-ICL3_classA!$F$2:$F$37)),ABS(AI210-ICL3_classA!$F$2:$F$37),0))</f>
        <v>76</v>
      </c>
      <c r="U210" s="1">
        <f t="array" ref="U210">INDEX(ICL3_classA!$H$2:$H$37,MATCH(MIN(ABS(AI210-ICL3_classA!$F$2:$F$37)),ABS(AI210-ICL3_classA!$F$2:$F$37),0))</f>
        <v>24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58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31</v>
      </c>
      <c r="AC210" s="1">
        <f>VLOOKUP(A210,'SegEnds_NonXtal_Prot#'!A:AL,10,FALSE)-VLOOKUP(A210,'SegEnds_NonXtal_Prot#'!A:AL,7,FALSE)</f>
        <v>18</v>
      </c>
      <c r="AD210" s="1">
        <f>VLOOKUP(A210,'SegEnds_NonXtal_Prot#'!A:AL,13,FALSE)-VLOOKUP(A210,'SegEnds_NonXtal_Prot#'!A:AL,10,FALSE)</f>
        <v>22</v>
      </c>
      <c r="AE210" s="1">
        <f>VLOOKUP(A210,'SegEnds_NonXtal_Prot#'!A:AL,16,FALSE)-VLOOKUP(A210,'SegEnds_NonXtal_Prot#'!A:AL,10,FALSE)</f>
        <v>54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24</v>
      </c>
      <c r="AH210" s="1">
        <f>VLOOKUP(A210,'SegEnds_NonXtal_Prot#'!A:AL,28,FALSE)-VLOOKUP(A210,'SegEnds_NonXtal_Prot#'!A:AL,22,FALSE)</f>
        <v>55</v>
      </c>
      <c r="AI210" s="1">
        <f>VLOOKUP(A210,'SegEnds_NonXtal_Prot#'!A:AL,31,FALSE)-VLOOKUP(A210,'SegEnds_NonXtal_Prot#'!A:AL,28,FALSE)</f>
        <v>74</v>
      </c>
      <c r="AJ210" s="1">
        <f>VLOOKUP(A210,'SegEnds_NonXtal_Prot#'!A:AL,34,FALSE)-VLOOKUP(A210,'SegEnds_NonXtal_Prot#'!A:AL,31,FALSE)</f>
        <v>43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Xtal</v>
      </c>
    </row>
    <row r="211" spans="1:38" x14ac:dyDescent="0.2">
      <c r="A211" s="1" t="s">
        <v>330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68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INDEX(ICL3_classA!$G$2:$G$37,MATCH(MIN(ABS(AI211-ICL3_classA!$F$2:$F$37)),ABS(AI211-ICL3_classA!$F$2:$F$37),0))</f>
        <v>74</v>
      </c>
      <c r="U211" s="1">
        <f t="array" ref="U211">INDEX(ICL3_classA!$H$2:$H$37,MATCH(MIN(ABS(AI211-ICL3_classA!$F$2:$F$37)),ABS(AI211-ICL3_classA!$F$2:$F$37),0))</f>
        <v>24</v>
      </c>
      <c r="V211" s="1">
        <v>61</v>
      </c>
      <c r="W211" s="1">
        <v>24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29</v>
      </c>
      <c r="AC211" s="1" t="e">
        <f>VLOOKUP(A211,'SegEnds_NonXtal_Prot#'!A:AL,10,FALSE)-VLOOKUP(A211,'SegEnds_NonXtal_Prot#'!A:AL,7,FALSE)</f>
        <v>#VALUE!</v>
      </c>
      <c r="AD211" s="1">
        <f>VLOOKUP(A211,'SegEnds_NonXtal_Prot#'!A:AL,13,FALSE)-VLOOKUP(A211,'SegEnds_NonXtal_Prot#'!A:AL,10,FALSE)</f>
        <v>22</v>
      </c>
      <c r="AE211" s="1">
        <f>VLOOKUP(A211,'SegEnds_NonXtal_Prot#'!A:AL,16,FALSE)-VLOOKUP(A211,'SegEnds_NonXtal_Prot#'!A:AL,10,FALSE)</f>
        <v>54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24</v>
      </c>
      <c r="AH211" s="1">
        <f>VLOOKUP(A211,'SegEnds_NonXtal_Prot#'!A:AL,28,FALSE)-VLOOKUP(A211,'SegEnds_NonXtal_Prot#'!A:AL,22,FALSE)</f>
        <v>58</v>
      </c>
      <c r="AI211" s="1">
        <f>VLOOKUP(A211,'SegEnds_NonXtal_Prot#'!A:AL,31,FALSE)-VLOOKUP(A211,'SegEnds_NonXtal_Prot#'!A:AL,28,FALSE)</f>
        <v>94</v>
      </c>
      <c r="AJ211" s="1">
        <f>VLOOKUP(A211,'SegEnds_NonXtal_Prot#'!A:AL,34,FALSE)-VLOOKUP(A211,'SegEnds_NonXtal_Prot#'!A:AL,31,FALSE)</f>
        <v>43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331</v>
      </c>
      <c r="B212" s="1" t="str">
        <f>VLOOKUP(A212,Xtal_Templ!A:B,2,FALSE)</f>
        <v>agtr2_human</v>
      </c>
      <c r="C212" s="5">
        <f>VLOOKUP($B212&amp;"__wt",'SegEnds_Xtal_BW#'!$A:$Z,3,FALSE)</f>
        <v>33</v>
      </c>
      <c r="D212" s="108">
        <v>60</v>
      </c>
      <c r="E212" s="108">
        <v>48</v>
      </c>
      <c r="F212" s="108"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47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30</v>
      </c>
      <c r="T212" s="1">
        <f t="array" ref="T212">INDEX(ICL3_classA!$G$2:$G$37,MATCH(MIN(ABS(AI212-ICL3_classA!$F$2:$F$37)),ABS(AI212-ICL3_classA!$F$2:$F$37),0))</f>
        <v>67</v>
      </c>
      <c r="U212" s="1">
        <f t="array" ref="U212">INDEX(ICL3_classA!$H$2:$H$37,MATCH(MIN(ABS(AI212-ICL3_classA!$F$2:$F$37)),ABS(AI212-ICL3_classA!$F$2:$F$37),0))</f>
        <v>26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61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51</v>
      </c>
      <c r="AI212" s="1">
        <f>VLOOKUP(A212,'SegEnds_NonXtal_Prot#'!A:AL,31,FALSE)-VLOOKUP(A212,'SegEnds_NonXtal_Prot#'!A:AL,28,FALSE)</f>
        <v>46</v>
      </c>
      <c r="AJ212" s="1">
        <f>VLOOKUP(A212,'SegEnds_NonXtal_Prot#'!A:AL,34,FALSE)-VLOOKUP(A212,'SegEnds_NonXtal_Prot#'!A:AL,31,FALSE)</f>
        <v>40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332</v>
      </c>
      <c r="B213" s="1" t="str">
        <f>VLOOKUP(A213,Xtal_Templ!A:B,2,FALSE)</f>
        <v>opsd_bovin</v>
      </c>
      <c r="C213" s="5">
        <f>VLOOKUP($B213&amp;"__wt",'SegEnds_Xtal_BW#'!$A:$Z,3,FALSE)</f>
        <v>28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56</v>
      </c>
      <c r="O213" s="87">
        <f>VLOOKUP($B213&amp;"__wt",'SegEnds_Xtal_BW#'!$A:$Z,15,FALSE)</f>
        <v>38</v>
      </c>
      <c r="P213" s="1">
        <f>VLOOKUP($B213&amp;"__wt",'SegEnds_Xtal_BW#'!$A:$Z,16,FALSE)</f>
        <v>62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34</v>
      </c>
      <c r="T213" s="1">
        <f t="array" ref="T213">INDEX(ICL3_classA!$G$2:$G$37,MATCH(MIN(ABS(AI213-ICL3_classA!$F$2:$F$37)),ABS(AI213-ICL3_classA!$F$2:$F$37),0))</f>
        <v>73</v>
      </c>
      <c r="U213" s="1">
        <f t="array" ref="U213">INDEX(ICL3_classA!$H$2:$H$37,MATCH(MIN(ABS(AI213-ICL3_classA!$F$2:$F$37)),ABS(AI213-ICL3_classA!$F$2:$F$37),0))</f>
        <v>22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 t="e">
        <f>VLOOKUP(A213,'SegEnds_NonXtal_Prot#'!A:AL,22,FALSE)-VLOOKUP(A213,'SegEnds_NonXtal_Prot#'!A:AL,19,FALSE)</f>
        <v>#VALUE!</v>
      </c>
      <c r="AG213" s="1">
        <f>VLOOKUP(A213,'SegEnds_NonXtal_Prot#'!A:AL,28,FALSE)-VLOOKUP(A213,'SegEnds_NonXtal_Prot#'!A:AL,25,FALSE)</f>
        <v>26</v>
      </c>
      <c r="AH213" s="1">
        <f>VLOOKUP(A213,'SegEnds_NonXtal_Prot#'!A:AL,28,FALSE)-VLOOKUP(A213,'SegEnds_NonXtal_Prot#'!A:AL,22,FALSE)</f>
        <v>52</v>
      </c>
      <c r="AI213" s="1">
        <f>VLOOKUP(A213,'SegEnds_NonXtal_Prot#'!A:AL,31,FALSE)-VLOOKUP(A213,'SegEnds_NonXtal_Prot#'!A:AL,28,FALSE)</f>
        <v>56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333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INDEX(ICL3_classA!$G$2:$G$37,MATCH(MIN(ABS(AI214-ICL3_classA!$F$2:$F$37)),ABS(AI214-ICL3_classA!$F$2:$F$37),0))</f>
        <v>74</v>
      </c>
      <c r="U214" s="1">
        <f t="array" ref="U214">INDEX(ICL3_classA!$H$2:$H$37,MATCH(MIN(ABS(AI214-ICL3_classA!$F$2:$F$37)),ABS(AI214-ICL3_classA!$F$2:$F$37),0))</f>
        <v>21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26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64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334</v>
      </c>
      <c r="B215" s="1" t="str">
        <f>VLOOKUP(A215,Xtal_Templ!A:B,2,FALSE)</f>
        <v>opsd_bovin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08">
        <v>56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34</v>
      </c>
      <c r="T215" s="1">
        <f t="array" ref="T215">INDEX(ICL3_classA!$G$2:$G$37,MATCH(MIN(ABS(AI215-ICL3_classA!$F$2:$F$37)),ABS(AI215-ICL3_classA!$F$2:$F$37),0))</f>
        <v>73</v>
      </c>
      <c r="U215" s="1">
        <f t="array" ref="U215">INDEX(ICL3_classA!$H$2:$H$37,MATCH(MIN(ABS(AI215-ICL3_classA!$F$2:$F$37)),ABS(AI215-ICL3_classA!$F$2:$F$37),0))</f>
        <v>22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14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19</v>
      </c>
      <c r="AG215" s="1">
        <f>VLOOKUP(A215,'SegEnds_NonXtal_Prot#'!A:AL,28,FALSE)-VLOOKUP(A215,'SegEnds_NonXtal_Prot#'!A:AL,25,FALSE)</f>
        <v>28</v>
      </c>
      <c r="AH215" s="1">
        <f>VLOOKUP(A215,'SegEnds_NonXtal_Prot#'!A:AL,28,FALSE)-VLOOKUP(A215,'SegEnds_NonXtal_Prot#'!A:AL,22,FALSE)</f>
        <v>54</v>
      </c>
      <c r="AI215" s="1">
        <f>VLOOKUP(A215,'SegEnds_NonXtal_Prot#'!A:AL,31,FALSE)-VLOOKUP(A215,'SegEnds_NonXtal_Prot#'!A:AL,28,FALSE)</f>
        <v>56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335</v>
      </c>
      <c r="B216" s="1" t="str">
        <f>VLOOKUP(A216,Xtal_Templ!A:B,2,FALSE)</f>
        <v>oprd_human</v>
      </c>
      <c r="C216" s="5">
        <f>VLOOKUP($B216&amp;"__wt",'SegEnds_Xtal_BW#'!$A:$Z,3,FALSE)</f>
        <v>22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f>VLOOKUP($B216&amp;"__wt",'SegEnds_Xtal_BW#'!$A:$Z,11,FALSE)</f>
        <v>21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57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31</v>
      </c>
      <c r="T216" s="1">
        <f t="array" ref="T216">INDEX(ICL3_classA!$G$2:$G$37,MATCH(MIN(ABS(AI216-ICL3_classA!$F$2:$F$37)),ABS(AI216-ICL3_classA!$F$2:$F$37),0))</f>
        <v>68</v>
      </c>
      <c r="U216" s="1">
        <f t="array" ref="U216">INDEX(ICL3_classA!$H$2:$H$37,MATCH(MIN(ABS(AI216-ICL3_classA!$F$2:$F$37)),ABS(AI216-ICL3_classA!$F$2:$F$37),0))</f>
        <v>23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60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19</v>
      </c>
      <c r="AE216" s="1">
        <f>VLOOKUP(A216,'SegEnds_NonXtal_Prot#'!A:AL,16,FALSE)-VLOOKUP(A216,'SegEnds_NonXtal_Prot#'!A:AL,10,FALSE)</f>
        <v>51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27</v>
      </c>
      <c r="AH216" s="1">
        <f>VLOOKUP(A216,'SegEnds_NonXtal_Prot#'!A:AL,28,FALSE)-VLOOKUP(A216,'SegEnds_NonXtal_Prot#'!A:AL,22,FALSE)</f>
        <v>52</v>
      </c>
      <c r="AI216" s="1">
        <f>VLOOKUP(A216,'SegEnds_NonXtal_Prot#'!A:AL,31,FALSE)-VLOOKUP(A216,'SegEnds_NonXtal_Prot#'!A:AL,28,FALSE)</f>
        <v>51</v>
      </c>
      <c r="AJ216" s="1">
        <f>VLOOKUP(A216,'SegEnds_NonXtal_Prot#'!A:AL,34,FALSE)-VLOOKUP(A216,'SegEnds_NonXtal_Prot#'!A:AL,31,FALSE)</f>
        <v>39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Xtal</v>
      </c>
    </row>
    <row r="217" spans="1:38" x14ac:dyDescent="0.2">
      <c r="A217" s="1" t="s">
        <v>916</v>
      </c>
      <c r="B217" s="1" t="str">
        <f>VLOOKUP(A217,Xtal_Templ!A:B,2,FALSE)</f>
        <v>oprd_human</v>
      </c>
      <c r="C217" s="5">
        <f>VLOOKUP($B217&amp;"__wt",'SegEnds_Xtal_BW#'!$A:$Z,3,FALSE)</f>
        <v>22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f>VLOOKUP($B217&amp;"__wt",'SegEnds_Xtal_BW#'!$A:$Z,11,FALSE)</f>
        <v>21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31</v>
      </c>
      <c r="T217" s="1">
        <f t="array" ref="T217">INDEX(ICL3_classA!$G$2:$G$37,MATCH(MIN(ABS(AI217-ICL3_classA!$F$2:$F$37)),ABS(AI217-ICL3_classA!$F$2:$F$37),0))</f>
        <v>68</v>
      </c>
      <c r="U217" s="1">
        <f t="array" ref="U217">INDEX(ICL3_classA!$H$2:$H$37,MATCH(MIN(ABS(AI217-ICL3_classA!$F$2:$F$37)),ABS(AI217-ICL3_classA!$F$2:$F$37),0))</f>
        <v>23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60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19</v>
      </c>
      <c r="AE217" s="1">
        <f>VLOOKUP(A217,'SegEnds_NonXtal_Prot#'!A:AL,16,FALSE)-VLOOKUP(A217,'SegEnds_NonXtal_Prot#'!A:AL,10,FALSE)</f>
        <v>51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27</v>
      </c>
      <c r="AH217" s="1">
        <f>VLOOKUP(A217,'SegEnds_NonXtal_Prot#'!A:AL,28,FALSE)-VLOOKUP(A217,'SegEnds_NonXtal_Prot#'!A:AL,22,FALSE)</f>
        <v>52</v>
      </c>
      <c r="AI217" s="1">
        <f>VLOOKUP(A217,'SegEnds_NonXtal_Prot#'!A:AL,31,FALSE)-VLOOKUP(A217,'SegEnds_NonXtal_Prot#'!A:AL,28,FALSE)</f>
        <v>51</v>
      </c>
      <c r="AJ217" s="1">
        <f>VLOOKUP(A217,'SegEnds_NonXtal_Prot#'!A:AL,34,FALSE)-VLOOKUP(A217,'SegEnds_NonXtal_Prot#'!A:AL,31,FALSE)</f>
        <v>39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336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f>VLOOKUP($B218&amp;"__wt",'SegEnds_Xtal_BW#'!$A:$Z,11,FALSE)</f>
        <v>21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INDEX(ICL3_classA!$G$2:$G$37,MATCH(MIN(ABS(AI218-ICL3_classA!$F$2:$F$37)),ABS(AI218-ICL3_classA!$F$2:$F$37),0))</f>
        <v>68</v>
      </c>
      <c r="U218" s="1">
        <f t="array" ref="U218">INDEX(ICL3_classA!$H$2:$H$37,MATCH(MIN(ABS(AI218-ICL3_classA!$F$2:$F$37)),ABS(AI218-ICL3_classA!$F$2:$F$37),0))</f>
        <v>23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19</v>
      </c>
      <c r="AE218" s="1">
        <f>VLOOKUP(A218,'SegEnds_NonXtal_Prot#'!A:AL,16,FALSE)-VLOOKUP(A218,'SegEnds_NonXtal_Prot#'!A:AL,10,FALSE)</f>
        <v>51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28</v>
      </c>
      <c r="AH218" s="1">
        <f>VLOOKUP(A218,'SegEnds_NonXtal_Prot#'!A:AL,28,FALSE)-VLOOKUP(A218,'SegEnds_NonXtal_Prot#'!A:AL,22,FALSE)</f>
        <v>55</v>
      </c>
      <c r="AI218" s="1">
        <f>VLOOKUP(A218,'SegEnds_NonXtal_Prot#'!A:AL,31,FALSE)-VLOOKUP(A218,'SegEnds_NonXtal_Prot#'!A:AL,28,FALSE)</f>
        <v>51</v>
      </c>
      <c r="AJ218" s="1">
        <f>VLOOKUP(A218,'SegEnds_NonXtal_Prot#'!A:AL,34,FALSE)-VLOOKUP(A218,'SegEnds_NonXtal_Prot#'!A:AL,31,FALSE)</f>
        <v>38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Xtal</v>
      </c>
    </row>
    <row r="219" spans="1:38" x14ac:dyDescent="0.2">
      <c r="A219" s="1" t="s">
        <v>337</v>
      </c>
      <c r="B219" s="1" t="str">
        <f>VLOOKUP(A219,Xtal_Templ!A:B,2,FALSE)</f>
        <v>oprm_mouse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21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31</v>
      </c>
      <c r="T219" s="1">
        <f t="array" ref="T219">INDEX(ICL3_classA!$G$2:$G$37,MATCH(MIN(ABS(AI219-ICL3_classA!$F$2:$F$37)),ABS(AI219-ICL3_classA!$F$2:$F$37),0))</f>
        <v>68</v>
      </c>
      <c r="U219" s="1">
        <f t="array" ref="U219">INDEX(ICL3_classA!$H$2:$H$37,MATCH(MIN(ABS(AI219-ICL3_classA!$F$2:$F$37)),ABS(AI219-ICL3_classA!$F$2:$F$37),0))</f>
        <v>23</v>
      </c>
      <c r="V219" s="1">
        <v>61</v>
      </c>
      <c r="W219" s="1">
        <v>28</v>
      </c>
      <c r="X219" s="128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19</v>
      </c>
      <c r="AE219" s="1">
        <f>VLOOKUP(A219,'SegEnds_NonXtal_Prot#'!A:AL,16,FALSE)-VLOOKUP(A219,'SegEnds_NonXtal_Prot#'!A:AL,10,FALSE)</f>
        <v>51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27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51</v>
      </c>
      <c r="AJ219" s="1">
        <f>VLOOKUP(A219,'SegEnds_NonXtal_Prot#'!A:AL,34,FALSE)-VLOOKUP(A219,'SegEnds_NonXtal_Prot#'!A:AL,31,FALSE)</f>
        <v>38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918</v>
      </c>
      <c r="B220" s="1" t="str">
        <f>VLOOKUP(A220,Xtal_Templ!A:B,2,FALSE)</f>
        <v>oprm_mouse</v>
      </c>
      <c r="C220" s="5">
        <f>VLOOKUP($B220&amp;"__wt",'SegEnds_Xtal_BW#'!$A:$Z,3,FALSE)</f>
        <v>29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f>VLOOKUP($B220&amp;"__wt",'SegEnds_Xtal_BW#'!$A:$Z,11,FALSE)</f>
        <v>21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31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23</v>
      </c>
      <c r="V220" s="1">
        <v>61</v>
      </c>
      <c r="W220" s="1">
        <v>28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19</v>
      </c>
      <c r="AE220" s="1">
        <f>VLOOKUP(A220,'SegEnds_NonXtal_Prot#'!A:AL,16,FALSE)-VLOOKUP(A220,'SegEnds_NonXtal_Prot#'!A:AL,10,FALSE)</f>
        <v>51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27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51</v>
      </c>
      <c r="AJ220" s="1">
        <f>VLOOKUP(A220,'SegEnds_NonXtal_Prot#'!A:AL,34,FALSE)-VLOOKUP(A220,'SegEnds_NonXtal_Prot#'!A:AL,31,FALSE)</f>
        <v>38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Xtal</v>
      </c>
    </row>
    <row r="221" spans="1:38" x14ac:dyDescent="0.2">
      <c r="A221" s="1" t="s">
        <v>1174</v>
      </c>
      <c r="B221" s="1" t="str">
        <f>VLOOKUP(A221,Xtal_Templ!A:B,2,FALSE)</f>
        <v>oprx_human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f>VLOOKUP($B221&amp;"__wt",'SegEnds_Xtal_BW#'!$A:$Z,11,FALSE)</f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INDEX(ICL3_classA!$G$2:$G$37,MATCH(MIN(ABS(AI221-ICL3_classA!$F$2:$F$37)),ABS(AI221-ICL3_classA!$F$2:$F$37),0))</f>
        <v>68</v>
      </c>
      <c r="U221" s="1">
        <f t="array" ref="U221">INDEX(ICL3_classA!$H$2:$H$37,MATCH(MIN(ABS(AI221-ICL3_classA!$F$2:$F$37)),ABS(AI221-ICL3_classA!$F$2:$F$37),0))</f>
        <v>23</v>
      </c>
      <c r="V221" s="1">
        <v>61</v>
      </c>
      <c r="W221" s="1">
        <v>28</v>
      </c>
      <c r="X221" s="128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>
        <f>VLOOKUP(A221,'SegEnds_NonXtal_Prot#'!A:AL,10,FALSE)-VLOOKUP(A221,'SegEnds_NonXtal_Prot#'!A:AL,7,FALSE)</f>
        <v>15</v>
      </c>
      <c r="AD221" s="1">
        <f>VLOOKUP(A221,'SegEnds_NonXtal_Prot#'!A:AL,13,FALSE)-VLOOKUP(A221,'SegEnds_NonXtal_Prot#'!A:AL,10,FALSE)</f>
        <v>19</v>
      </c>
      <c r="AE221" s="1">
        <f>VLOOKUP(A221,'SegEnds_NonXtal_Prot#'!A:AL,16,FALSE)-VLOOKUP(A221,'SegEnds_NonXtal_Prot#'!A:AL,10,FALSE)</f>
        <v>51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27</v>
      </c>
      <c r="AH221" s="1">
        <f>VLOOKUP(A221,'SegEnds_NonXtal_Prot#'!A:AL,28,FALSE)-VLOOKUP(A221,'SegEnds_NonXtal_Prot#'!A:AL,22,FALSE)</f>
        <v>52</v>
      </c>
      <c r="AI221" s="1">
        <f>VLOOKUP(A221,'SegEnds_NonXtal_Prot#'!A:AL,31,FALSE)-VLOOKUP(A221,'SegEnds_NonXtal_Prot#'!A:AL,28,FALSE)</f>
        <v>51</v>
      </c>
      <c r="AJ221" s="1">
        <f>VLOOKUP(A221,'SegEnds_NonXtal_Prot#'!A:AL,34,FALSE)-VLOOKUP(A221,'SegEnds_NonXtal_Prot#'!A:AL,31,FALSE)</f>
        <v>38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Xtal</v>
      </c>
    </row>
    <row r="222" spans="1:38" x14ac:dyDescent="0.2">
      <c r="A222" s="1" t="s">
        <v>338</v>
      </c>
      <c r="B222" s="1" t="str">
        <f>VLOOKUP(A222,Xtal_Templ!A:B,2,FALSE)</f>
        <v>opsd_human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08">
        <v>56</v>
      </c>
      <c r="O222" s="87">
        <f>VLOOKUP($B222&amp;"__wt",'SegEnds_Xtal_BW#'!$A:$Z,15,FALSE)</f>
        <v>38</v>
      </c>
      <c r="P222" s="1">
        <f>VLOOKUP($B222&amp;"__wt",'SegEnds_Xtal_BW#'!$A:$Z,16,FALSE)</f>
        <v>62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INDEX(ICL3_classA!$G$2:$G$37,MATCH(MIN(ABS(AI222-ICL3_classA!$F$2:$F$37)),ABS(AI222-ICL3_classA!$F$2:$F$37),0))</f>
        <v>72</v>
      </c>
      <c r="U222" s="1">
        <f t="array" ref="U222">INDEX(ICL3_classA!$H$2:$H$37,MATCH(MIN(ABS(AI222-ICL3_classA!$F$2:$F$37)),ABS(AI222-ICL3_classA!$F$2:$F$37),0))</f>
        <v>24</v>
      </c>
      <c r="V222" s="1">
        <v>61</v>
      </c>
      <c r="W222" s="1"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19</v>
      </c>
      <c r="AG222" s="1">
        <f>VLOOKUP(A222,'SegEnds_NonXtal_Prot#'!A:AL,28,FALSE)-VLOOKUP(A222,'SegEnds_NonXtal_Prot#'!A:AL,25,FALSE)</f>
        <v>28</v>
      </c>
      <c r="AH222" s="1">
        <f>VLOOKUP(A222,'SegEnds_NonXtal_Prot#'!A:AL,28,FALSE)-VLOOKUP(A222,'SegEnds_NonXtal_Prot#'!A:AL,22,FALSE)</f>
        <v>54</v>
      </c>
      <c r="AI222" s="1">
        <f>VLOOKUP(A222,'SegEnds_NonXtal_Prot#'!A:AL,31,FALSE)-VLOOKUP(A222,'SegEnds_NonXtal_Prot#'!A:AL,28,FALSE)</f>
        <v>52</v>
      </c>
      <c r="AJ222" s="1">
        <f>VLOOKUP(A222,'SegEnds_NonXtal_Prot#'!A:AL,34,FALSE)-VLOOKUP(A222,'SegEnds_NonXtal_Prot#'!A:AL,31,FALSE)</f>
        <v>36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920</v>
      </c>
      <c r="B223" s="1" t="str">
        <f>VLOOKUP(A223,Xtal_Templ!A:B,2,FALSE)</f>
        <v>opsd_bovin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08">
        <f>VLOOKUP($B223&amp;"__wt",'SegEnds_Xtal_BW#'!$A:$Z,14,FALSE)</f>
        <v>56</v>
      </c>
      <c r="O223" s="87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34</v>
      </c>
      <c r="T223" s="1">
        <f t="array" ref="T223">INDEX(ICL3_classA!$G$2:$G$37,MATCH(MIN(ABS(AI223-ICL3_classA!$F$2:$F$37)),ABS(AI223-ICL3_classA!$F$2:$F$37),0))</f>
        <v>72</v>
      </c>
      <c r="U223" s="1">
        <f t="array" ref="U223">INDEX(ICL3_classA!$H$2:$H$37,MATCH(MIN(ABS(AI223-ICL3_classA!$F$2:$F$37)),ABS(AI223-ICL3_classA!$F$2:$F$37),0))</f>
        <v>24</v>
      </c>
      <c r="V223" s="1">
        <v>61</v>
      </c>
      <c r="W223" s="1">
        <v>31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>
        <f>VLOOKUP(A223,'SegEnds_NonXtal_Prot#'!A:AL,10,FALSE)-VLOOKUP(A223,'SegEnds_NonXtal_Prot#'!A:AL,7,FALSE)</f>
        <v>15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19</v>
      </c>
      <c r="AG223" s="1">
        <f>VLOOKUP(A223,'SegEnds_NonXtal_Prot#'!A:AL,28,FALSE)-VLOOKUP(A223,'SegEnds_NonXtal_Prot#'!A:AL,25,FALSE)</f>
        <v>28</v>
      </c>
      <c r="AH223" s="1">
        <f>VLOOKUP(A223,'SegEnds_NonXtal_Prot#'!A:AL,28,FALSE)-VLOOKUP(A223,'SegEnds_NonXtal_Prot#'!A:AL,22,FALSE)</f>
        <v>54</v>
      </c>
      <c r="AI223" s="1">
        <f>VLOOKUP(A223,'SegEnds_NonXtal_Prot#'!A:AL,31,FALSE)-VLOOKUP(A223,'SegEnds_NonXtal_Prot#'!A:AL,28,FALSE)</f>
        <v>52</v>
      </c>
      <c r="AJ223" s="1">
        <f>VLOOKUP(A223,'SegEnds_NonXtal_Prot#'!A:AL,34,FALSE)-VLOOKUP(A223,'SegEnds_NonXtal_Prot#'!A:AL,31,FALSE)</f>
        <v>36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339</v>
      </c>
      <c r="B224" s="1" t="str">
        <f>VLOOKUP(A224,Xtal_Templ!A:B,2,FALSE)</f>
        <v>opsd_human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67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08">
        <f>VLOOKUP($B224&amp;"__wt",'SegEnds_Xtal_BW#'!$A:$Z,14,FALSE)</f>
        <v>56</v>
      </c>
      <c r="O224" s="87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34</v>
      </c>
      <c r="T224" s="1">
        <f t="array" ref="T224">INDEX(ICL3_classA!$G$2:$G$37,MATCH(MIN(ABS(AI224-ICL3_classA!$F$2:$F$37)),ABS(AI224-ICL3_classA!$F$2:$F$37),0))</f>
        <v>72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31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28</v>
      </c>
      <c r="AC224" s="1">
        <f>VLOOKUP(A224,'SegEnds_NonXtal_Prot#'!A:AL,10,FALSE)-VLOOKUP(A224,'SegEnds_NonXtal_Prot#'!A:AL,7,FALSE)</f>
        <v>15</v>
      </c>
      <c r="AD224" s="1">
        <f>VLOOKUP(A224,'SegEnds_NonXtal_Prot#'!A:AL,13,FALSE)-VLOOKUP(A224,'SegEnds_NonXtal_Prot#'!A:AL,10,FALSE)</f>
        <v>20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19</v>
      </c>
      <c r="AG224" s="1">
        <f>VLOOKUP(A224,'SegEnds_NonXtal_Prot#'!A:AL,28,FALSE)-VLOOKUP(A224,'SegEnds_NonXtal_Prot#'!A:AL,25,FALSE)</f>
        <v>28</v>
      </c>
      <c r="AH224" s="1">
        <f>VLOOKUP(A224,'SegEnds_NonXtal_Prot#'!A:AL,28,FALSE)-VLOOKUP(A224,'SegEnds_NonXtal_Prot#'!A:AL,22,FALSE)</f>
        <v>54</v>
      </c>
      <c r="AI224" s="1">
        <f>VLOOKUP(A224,'SegEnds_NonXtal_Prot#'!A:AL,31,FALSE)-VLOOKUP(A224,'SegEnds_NonXtal_Prot#'!A:AL,28,FALSE)</f>
        <v>52</v>
      </c>
      <c r="AJ224" s="1">
        <f>VLOOKUP(A224,'SegEnds_NonXtal_Prot#'!A:AL,34,FALSE)-VLOOKUP(A224,'SegEnds_NonXtal_Prot#'!A:AL,31,FALSE)</f>
        <v>36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Xtal</v>
      </c>
    </row>
    <row r="225" spans="1:38" x14ac:dyDescent="0.2">
      <c r="A225" s="1" t="s">
        <v>922</v>
      </c>
      <c r="B225" s="1" t="str">
        <f>VLOOKUP(A225,Xtal_Templ!A:B,2,FALSE)</f>
        <v>opsd_todpa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69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62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INDEX(ICL3_classA!$G$2:$G$37,MATCH(MIN(ABS(AI225-ICL3_classA!$F$2:$F$37)),ABS(AI225-ICL3_classA!$F$2:$F$37),0))</f>
        <v>74</v>
      </c>
      <c r="U225" s="1">
        <f t="array" ref="U225">INDEX(ICL3_classA!$H$2:$H$37,MATCH(MIN(ABS(AI225-ICL3_classA!$F$2:$F$37)),ABS(AI225-ICL3_classA!$F$2:$F$37),0))</f>
        <v>21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21</v>
      </c>
      <c r="AE225" s="1">
        <f>VLOOKUP(A225,'SegEnds_NonXtal_Prot#'!A:AL,16,FALSE)-VLOOKUP(A225,'SegEnds_NonXtal_Prot#'!A:AL,10,FALSE)</f>
        <v>53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26</v>
      </c>
      <c r="AH225" s="1">
        <f>VLOOKUP(A225,'SegEnds_NonXtal_Prot#'!A:AL,28,FALSE)-VLOOKUP(A225,'SegEnds_NonXtal_Prot#'!A:AL,22,FALSE)</f>
        <v>52</v>
      </c>
      <c r="AI225" s="1">
        <f>VLOOKUP(A225,'SegEnds_NonXtal_Prot#'!A:AL,31,FALSE)-VLOOKUP(A225,'SegEnds_NonXtal_Prot#'!A:AL,28,FALSE)</f>
        <v>64</v>
      </c>
      <c r="AJ225" s="1">
        <f>VLOOKUP(A225,'SegEnds_NonXtal_Prot#'!A:AL,34,FALSE)-VLOOKUP(A225,'SegEnds_NonXtal_Prot#'!A:AL,31,FALSE)</f>
        <v>36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Xtal</v>
      </c>
    </row>
    <row r="226" spans="1:38" x14ac:dyDescent="0.2">
      <c r="A226" s="1" t="s">
        <v>340</v>
      </c>
      <c r="B226" s="1" t="str">
        <f>VLOOKUP(A226,Xtal_Templ!A:B,2,FALSE)</f>
        <v>opsd_human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67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56</v>
      </c>
      <c r="O226" s="87">
        <f>VLOOKUP($B226&amp;"__wt",'SegEnds_Xtal_BW#'!$A:$Z,15,FALSE)</f>
        <v>38</v>
      </c>
      <c r="P226" s="1">
        <f>VLOOKUP($B226&amp;"__wt",'SegEnds_Xtal_BW#'!$A:$Z,16,FALSE)</f>
        <v>62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34</v>
      </c>
      <c r="T226" s="1">
        <f t="array" ref="T226">INDEX(ICL3_classA!$G$2:$G$37,MATCH(MIN(ABS(AI226-ICL3_classA!$F$2:$F$37)),ABS(AI226-ICL3_classA!$F$2:$F$37),0))</f>
        <v>72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">
        <v>31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19</v>
      </c>
      <c r="AG226" s="1">
        <f>VLOOKUP(A226,'SegEnds_NonXtal_Prot#'!A:AL,28,FALSE)-VLOOKUP(A226,'SegEnds_NonXtal_Prot#'!A:AL,25,FALSE)</f>
        <v>28</v>
      </c>
      <c r="AH226" s="1">
        <f>VLOOKUP(A226,'SegEnds_NonXtal_Prot#'!A:AL,28,FALSE)-VLOOKUP(A226,'SegEnds_NonXtal_Prot#'!A:AL,22,FALSE)</f>
        <v>54</v>
      </c>
      <c r="AI226" s="1">
        <f>VLOOKUP(A226,'SegEnds_NonXtal_Prot#'!A:AL,31,FALSE)-VLOOKUP(A226,'SegEnds_NonXtal_Prot#'!A:AL,28,FALSE)</f>
        <v>52</v>
      </c>
      <c r="AJ226" s="1">
        <f>VLOOKUP(A226,'SegEnds_NonXtal_Prot#'!A:AL,34,FALSE)-VLOOKUP(A226,'SegEnds_NonXtal_Prot#'!A:AL,31,FALSE)</f>
        <v>36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341</v>
      </c>
      <c r="B227" s="1" t="str">
        <f>VLOOKUP(A227,Xtal_Templ!A:B,2,FALSE)</f>
        <v>opsd_human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67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56</v>
      </c>
      <c r="O227" s="87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34</v>
      </c>
      <c r="T227" s="1">
        <f t="array" ref="T227">INDEX(ICL3_classA!$G$2:$G$37,MATCH(MIN(ABS(AI227-ICL3_classA!$F$2:$F$37)),ABS(AI227-ICL3_classA!$F$2:$F$37),0))</f>
        <v>72</v>
      </c>
      <c r="U227" s="1">
        <f t="array" ref="U227">INDEX(ICL3_classA!$H$2:$H$37,MATCH(MIN(ABS(AI227-ICL3_classA!$F$2:$F$37)),ABS(AI227-ICL3_classA!$F$2:$F$37),0))</f>
        <v>24</v>
      </c>
      <c r="V227" s="1">
        <v>61</v>
      </c>
      <c r="W227" s="1"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>
        <f>VLOOKUP(A227,'SegEnds_NonXtal_Prot#'!A:AL,10,FALSE)-VLOOKUP(A227,'SegEnds_NonXtal_Prot#'!A:AL,7,FALSE)</f>
        <v>15</v>
      </c>
      <c r="AD227" s="1">
        <f>VLOOKUP(A227,'SegEnds_NonXtal_Prot#'!A:AL,13,FALSE)-VLOOKUP(A227,'SegEnds_NonXtal_Prot#'!A:AL,10,FALSE)</f>
        <v>19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19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54</v>
      </c>
      <c r="AI227" s="1">
        <f>VLOOKUP(A227,'SegEnds_NonXtal_Prot#'!A:AL,31,FALSE)-VLOOKUP(A227,'SegEnds_NonXtal_Prot#'!A:AL,28,FALSE)</f>
        <v>52</v>
      </c>
      <c r="AJ227" s="1">
        <f>VLOOKUP(A227,'SegEnds_NonXtal_Prot#'!A:AL,34,FALSE)-VLOOKUP(A227,'SegEnds_NonXtal_Prot#'!A:AL,31,FALSE)</f>
        <v>36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1175</v>
      </c>
      <c r="B228" s="1" t="str">
        <f>VLOOKUP(A228,Xtal_Templ!A:B,2,FALSE)</f>
        <v>ox1r_human</v>
      </c>
      <c r="C228" s="5">
        <f>VLOOKUP($B228&amp;"__wt",'SegEnds_Xtal_BW#'!$A:$Z,3,FALSE)</f>
        <v>32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53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INDEX(ICL3_classA!$G$2:$G$37,MATCH(MIN(ABS(AI228-ICL3_classA!$F$2:$F$37)),ABS(AI228-ICL3_classA!$F$2:$F$37),0))</f>
        <v>76</v>
      </c>
      <c r="U228" s="1">
        <v>20</v>
      </c>
      <c r="V228" s="1">
        <v>61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58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>
        <f>VLOOKUP(A228,'SegEnds_NonXtal_Prot#'!A:AL,10,FALSE)-VLOOKUP(A228,'SegEnds_NonXtal_Prot#'!A:AL,7,FALSE)</f>
        <v>15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18</v>
      </c>
      <c r="AG228" s="1">
        <f>VLOOKUP(A228,'SegEnds_NonXtal_Prot#'!A:AL,28,FALSE)-VLOOKUP(A228,'SegEnds_NonXtal_Prot#'!A:AL,25,FALSE)</f>
        <v>25</v>
      </c>
      <c r="AH228" s="1">
        <f>VLOOKUP(A228,'SegEnds_NonXtal_Prot#'!A:AL,28,FALSE)-VLOOKUP(A228,'SegEnds_NonXtal_Prot#'!A:AL,22,FALSE)</f>
        <v>58</v>
      </c>
      <c r="AI228" s="12">
        <f>VLOOKUP(A228,'SegEnds_NonXtal_Prot#'!A:AL,31,FALSE)-VLOOKUP(A228,'SegEnds_NonXtal_Prot#'!A:AL,28,FALSE)</f>
        <v>86</v>
      </c>
      <c r="AJ228" s="1">
        <f>VLOOKUP(A228,'SegEnds_NonXtal_Prot#'!A:AL,34,FALSE)-VLOOKUP(A228,'SegEnds_NonXtal_Prot#'!A:AL,31,FALSE)</f>
        <v>42</v>
      </c>
      <c r="AK228" s="1">
        <f>VLOOKUP(A228,'SegEnds_NonXtal_Prot#'!A:AL,37,FALSE)-VLOOKUP(A228,'SegEnds_NonXtal_Prot#'!A:AL,34,FALSE)</f>
        <v>10</v>
      </c>
      <c r="AL228" s="12" t="str">
        <f>IF(ISERROR(MATCH(A228,'SegEnds_Xtal_Prot#'!B:B, 0)), "NoXtal", "Xtal")</f>
        <v>Xtal</v>
      </c>
    </row>
    <row r="229" spans="1:38" x14ac:dyDescent="0.2">
      <c r="A229" s="1" t="s">
        <v>1176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53</v>
      </c>
      <c r="O229" s="87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33</v>
      </c>
      <c r="T229" s="1">
        <f t="array" ref="T229">INDEX(ICL3_classA!$G$2:$G$37,MATCH(MIN(ABS(AI229-ICL3_classA!$F$2:$F$37)),ABS(AI229-ICL3_classA!$F$2:$F$37),0))</f>
        <v>76</v>
      </c>
      <c r="U229" s="1">
        <v>20</v>
      </c>
      <c r="V229" s="1">
        <v>61</v>
      </c>
      <c r="W229" s="108">
        <v>27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>
        <f>VLOOKUP(A229,'SegEnds_NonXtal_Prot#'!A:AL,10,FALSE)-VLOOKUP(A229,'SegEnds_NonXtal_Prot#'!A:AL,7,FALSE)</f>
        <v>15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18</v>
      </c>
      <c r="AG229" s="1">
        <f>VLOOKUP(A229,'SegEnds_NonXtal_Prot#'!A:AL,28,FALSE)-VLOOKUP(A229,'SegEnds_NonXtal_Prot#'!A:AL,25,FALSE)</f>
        <v>25</v>
      </c>
      <c r="AH229" s="1">
        <f>VLOOKUP(A229,'SegEnds_NonXtal_Prot#'!A:AL,28,FALSE)-VLOOKUP(A229,'SegEnds_NonXtal_Prot#'!A:AL,22,FALSE)</f>
        <v>58</v>
      </c>
      <c r="AI229" s="12">
        <f>VLOOKUP(A229,'SegEnds_NonXtal_Prot#'!A:AL,31,FALSE)-VLOOKUP(A229,'SegEnds_NonXtal_Prot#'!A:AL,28,FALSE)</f>
        <v>84</v>
      </c>
      <c r="AJ229" s="1">
        <f>VLOOKUP(A229,'SegEnds_NonXtal_Prot#'!A:AL,34,FALSE)-VLOOKUP(A229,'SegEnds_NonXtal_Prot#'!A:AL,31,FALSE)</f>
        <v>42</v>
      </c>
      <c r="AK229" s="1">
        <f>VLOOKUP(A229,'SegEnds_NonXtal_Prot#'!A:AL,37,FALSE)-VLOOKUP(A229,'SegEnds_NonXtal_Prot#'!A:AL,34,FALSE)</f>
        <v>10</v>
      </c>
      <c r="AL229" s="12" t="str">
        <f>IF(ISERROR(MATCH(A229,'SegEnds_Xtal_Prot#'!B:B, 0)), "NoXtal", "Xtal")</f>
        <v>Xtal</v>
      </c>
    </row>
    <row r="230" spans="1:38" x14ac:dyDescent="0.2">
      <c r="A230" s="1" t="s">
        <v>342</v>
      </c>
      <c r="B230" s="1" t="str">
        <f>VLOOKUP(A230,Xtal_Templ!A:B,2,FALSE)</f>
        <v>pd2r2_human</v>
      </c>
      <c r="C230" s="5">
        <f>VLOOKUP($B230&amp;"__wt",'SegEnds_Xtal_BW#'!$A:$Z,3,FALSE)</f>
        <v>32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26</v>
      </c>
      <c r="T230" s="1">
        <f t="array" ref="T230">INDEX(ICL3_classA!$G$2:$G$37,MATCH(MIN(ABS(AI230-ICL3_classA!$F$2:$F$37)),ABS(AI230-ICL3_classA!$F$2:$F$37),0))</f>
        <v>67</v>
      </c>
      <c r="U230" s="1">
        <f t="array" ref="U230">INDEX(ICL3_classA!$H$2:$H$37,MATCH(MIN(ABS(AI230-ICL3_classA!$F$2:$F$37)),ABS(AI230-ICL3_classA!$F$2:$F$37),0))</f>
        <v>26</v>
      </c>
      <c r="V230" s="1">
        <v>61</v>
      </c>
      <c r="W230" s="1">
        <v>28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64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>
        <f>VLOOKUP(A230,'SegEnds_NonXtal_Prot#'!A:AL,10,FALSE)-VLOOKUP(A230,'SegEnds_NonXtal_Prot#'!A:AL,7,FALSE)</f>
        <v>15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27</v>
      </c>
      <c r="AH230" s="1">
        <f>VLOOKUP(A230,'SegEnds_NonXtal_Prot#'!A:AL,28,FALSE)-VLOOKUP(A230,'SegEnds_NonXtal_Prot#'!A:AL,22,FALSE)</f>
        <v>47</v>
      </c>
      <c r="AI230" s="1">
        <f>VLOOKUP(A230,'SegEnds_NonXtal_Prot#'!A:AL,31,FALSE)-VLOOKUP(A230,'SegEnds_NonXtal_Prot#'!A:AL,28,FALSE)</f>
        <v>46</v>
      </c>
      <c r="AJ230" s="1">
        <f>VLOOKUP(A230,'SegEnds_NonXtal_Prot#'!A:AL,34,FALSE)-VLOOKUP(A230,'SegEnds_NonXtal_Prot#'!A:AL,31,FALSE)</f>
        <v>42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343</v>
      </c>
      <c r="B231" s="1" t="str">
        <f>VLOOKUP(A231,Xtal_Templ!A:B,2,FALSE)</f>
        <v>p2ry1_human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INDEX(ICL3_classA!$G$2:$G$37,MATCH(MIN(ABS(AI231-ICL3_classA!$F$2:$F$37)),ABS(AI231-ICL3_classA!$F$2:$F$37),0))</f>
        <v>67</v>
      </c>
      <c r="U231" s="1">
        <f t="array" ref="U231">INDEX(ICL3_classA!$H$2:$H$37,MATCH(MIN(ABS(AI231-ICL3_classA!$F$2:$F$37)),ABS(AI231-ICL3_classA!$F$2:$F$37),0))</f>
        <v>26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28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27</v>
      </c>
      <c r="AH231" s="1">
        <f>VLOOKUP(A231,'SegEnds_NonXtal_Prot#'!A:AL,28,FALSE)-VLOOKUP(A231,'SegEnds_NonXtal_Prot#'!A:AL,22,FALSE)</f>
        <v>52</v>
      </c>
      <c r="AI231" s="1">
        <f>VLOOKUP(A231,'SegEnds_NonXtal_Prot#'!A:AL,31,FALSE)-VLOOKUP(A231,'SegEnds_NonXtal_Prot#'!A:AL,28,FALSE)</f>
        <v>46</v>
      </c>
      <c r="AJ231" s="1">
        <f>VLOOKUP(A231,'SegEnds_NonXtal_Prot#'!A:AL,34,FALSE)-VLOOKUP(A231,'SegEnds_NonXtal_Prot#'!A:AL,31,FALSE)</f>
        <v>43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4" t="s">
        <v>344</v>
      </c>
      <c r="B232" s="4" t="str">
        <f>VLOOKUP(A232,Xtal_Templ!A:B,2,FALSE)</f>
        <v>ox2r_human</v>
      </c>
      <c r="C232" s="5">
        <f>VLOOKUP($B232&amp;"__wt",'SegEnds_Xtal_BW#'!$A:$Z,3,FALSE)</f>
        <v>31</v>
      </c>
      <c r="D232" s="4">
        <f>VLOOKUP($B232&amp;"__wt",'SegEnds_Xtal_BW#'!$A:$Z,4,FALSE)</f>
        <v>60</v>
      </c>
      <c r="E232" s="4">
        <f>VLOOKUP($B232&amp;"__wt",'SegEnds_Xtal_BW#'!$A:$Z,5,FALSE)</f>
        <v>48</v>
      </c>
      <c r="F232" s="4">
        <f>VLOOKUP($B232&amp;"__wt",'SegEnds_Xtal_BW#'!$A:$Z,6,FALSE)</f>
        <v>51</v>
      </c>
      <c r="G232" s="4">
        <v>37</v>
      </c>
      <c r="H232" s="11">
        <v>66</v>
      </c>
      <c r="I232" s="4">
        <f>VLOOKUP($B232&amp;"__wt",'SegEnds_Xtal_BW#'!$A:$Z,9,FALSE)</f>
        <v>49</v>
      </c>
      <c r="J232" s="4">
        <f>VLOOKUP($B232&amp;"__wt",'SegEnds_Xtal_BW#'!$A:$Z,10,FALSE)</f>
        <v>52</v>
      </c>
      <c r="K232" s="11">
        <v>18</v>
      </c>
      <c r="L232" s="4">
        <f>VLOOKUP($B232&amp;"__wt",'SegEnds_Xtal_BW#'!$A:$Z,12,FALSE)</f>
        <v>56</v>
      </c>
      <c r="M232" s="4">
        <f>VLOOKUP($B232&amp;"__wt",'SegEnds_Xtal_BW#'!$A:$Z,13,FALSE)</f>
        <v>50</v>
      </c>
      <c r="N232" s="11">
        <v>55</v>
      </c>
      <c r="O232" s="88">
        <v>38</v>
      </c>
      <c r="P232" s="4">
        <f>VLOOKUP($B232&amp;"__wt",'SegEnds_Xtal_BW#'!$A:$Z,16,FALSE)</f>
        <v>64</v>
      </c>
      <c r="Q232" s="4">
        <f>VLOOKUP($B232&amp;"__wt",'SegEnds_Xtal_BW#'!$A:$Z,17,FALSE)</f>
        <v>50</v>
      </c>
      <c r="R232" s="4">
        <f>VLOOKUP($B232&amp;"__wt",'SegEnds_Xtal_BW#'!$A:$Z,18,FALSE)</f>
        <v>52</v>
      </c>
      <c r="S232" s="4">
        <f>VLOOKUP($B232&amp;"__wt",'SegEnds_Xtal_BW#'!$A:$Z,19,FALSE)</f>
        <v>33</v>
      </c>
      <c r="T232" s="4">
        <f t="array" ref="T232">INDEX(ICL3_classA!$G$2:$G$37,MATCH(MIN(ABS(AI232-ICL3_classA!$F$2:$F$37)),ABS(AI232-ICL3_classA!$F$2:$F$37),0))</f>
        <v>76</v>
      </c>
      <c r="U232" s="4">
        <f t="array" ref="U232">INDEX(ICL3_classA!$H$2:$H$37,MATCH(MIN(ABS(AI232-ICL3_classA!$F$2:$F$37)),ABS(AI232-ICL3_classA!$F$2:$F$37),0))</f>
        <v>24</v>
      </c>
      <c r="V232" s="4">
        <v>61</v>
      </c>
      <c r="W232" s="4">
        <v>31</v>
      </c>
      <c r="X232" s="4">
        <f>VLOOKUP($B232&amp;"__wt",'SegEnds_Xtal_BW#'!$A:$Z,24,FALSE)</f>
        <v>56</v>
      </c>
      <c r="Y232" s="4">
        <f>VLOOKUP($B232&amp;"__wt",'SegEnds_Xtal_BW#'!$A:$Z,25,FALSE)</f>
        <v>47</v>
      </c>
      <c r="Z232" s="4">
        <f>VLOOKUP($B232&amp;"__wt",'SegEnds_Xtal_BW#'!$A:$Z,26,FALSE)</f>
        <v>58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4">
        <f>VLOOKUP(A232,'SegEnds_NonXtal_Prot#'!A:AL,10,FALSE)-VLOOKUP(A232,'SegEnds_NonXtal_Prot#'!A:AL,7,FALSE)</f>
        <v>15</v>
      </c>
      <c r="AD232" s="4">
        <f>VLOOKUP(A232,'SegEnds_NonXtal_Prot#'!A:AL,13,FALSE)-VLOOKUP(A232,'SegEnds_NonXtal_Prot#'!A:AL,10,FALSE)</f>
        <v>18</v>
      </c>
      <c r="AE232" s="4">
        <f>VLOOKUP(A232,'SegEnds_NonXtal_Prot#'!A:AL,16,FALSE)-VLOOKUP(A232,'SegEnds_NonXtal_Prot#'!A:AL,10,FALSE)</f>
        <v>52</v>
      </c>
      <c r="AF232" s="1" t="e">
        <f>VLOOKUP(A232,'SegEnds_NonXtal_Prot#'!A:AL,22,FALSE)-VLOOKUP(A232,'SegEnds_NonXtal_Prot#'!A:AL,19,FALSE)</f>
        <v>#VALUE!</v>
      </c>
      <c r="AG232" s="4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51</v>
      </c>
      <c r="AI232" s="4">
        <f>VLOOKUP(A232,'SegEnds_NonXtal_Prot#'!A:AL,31,FALSE)-VLOOKUP(A232,'SegEnds_NonXtal_Prot#'!A:AL,28,FALSE)</f>
        <v>78</v>
      </c>
      <c r="AJ232" s="4">
        <f>VLOOKUP(A232,'SegEnds_NonXtal_Prot#'!A:AL,34,FALSE)-VLOOKUP(A232,'SegEnds_NonXtal_Prot#'!A:AL,31,FALSE)</f>
        <v>36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345</v>
      </c>
      <c r="B233" s="1" t="str">
        <f>VLOOKUP(A233,Xtal_Templ!A:B,2,FALSE)</f>
        <v>p2ry1_human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32</v>
      </c>
      <c r="T233" s="1">
        <v>68</v>
      </c>
      <c r="U233" s="1">
        <v>28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27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46</v>
      </c>
      <c r="AJ233" s="1">
        <f>VLOOKUP(A233,'SegEnds_NonXtal_Prot#'!A:AL,34,FALSE)-VLOOKUP(A233,'SegEnds_NonXtal_Prot#'!A:AL,31,FALSE)</f>
        <v>46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Xtal</v>
      </c>
    </row>
    <row r="234" spans="1:38" x14ac:dyDescent="0.2">
      <c r="A234" s="1" t="s">
        <v>346</v>
      </c>
      <c r="B234" s="1" t="str">
        <f>VLOOKUP(A234,Xtal_Templ!A:B,2,FALSE)</f>
        <v>p2ry1_human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32</v>
      </c>
      <c r="T234" s="1">
        <f t="array" ref="T234">INDEX(ICL3_classA!$G$2:$G$37,MATCH(MIN(ABS(AI234-ICL3_classA!$F$2:$F$37)),ABS(AI234-ICL3_classA!$F$2:$F$37),0))</f>
        <v>72</v>
      </c>
      <c r="U234" s="1">
        <f t="array" ref="U234">INDEX(ICL3_classA!$H$2:$H$37,MATCH(MIN(ABS(AI234-ICL3_classA!$F$2:$F$37)),ABS(AI234-ICL3_classA!$F$2:$F$37),0))</f>
        <v>29</v>
      </c>
      <c r="V234" s="1">
        <v>61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 t="e">
        <f>VLOOKUP(A234,'SegEnds_NonXtal_Prot#'!A:AL,10,FALSE)-VLOOKUP(A234,'SegEnds_NonXtal_Prot#'!A:AL,7,FALSE)</f>
        <v>#VALUE!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27</v>
      </c>
      <c r="AH234" s="1">
        <f>VLOOKUP(A234,'SegEnds_NonXtal_Prot#'!A:AL,28,FALSE)-VLOOKUP(A234,'SegEnds_NonXtal_Prot#'!A:AL,22,FALSE)</f>
        <v>52</v>
      </c>
      <c r="AI234" s="1">
        <f>VLOOKUP(A234,'SegEnds_NonXtal_Prot#'!A:AL,31,FALSE)-VLOOKUP(A234,'SegEnds_NonXtal_Prot#'!A:AL,28,FALSE)</f>
        <v>50</v>
      </c>
      <c r="AJ234" s="1">
        <f>VLOOKUP(A234,'SegEnds_NonXtal_Prot#'!A:AL,34,FALSE)-VLOOKUP(A234,'SegEnds_NonXtal_Prot#'!A:AL,31,FALSE)</f>
        <v>43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347</v>
      </c>
      <c r="B235" s="1" t="str">
        <f>VLOOKUP(A235,Xtal_Templ!A:B,2,FALSE)</f>
        <v>p2ry1_human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57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32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24</v>
      </c>
      <c r="V235" s="1">
        <v>61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 t="e">
        <f>VLOOKUP(A235,'SegEnds_NonXtal_Prot#'!A:AL,10,FALSE)-VLOOKUP(A235,'SegEnds_NonXtal_Prot#'!A:AL,7,FALSE)</f>
        <v>#VALUE!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27</v>
      </c>
      <c r="AH235" s="1">
        <f>VLOOKUP(A235,'SegEnds_NonXtal_Prot#'!A:AL,28,FALSE)-VLOOKUP(A235,'SegEnds_NonXtal_Prot#'!A:AL,22,FALSE)</f>
        <v>52</v>
      </c>
      <c r="AI235" s="1">
        <f>VLOOKUP(A235,'SegEnds_NonXtal_Prot#'!A:AL,31,FALSE)-VLOOKUP(A235,'SegEnds_NonXtal_Prot#'!A:AL,28,FALSE)</f>
        <v>48</v>
      </c>
      <c r="AJ235" s="1">
        <f>VLOOKUP(A235,'SegEnds_NonXtal_Prot#'!A:AL,34,FALSE)-VLOOKUP(A235,'SegEnds_NonXtal_Prot#'!A:AL,31,FALSE)</f>
        <v>43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348</v>
      </c>
      <c r="B236" s="1" t="str">
        <f>VLOOKUP(A236,Xtal_Templ!A:B,2,FALSE)</f>
        <v>p2ry1_human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58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32</v>
      </c>
      <c r="T236" s="1">
        <f t="array" ref="T236">INDEX(ICL3_classA!$G$2:$G$37,MATCH(MIN(ABS(AI236-ICL3_classA!$F$2:$F$37)),ABS(AI236-ICL3_classA!$F$2:$F$37),0))</f>
        <v>72</v>
      </c>
      <c r="U236" s="1">
        <f t="array" ref="U236">INDEX(ICL3_classA!$H$2:$H$37,MATCH(MIN(ABS(AI236-ICL3_classA!$F$2:$F$37)),ABS(AI236-ICL3_classA!$F$2:$F$37),0))</f>
        <v>29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21</v>
      </c>
      <c r="AG236" s="1">
        <f>VLOOKUP(A236,'SegEnds_NonXtal_Prot#'!A:AL,28,FALSE)-VLOOKUP(A236,'SegEnds_NonXtal_Prot#'!A:AL,25,FALSE)</f>
        <v>27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50</v>
      </c>
      <c r="AJ236" s="1">
        <f>VLOOKUP(A236,'SegEnds_NonXtal_Prot#'!A:AL,34,FALSE)-VLOOKUP(A236,'SegEnds_NonXtal_Prot#'!A:AL,31,FALSE)</f>
        <v>44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349</v>
      </c>
      <c r="B237" s="1" t="str">
        <f>VLOOKUP(A237,Xtal_Templ!A:B,2,FALSE)</f>
        <v>par1_human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f>VLOOKUP($B237&amp;"__wt",'SegEnds_Xtal_BW#'!$A:$Z,15,FALSE)</f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INDEX(ICL3_classA!$G$2:$G$37,MATCH(MIN(ABS(AI237-ICL3_classA!$F$2:$F$37)),ABS(AI237-ICL3_classA!$F$2:$F$37),0))</f>
        <v>67</v>
      </c>
      <c r="U237" s="1">
        <f t="array" ref="U237">INDEX(ICL3_classA!$H$2:$H$37,MATCH(MIN(ABS(AI237-ICL3_classA!$F$2:$F$37)),ABS(AI237-ICL3_classA!$F$2:$F$37),0))</f>
        <v>26</v>
      </c>
      <c r="V237" s="1">
        <v>61</v>
      </c>
      <c r="W237" s="1">
        <v>28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 t="e">
        <f>VLOOKUP(A237,'SegEnds_NonXtal_Prot#'!A:AL,10,FALSE)-VLOOKUP(A237,'SegEnds_NonXtal_Prot#'!A:AL,7,FALSE)</f>
        <v>#VALUE!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30</v>
      </c>
      <c r="AH237" s="1">
        <f>VLOOKUP(A237,'SegEnds_NonXtal_Prot#'!A:AL,28,FALSE)-VLOOKUP(A237,'SegEnds_NonXtal_Prot#'!A:AL,22,FALSE)</f>
        <v>57</v>
      </c>
      <c r="AI237" s="1">
        <f>VLOOKUP(A237,'SegEnds_NonXtal_Prot#'!A:AL,31,FALSE)-VLOOKUP(A237,'SegEnds_NonXtal_Prot#'!A:AL,28,FALSE)</f>
        <v>47</v>
      </c>
      <c r="AJ237" s="1">
        <f>VLOOKUP(A237,'SegEnds_NonXtal_Prot#'!A:AL,34,FALSE)-VLOOKUP(A237,'SegEnds_NonXtal_Prot#'!A:AL,31,FALSE)</f>
        <v>38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4" t="s">
        <v>350</v>
      </c>
      <c r="B238" s="4" t="str">
        <f>VLOOKUP(A238,Xtal_Templ!A:B,2,FALSE)</f>
        <v>ptafr_human</v>
      </c>
      <c r="C238" s="5">
        <f>VLOOKUP($B238&amp;"__wt",'SegEnds_Xtal_BW#'!$A:$Z,3,FALSE)</f>
        <v>27</v>
      </c>
      <c r="D238" s="4">
        <f>VLOOKUP($B238&amp;"__wt",'SegEnds_Xtal_BW#'!$A:$Z,4,FALSE)</f>
        <v>61</v>
      </c>
      <c r="E238" s="4" t="str">
        <f>VLOOKUP($B238&amp;"__wt",'SegEnds_Xtal_BW#'!$A:$Z,5,FALSE)</f>
        <v>-</v>
      </c>
      <c r="F238" s="4" t="str">
        <f>VLOOKUP($B238&amp;"__wt",'SegEnds_Xtal_BW#'!$A:$Z,6,FALSE)</f>
        <v>-</v>
      </c>
      <c r="G238" s="4">
        <v>37</v>
      </c>
      <c r="H238" s="11">
        <v>66</v>
      </c>
      <c r="I238" s="4">
        <f>VLOOKUP($B238&amp;"__wt",'SegEnds_Xtal_BW#'!$A:$Z,9,FALSE)</f>
        <v>49</v>
      </c>
      <c r="J238" s="4">
        <f>VLOOKUP($B238&amp;"__wt",'SegEnds_Xtal_BW#'!$A:$Z,10,FALSE)</f>
        <v>52</v>
      </c>
      <c r="K238" s="11">
        <v>21</v>
      </c>
      <c r="L238" s="4">
        <f>VLOOKUP($B238&amp;"__wt",'SegEnds_Xtal_BW#'!$A:$Z,12,FALSE)</f>
        <v>56</v>
      </c>
      <c r="M238" s="4">
        <f>VLOOKUP($B238&amp;"__wt",'SegEnds_Xtal_BW#'!$A:$Z,13,FALSE)</f>
        <v>50</v>
      </c>
      <c r="N238" s="108">
        <v>56</v>
      </c>
      <c r="O238" s="87">
        <f>VLOOKUP($B238&amp;"__wt",'SegEnds_Xtal_BW#'!$A:$Z,15,FALSE)</f>
        <v>38</v>
      </c>
      <c r="P238" s="4">
        <f>VLOOKUP($B238&amp;"__wt",'SegEnds_Xtal_BW#'!$A:$Z,16,FALSE)</f>
        <v>63</v>
      </c>
      <c r="Q238" s="4">
        <f>VLOOKUP($B238&amp;"__wt",'SegEnds_Xtal_BW#'!$A:$Z,17,FALSE)</f>
        <v>50</v>
      </c>
      <c r="R238" s="4">
        <f>VLOOKUP($B238&amp;"__wt",'SegEnds_Xtal_BW#'!$A:$Z,18,FALSE)</f>
        <v>52</v>
      </c>
      <c r="S238" s="4">
        <f>VLOOKUP($B238&amp;"__wt",'SegEnds_Xtal_BW#'!$A:$Z,19,FALSE)</f>
        <v>33</v>
      </c>
      <c r="T238" s="4">
        <f t="array" ref="T238">INDEX(ICL3_classA!$G$2:$G$37,MATCH(MIN(ABS(AI238-ICL3_classA!$F$2:$F$37)),ABS(AI238-ICL3_classA!$F$2:$F$37),0))</f>
        <v>68</v>
      </c>
      <c r="U238" s="4">
        <f t="array" ref="U238">INDEX(ICL3_classA!$H$2:$H$37,MATCH(MIN(ABS(AI238-ICL3_classA!$F$2:$F$37)),ABS(AI238-ICL3_classA!$F$2:$F$37),0))</f>
        <v>24</v>
      </c>
      <c r="V238" s="4">
        <v>64</v>
      </c>
      <c r="W238" s="4">
        <v>24</v>
      </c>
      <c r="X238" s="4">
        <f>VLOOKUP($B238&amp;"__wt",'SegEnds_Xtal_BW#'!$A:$Z,24,FALSE)</f>
        <v>59</v>
      </c>
      <c r="Y238" s="4">
        <f>VLOOKUP($B238&amp;"__wt",'SegEnds_Xtal_BW#'!$A:$Z,25,FALSE)</f>
        <v>50</v>
      </c>
      <c r="Z238" s="4">
        <f>VLOOKUP($B238&amp;"__wt",'SegEnds_Xtal_BW#'!$A:$Z,26,FALSE)</f>
        <v>63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4" t="e">
        <f>VLOOKUP(A238,'SegEnds_NonXtal_Prot#'!A:AL,10,FALSE)-VLOOKUP(A238,'SegEnds_NonXtal_Prot#'!A:AL,7,FALSE)</f>
        <v>#VALUE!</v>
      </c>
      <c r="AD238" s="4">
        <f>VLOOKUP(A238,'SegEnds_NonXtal_Prot#'!A:AL,13,FALSE)-VLOOKUP(A238,'SegEnds_NonXtal_Prot#'!A:AL,10,FALSE)</f>
        <v>19</v>
      </c>
      <c r="AE238" s="4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19</v>
      </c>
      <c r="AG238" s="4">
        <f>VLOOKUP(A238,'SegEnds_NonXtal_Prot#'!A:AL,28,FALSE)-VLOOKUP(A238,'SegEnds_NonXtal_Prot#'!A:AL,25,FALSE)</f>
        <v>29</v>
      </c>
      <c r="AH238" s="1">
        <f>VLOOKUP(A238,'SegEnds_NonXtal_Prot#'!A:AL,28,FALSE)-VLOOKUP(A238,'SegEnds_NonXtal_Prot#'!A:AL,22,FALSE)</f>
        <v>53</v>
      </c>
      <c r="AI238" s="4">
        <f>VLOOKUP(A238,'SegEnds_NonXtal_Prot#'!A:AL,31,FALSE)-VLOOKUP(A238,'SegEnds_NonXtal_Prot#'!A:AL,28,FALSE)</f>
        <v>48</v>
      </c>
      <c r="AJ238" s="4">
        <f>VLOOKUP(A238,'SegEnds_NonXtal_Prot#'!A:AL,34,FALSE)-VLOOKUP(A238,'SegEnds_NonXtal_Prot#'!A:AL,31,FALSE)</f>
        <v>44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351</v>
      </c>
      <c r="B239" s="1" t="str">
        <f>VLOOKUP(A239,Xtal_Templ!A:B,2,FALSE)</f>
        <v>p2ry1_human</v>
      </c>
      <c r="C239" s="5">
        <f>VLOOKUP($B239&amp;"__wt",'SegEnds_Xtal_BW#'!$A:$Z,3,FALSE)</f>
        <v>30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INDEX(ICL3_classA!$G$2:$G$37,MATCH(MIN(ABS(AI239-ICL3_classA!$F$2:$F$37)),ABS(AI239-ICL3_classA!$F$2:$F$37),0))</f>
        <v>67</v>
      </c>
      <c r="U239" s="1">
        <f t="array" ref="U239">INDEX(ICL3_classA!$H$2:$H$37,MATCH(MIN(ABS(AI239-ICL3_classA!$F$2:$F$37)),ABS(AI239-ICL3_classA!$F$2:$F$37),0))</f>
        <v>26</v>
      </c>
      <c r="V239" s="1">
        <v>64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29</v>
      </c>
      <c r="AC239" s="1" t="e">
        <f>VLOOKUP(A239,'SegEnds_NonXtal_Prot#'!A:AL,10,FALSE)-VLOOKUP(A239,'SegEnds_NonXtal_Prot#'!A:AL,7,FALSE)</f>
        <v>#VALUE!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26</v>
      </c>
      <c r="AH239" s="1">
        <f>VLOOKUP(A239,'SegEnds_NonXtal_Prot#'!A:AL,28,FALSE)-VLOOKUP(A239,'SegEnds_NonXtal_Prot#'!A:AL,22,FALSE)</f>
        <v>63</v>
      </c>
      <c r="AI239" s="1">
        <f>VLOOKUP(A239,'SegEnds_NonXtal_Prot#'!A:AL,31,FALSE)-VLOOKUP(A239,'SegEnds_NonXtal_Prot#'!A:AL,28,FALSE)</f>
        <v>46</v>
      </c>
      <c r="AJ239" s="1">
        <f>VLOOKUP(A239,'SegEnds_NonXtal_Prot#'!A:AL,34,FALSE)-VLOOKUP(A239,'SegEnds_NonXtal_Prot#'!A:AL,31,FALSE)</f>
        <v>55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352</v>
      </c>
      <c r="B240" s="1" t="str">
        <f>VLOOKUP(A240,Xtal_Templ!A:B,2,FALSE)</f>
        <v>p2y12_human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 t="str">
        <f>VLOOKUP($B240&amp;"__wt",'SegEnds_Xtal_BW#'!$A:$Z,5,FALSE)</f>
        <v>-</v>
      </c>
      <c r="F240" s="1" t="str">
        <f>VLOOKUP($B240&amp;"__wt",'SegEnds_Xtal_BW#'!$A:$Z,6,FALSE)</f>
        <v>-</v>
      </c>
      <c r="G240" s="1">
        <v>37</v>
      </c>
      <c r="H240" s="12">
        <f>VLOOKUP($B240&amp;"__wt",'SegEnds_Xtal_BW#'!$A:$Z,8,FALSE)</f>
        <v>66</v>
      </c>
      <c r="I240" s="1" t="str">
        <f>VLOOKUP($B240&amp;"__wt",'SegEnds_Xtal_BW#'!$A:$Z,9,FALSE)</f>
        <v>-</v>
      </c>
      <c r="J240" s="1" t="str">
        <f>VLOOKUP($B240&amp;"__wt",'SegEnds_Xtal_BW#'!$A:$Z,10,FALSE)</f>
        <v>-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7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INDEX(ICL3_classA!$G$2:$G$37,MATCH(MIN(ABS(AI240-ICL3_classA!$F$2:$F$37)),ABS(AI240-ICL3_classA!$F$2:$F$37),0))</f>
        <v>72</v>
      </c>
      <c r="U240" s="1">
        <f t="array" ref="U240">INDEX(ICL3_classA!$H$2:$H$37,MATCH(MIN(ABS(AI240-ICL3_classA!$F$2:$F$37)),ABS(AI240-ICL3_classA!$F$2:$F$37),0))</f>
        <v>29</v>
      </c>
      <c r="V240" s="1">
        <v>64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57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27</v>
      </c>
      <c r="AC240" s="1" t="e">
        <f>VLOOKUP(A240,'SegEnds_NonXtal_Prot#'!A:AL,10,FALSE)-VLOOKUP(A240,'SegEnds_NonXtal_Prot#'!A:AL,7,FALSE)</f>
        <v>#VALUE!</v>
      </c>
      <c r="AD240" s="1" t="e">
        <f>VLOOKUP(A240,'SegEnds_NonXtal_Prot#'!A:AL,13,FALSE)-VLOOKUP(A240,'SegEnds_NonXtal_Prot#'!A:AL,10,FALSE)</f>
        <v>#VALUE!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26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50</v>
      </c>
      <c r="AJ240" s="1">
        <f>VLOOKUP(A240,'SegEnds_NonXtal_Prot#'!A:AL,34,FALSE)-VLOOKUP(A240,'SegEnds_NonXtal_Prot#'!A:AL,31,FALSE)</f>
        <v>44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Xtal</v>
      </c>
    </row>
    <row r="241" spans="1:38" x14ac:dyDescent="0.2">
      <c r="A241" s="1" t="s">
        <v>353</v>
      </c>
      <c r="B241" s="1" t="str">
        <f>VLOOKUP(A241,Xtal_Templ!A:B,2,FALSE)</f>
        <v>p2y12_human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66</v>
      </c>
      <c r="I241" s="1" t="str">
        <f>VLOOKUP($B241&amp;"__wt",'SegEnds_Xtal_BW#'!$A:$Z,9,FALSE)</f>
        <v>-</v>
      </c>
      <c r="J241" s="1" t="str">
        <f>VLOOKUP($B241&amp;"__wt",'SegEnds_Xtal_BW#'!$A:$Z,10,FALSE)</f>
        <v>-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72</v>
      </c>
      <c r="U241" s="1">
        <f t="array" ref="U241">INDEX(ICL3_classA!$H$2:$H$37,MATCH(MIN(ABS(AI241-ICL3_classA!$F$2:$F$37)),ABS(AI241-ICL3_classA!$F$2:$F$37),0))</f>
        <v>29</v>
      </c>
      <c r="V241" s="1">
        <v>64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57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27</v>
      </c>
      <c r="AC241" s="1" t="e">
        <f>VLOOKUP(A241,'SegEnds_NonXtal_Prot#'!A:AL,10,FALSE)-VLOOKUP(A241,'SegEnds_NonXtal_Prot#'!A:AL,7,FALSE)</f>
        <v>#VALUE!</v>
      </c>
      <c r="AD241" s="1" t="e">
        <f>VLOOKUP(A241,'SegEnds_NonXtal_Prot#'!A:AL,13,FALSE)-VLOOKUP(A241,'SegEnds_NonXtal_Prot#'!A:AL,10,FALSE)</f>
        <v>#VALUE!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26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50</v>
      </c>
      <c r="AJ241" s="1">
        <f>VLOOKUP(A241,'SegEnds_NonXtal_Prot#'!A:AL,34,FALSE)-VLOOKUP(A241,'SegEnds_NonXtal_Prot#'!A:AL,31,FALSE)</f>
        <v>44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354</v>
      </c>
      <c r="B242" s="1" t="str">
        <f>VLOOKUP(A242,Xtal_Templ!A:B,2,FALSE)</f>
        <v>p2y12_human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 t="str">
        <f>VLOOKUP($B242&amp;"__wt",'SegEnds_Xtal_BW#'!$A:$Z,5,FALSE)</f>
        <v>-</v>
      </c>
      <c r="F242" s="1" t="str">
        <f>VLOOKUP($B242&amp;"__wt",'SegEnds_Xtal_BW#'!$A:$Z,6,FALSE)</f>
        <v>-</v>
      </c>
      <c r="G242" s="1">
        <v>37</v>
      </c>
      <c r="H242" s="12">
        <f>VLOOKUP($B242&amp;"__wt",'SegEnds_Xtal_BW#'!$A:$Z,8,FALSE)</f>
        <v>66</v>
      </c>
      <c r="I242" s="1" t="str">
        <f>VLOOKUP($B242&amp;"__wt",'SegEnds_Xtal_BW#'!$A:$Z,9,FALSE)</f>
        <v>-</v>
      </c>
      <c r="J242" s="1" t="str">
        <f>VLOOKUP($B242&amp;"__wt",'SegEnds_Xtal_BW#'!$A:$Z,10,FALSE)</f>
        <v>-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INDEX(ICL3_classA!$G$2:$G$37,MATCH(MIN(ABS(AI242-ICL3_classA!$F$2:$F$37)),ABS(AI242-ICL3_classA!$F$2:$F$37),0))</f>
        <v>72</v>
      </c>
      <c r="U242" s="1">
        <f t="array" ref="U242">INDEX(ICL3_classA!$H$2:$H$37,MATCH(MIN(ABS(AI242-ICL3_classA!$F$2:$F$37)),ABS(AI242-ICL3_classA!$F$2:$F$37),0))</f>
        <v>29</v>
      </c>
      <c r="V242" s="1">
        <v>64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57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27</v>
      </c>
      <c r="AC242" s="1" t="e">
        <f>VLOOKUP(A242,'SegEnds_NonXtal_Prot#'!A:AL,10,FALSE)-VLOOKUP(A242,'SegEnds_NonXtal_Prot#'!A:AL,7,FALSE)</f>
        <v>#VALUE!</v>
      </c>
      <c r="AD242" s="1" t="e">
        <f>VLOOKUP(A242,'SegEnds_NonXtal_Prot#'!A:AL,13,FALSE)-VLOOKUP(A242,'SegEnds_NonXtal_Prot#'!A:AL,10,FALSE)</f>
        <v>#VALUE!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26</v>
      </c>
      <c r="AH242" s="1">
        <f>VLOOKUP(A242,'SegEnds_NonXtal_Prot#'!A:AL,28,FALSE)-VLOOKUP(A242,'SegEnds_NonXtal_Prot#'!A:AL,22,FALSE)</f>
        <v>52</v>
      </c>
      <c r="AI242" s="1">
        <f>VLOOKUP(A242,'SegEnds_NonXtal_Prot#'!A:AL,31,FALSE)-VLOOKUP(A242,'SegEnds_NonXtal_Prot#'!A:AL,28,FALSE)</f>
        <v>50</v>
      </c>
      <c r="AJ242" s="1">
        <f>VLOOKUP(A242,'SegEnds_NonXtal_Prot#'!A:AL,34,FALSE)-VLOOKUP(A242,'SegEnds_NonXtal_Prot#'!A:AL,31,FALSE)</f>
        <v>44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355</v>
      </c>
      <c r="B243" s="1" t="str">
        <f>VLOOKUP(A243,Xtal_Templ!A:B,2,FALSE)</f>
        <v>par1_human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f>VLOOKUP($B243&amp;"__wt",'SegEnds_Xtal_BW#'!$A:$Z,14,FALSE)</f>
        <v>57</v>
      </c>
      <c r="O243" s="87">
        <f>VLOOKUP($B243&amp;"__wt",'SegEnds_Xtal_BW#'!$A:$Z,15,FALSE)</f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32</v>
      </c>
      <c r="T243" s="1">
        <f t="array" ref="T243">INDEX(ICL3_classA!$G$2:$G$37,MATCH(MIN(ABS(AI243-ICL3_classA!$F$2:$F$37)),ABS(AI243-ICL3_classA!$F$2:$F$37),0))</f>
        <v>67</v>
      </c>
      <c r="U243" s="1">
        <f t="array" ref="U243">INDEX(ICL3_classA!$H$2:$H$37,MATCH(MIN(ABS(AI243-ICL3_classA!$F$2:$F$37)),ABS(AI243-ICL3_classA!$F$2:$F$37),0))</f>
        <v>26</v>
      </c>
      <c r="V243" s="1">
        <v>62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61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28</v>
      </c>
      <c r="AH243" s="1">
        <f>VLOOKUP(A243,'SegEnds_NonXtal_Prot#'!A:AL,28,FALSE)-VLOOKUP(A243,'SegEnds_NonXtal_Prot#'!A:AL,22,FALSE)</f>
        <v>55</v>
      </c>
      <c r="AI243" s="1">
        <f>VLOOKUP(A243,'SegEnds_NonXtal_Prot#'!A:AL,31,FALSE)-VLOOKUP(A243,'SegEnds_NonXtal_Prot#'!A:AL,28,FALSE)</f>
        <v>46</v>
      </c>
      <c r="AJ243" s="1">
        <f>VLOOKUP(A243,'SegEnds_NonXtal_Prot#'!A:AL,34,FALSE)-VLOOKUP(A243,'SegEnds_NonXtal_Prot#'!A:AL,31,FALSE)</f>
        <v>40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Xtal</v>
      </c>
    </row>
    <row r="244" spans="1:38" x14ac:dyDescent="0.2">
      <c r="A244" s="1" t="s">
        <v>356</v>
      </c>
      <c r="B244" s="1" t="str">
        <f>VLOOKUP(A244,Xtal_Templ!A:B,2,FALSE)</f>
        <v>par2_human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 t="str">
        <f>VLOOKUP($B244&amp;"__wt",'SegEnds_Xtal_BW#'!$A:$Z,5,FALSE)</f>
        <v>-</v>
      </c>
      <c r="F244" s="1" t="str">
        <f>VLOOKUP($B244&amp;"__wt",'SegEnds_Xtal_BW#'!$A:$Z,6,FALSE)</f>
        <v>-</v>
      </c>
      <c r="G244" s="1">
        <v>37</v>
      </c>
      <c r="H244" s="12">
        <f>VLOOKUP($B244&amp;"__wt",'SegEnds_Xtal_BW#'!$A:$Z,8,FALSE)</f>
        <v>66</v>
      </c>
      <c r="I244" s="1">
        <f>VLOOKUP($B244&amp;"__wt",'SegEnds_Xtal_BW#'!$A:$Z,9,FALSE)</f>
        <v>47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56</v>
      </c>
      <c r="O244" s="87">
        <f>VLOOKUP($B244&amp;"__wt",'SegEnds_Xtal_BW#'!$A:$Z,15,FALSE)</f>
        <v>38</v>
      </c>
      <c r="P244" s="1">
        <f>VLOOKUP($B244&amp;"__wt",'SegEnds_Xtal_BW#'!$A:$Z,16,FALSE)</f>
        <v>62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31</v>
      </c>
      <c r="T244" s="1">
        <f t="array" ref="T244">INDEX(ICL3_classA!$G$2:$G$37,MATCH(MIN(ABS(AI244-ICL3_classA!$F$2:$F$37)),ABS(AI244-ICL3_classA!$F$2:$F$37),0))</f>
        <v>68</v>
      </c>
      <c r="U244" s="1">
        <f t="array" ref="U244">INDEX(ICL3_classA!$H$2:$H$37,MATCH(MIN(ABS(AI244-ICL3_classA!$F$2:$F$37)),ABS(AI244-ICL3_classA!$F$2:$F$37),0))</f>
        <v>24</v>
      </c>
      <c r="V244" s="1">
        <v>62</v>
      </c>
      <c r="W244" s="1">
        <v>28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61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 t="e">
        <f>VLOOKUP(A244,'SegEnds_NonXtal_Prot#'!A:AL,10,FALSE)-VLOOKUP(A244,'SegEnds_NonXtal_Prot#'!A:AL,7,FALSE)</f>
        <v>#VALUE!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19</v>
      </c>
      <c r="AG244" s="1">
        <f>VLOOKUP(A244,'SegEnds_NonXtal_Prot#'!A:AL,28,FALSE)-VLOOKUP(A244,'SegEnds_NonXtal_Prot#'!A:AL,25,FALSE)</f>
        <v>28</v>
      </c>
      <c r="AH244" s="1">
        <f>VLOOKUP(A244,'SegEnds_NonXtal_Prot#'!A:AL,28,FALSE)-VLOOKUP(A244,'SegEnds_NonXtal_Prot#'!A:AL,22,FALSE)</f>
        <v>55</v>
      </c>
      <c r="AI244" s="1">
        <f>VLOOKUP(A244,'SegEnds_NonXtal_Prot#'!A:AL,31,FALSE)-VLOOKUP(A244,'SegEnds_NonXtal_Prot#'!A:AL,28,FALSE)</f>
        <v>48</v>
      </c>
      <c r="AJ244" s="1">
        <f>VLOOKUP(A244,'SegEnds_NonXtal_Prot#'!A:AL,34,FALSE)-VLOOKUP(A244,'SegEnds_NonXtal_Prot#'!A:AL,31,FALSE)</f>
        <v>39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Xtal</v>
      </c>
    </row>
    <row r="245" spans="1:38" x14ac:dyDescent="0.2">
      <c r="A245" s="1" t="s">
        <v>358</v>
      </c>
      <c r="B245" s="1" t="str">
        <f>VLOOKUP(A245,Xtal_Templ!A:B,2,FALSE)</f>
        <v>par2_human</v>
      </c>
      <c r="C245" s="5">
        <f>VLOOKUP($B245&amp;"__wt",'SegEnds_Xtal_BW#'!$A:$Z,3,FALSE)</f>
        <v>28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47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f>VLOOKUP($B245&amp;"__wt",'SegEnds_Xtal_BW#'!$A:$Z,15,FALSE)</f>
        <v>38</v>
      </c>
      <c r="P245" s="1">
        <f>VLOOKUP($B245&amp;"__wt",'SegEnds_Xtal_BW#'!$A:$Z,16,FALSE)</f>
        <v>62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31</v>
      </c>
      <c r="T245" s="1">
        <f t="array" ref="T245">INDEX(ICL3_classA!$G$2:$G$37,MATCH(MIN(ABS(AI245-ICL3_classA!$F$2:$F$37)),ABS(AI245-ICL3_classA!$F$2:$F$37),0))</f>
        <v>68</v>
      </c>
      <c r="U245" s="1">
        <f t="array" ref="U245">INDEX(ICL3_classA!$H$2:$H$37,MATCH(MIN(ABS(AI245-ICL3_classA!$F$2:$F$37)),ABS(AI245-ICL3_classA!$F$2:$F$37),0))</f>
        <v>30</v>
      </c>
      <c r="V245" s="1">
        <v>62</v>
      </c>
      <c r="W245" s="1">
        <v>28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61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27</v>
      </c>
      <c r="AC245" s="1" t="e">
        <f>VLOOKUP(A245,'SegEnds_NonXtal_Prot#'!A:AL,10,FALSE)-VLOOKUP(A245,'SegEnds_NonXtal_Prot#'!A:AL,7,FALSE)</f>
        <v>#VALUE!</v>
      </c>
      <c r="AD245" s="1">
        <f>VLOOKUP(A245,'SegEnds_NonXtal_Prot#'!A:AL,13,FALSE)-VLOOKUP(A245,'SegEnds_NonXtal_Prot#'!A:AL,10,FALSE)</f>
        <v>20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28</v>
      </c>
      <c r="AH245" s="1">
        <f>VLOOKUP(A245,'SegEnds_NonXtal_Prot#'!A:AL,28,FALSE)-VLOOKUP(A245,'SegEnds_NonXtal_Prot#'!A:AL,22,FALSE)</f>
        <v>55</v>
      </c>
      <c r="AI245" s="1">
        <f>VLOOKUP(A245,'SegEnds_NonXtal_Prot#'!A:AL,31,FALSE)-VLOOKUP(A245,'SegEnds_NonXtal_Prot#'!A:AL,28,FALSE)</f>
        <v>42</v>
      </c>
      <c r="AJ245" s="1">
        <f>VLOOKUP(A245,'SegEnds_NonXtal_Prot#'!A:AL,34,FALSE)-VLOOKUP(A245,'SegEnds_NonXtal_Prot#'!A:AL,31,FALSE)</f>
        <v>39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359</v>
      </c>
      <c r="B246" s="1" t="str">
        <f>VLOOKUP(A246,Xtal_Templ!A:B,2,FALSE)</f>
        <v>pe2r4_human</v>
      </c>
      <c r="C246" s="5">
        <f>VLOOKUP($B246&amp;"__wt",'SegEnds_Xtal_BW#'!$A:$Z,3,FALSE)</f>
        <v>33</v>
      </c>
      <c r="D246" s="1">
        <f>VLOOKUP($B246&amp;"__wt",'SegEnds_Xtal_BW#'!$A:$Z,4,FALSE)</f>
        <v>58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2">
        <f>VLOOKUP($B246&amp;"__wt",'SegEnds_Xtal_BW#'!$A:$Z,8,FALSE)</f>
        <v>67</v>
      </c>
      <c r="I246" s="1" t="str">
        <f>VLOOKUP($B246&amp;"__wt",'SegEnds_Xtal_BW#'!$A:$Z,9,FALSE)</f>
        <v>-</v>
      </c>
      <c r="J246" s="1" t="str">
        <f>VLOOKUP($B246&amp;"__wt",'SegEnds_Xtal_BW#'!$A:$Z,10,FALSE)</f>
        <v>-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">
        <v>28</v>
      </c>
      <c r="X246" s="128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60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38</v>
      </c>
      <c r="AC246" s="1" t="e">
        <f>VLOOKUP(A246,'SegEnds_NonXtal_Prot#'!A:AL,10,FALSE)-VLOOKUP(A246,'SegEnds_NonXtal_Prot#'!A:AL,7,FALSE)</f>
        <v>#VALUE!</v>
      </c>
      <c r="AD246" s="1" t="e">
        <f>VLOOKUP(A246,'SegEnds_NonXtal_Prot#'!A:AL,13,FALSE)-VLOOKUP(A246,'SegEnds_NonXtal_Prot#'!A:AL,10,FALSE)</f>
        <v>#VALUE!</v>
      </c>
      <c r="AE246" s="1">
        <f>VLOOKUP(A246,'SegEnds_NonXtal_Prot#'!A:AL,16,FALSE)-VLOOKUP(A246,'SegEnds_NonXtal_Prot#'!A:AL,10,FALSE)</f>
        <v>58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29</v>
      </c>
      <c r="AH246" s="1">
        <f>VLOOKUP(A246,'SegEnds_NonXtal_Prot#'!A:AL,28,FALSE)-VLOOKUP(A246,'SegEnds_NonXtal_Prot#'!A:AL,22,FALSE)</f>
        <v>55</v>
      </c>
      <c r="AI246" s="1">
        <f>VLOOKUP(A246,'SegEnds_NonXtal_Prot#'!A:AL,31,FALSE)-VLOOKUP(A246,'SegEnds_NonXtal_Prot#'!A:AL,28,FALSE)</f>
        <v>68</v>
      </c>
      <c r="AJ246" s="1">
        <f>VLOOKUP(A246,'SegEnds_NonXtal_Prot#'!A:AL,34,FALSE)-VLOOKUP(A246,'SegEnds_NonXtal_Prot#'!A:AL,31,FALSE)</f>
        <v>40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360</v>
      </c>
      <c r="B247" s="1" t="str">
        <f>VLOOKUP(A247,Xtal_Templ!A:B,2,FALSE)</f>
        <v>pd2r2_human</v>
      </c>
      <c r="C247" s="5">
        <f>VLOOKUP($B247&amp;"__wt",'SegEnds_Xtal_BW#'!$A:$Z,3,FALSE)</f>
        <v>32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67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26</v>
      </c>
      <c r="T247" s="1">
        <f t="array" ref="T247">INDEX(ICL3_classA!$G$2:$G$37,MATCH(MIN(ABS(AI247-ICL3_classA!$F$2:$F$37)),ABS(AI247-ICL3_classA!$F$2:$F$37),0))</f>
        <v>68</v>
      </c>
      <c r="U247" s="1">
        <f t="array" ref="U247">INDEX(ICL3_classA!$H$2:$H$37,MATCH(MIN(ABS(AI247-ICL3_classA!$F$2:$F$37)),ABS(AI247-ICL3_classA!$F$2:$F$37),0))</f>
        <v>30</v>
      </c>
      <c r="V247" s="1">
        <v>61</v>
      </c>
      <c r="W247" s="108">
        <v>27</v>
      </c>
      <c r="X247" s="128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64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27</v>
      </c>
      <c r="AC247" s="1" t="e">
        <f>VLOOKUP(A247,'SegEnds_NonXtal_Prot#'!A:AL,10,FALSE)-VLOOKUP(A247,'SegEnds_NonXtal_Prot#'!A:AL,7,FALSE)</f>
        <v>#VALUE!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36</v>
      </c>
      <c r="AH247" s="1">
        <f>VLOOKUP(A247,'SegEnds_NonXtal_Prot#'!A:AL,28,FALSE)-VLOOKUP(A247,'SegEnds_NonXtal_Prot#'!A:AL,22,FALSE)</f>
        <v>62</v>
      </c>
      <c r="AI247" s="1">
        <f>VLOOKUP(A247,'SegEnds_NonXtal_Prot#'!A:AL,31,FALSE)-VLOOKUP(A247,'SegEnds_NonXtal_Prot#'!A:AL,28,FALSE)</f>
        <v>43</v>
      </c>
      <c r="AJ247" s="1">
        <f>VLOOKUP(A247,'SegEnds_NonXtal_Prot#'!A:AL,34,FALSE)-VLOOKUP(A247,'SegEnds_NonXtal_Prot#'!A:AL,31,FALSE)</f>
        <v>40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Xtal</v>
      </c>
    </row>
    <row r="248" spans="1:38" x14ac:dyDescent="0.2">
      <c r="A248" s="1" t="s">
        <v>361</v>
      </c>
      <c r="B248" s="1" t="str">
        <f>VLOOKUP(A248,Xtal_Templ!A:B,2,FALSE)</f>
        <v>pe2r3_human</v>
      </c>
      <c r="C248" s="5">
        <f>VLOOKUP($B248&amp;"__wt",'SegEnds_Xtal_BW#'!$A:$Z,3,FALSE)</f>
        <v>36</v>
      </c>
      <c r="D248" s="108">
        <v>61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v>66</v>
      </c>
      <c r="I248" s="1">
        <f>VLOOKUP($B248&amp;"__wt",'SegEnds_Xtal_BW#'!$A:$Z,9,FALSE)</f>
        <v>48</v>
      </c>
      <c r="J248" s="1">
        <f>VLOOKUP($B248&amp;"__wt",'SegEnds_Xtal_BW#'!$A:$Z,10,FALSE)</f>
        <v>56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63</v>
      </c>
      <c r="Q248" s="108">
        <v>50</v>
      </c>
      <c r="R248" s="108">
        <v>52</v>
      </c>
      <c r="S248" s="1">
        <f>VLOOKUP($B248&amp;"__wt",'SegEnds_Xtal_BW#'!$A:$Z,19,FALSE)</f>
        <v>32</v>
      </c>
      <c r="T248" s="1">
        <f t="array" ref="T248">INDEX(ICL3_classA!$G$2:$G$37,MATCH(MIN(ABS(AI248-ICL3_classA!$F$2:$F$37)),ABS(AI248-ICL3_classA!$F$2:$F$37),0))</f>
        <v>74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">
        <v>31</v>
      </c>
      <c r="X248" s="1">
        <f>VLOOKUP($B248&amp;"__wt",'SegEnds_Xtal_BW#'!$A:$Z,24,FALSE)</f>
        <v>53</v>
      </c>
      <c r="Y248" s="1">
        <f>VLOOKUP($B248&amp;"__wt",'SegEnds_Xtal_BW#'!$A:$Z,25,FALSE)</f>
        <v>44</v>
      </c>
      <c r="Z248" s="1">
        <f>VLOOKUP($B248&amp;"__wt",'SegEnds_Xtal_BW#'!$A:$Z,26,FALSE)</f>
        <v>66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34</v>
      </c>
      <c r="AC248" s="1">
        <f>VLOOKUP(A248,'SegEnds_NonXtal_Prot#'!A:AL,10,FALSE)-VLOOKUP(A248,'SegEnds_NonXtal_Prot#'!A:AL,7,FALSE)</f>
        <v>20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51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28</v>
      </c>
      <c r="AH248" s="1">
        <f>VLOOKUP(A248,'SegEnds_NonXtal_Prot#'!A:AL,28,FALSE)-VLOOKUP(A248,'SegEnds_NonXtal_Prot#'!A:AL,22,FALSE)</f>
        <v>54</v>
      </c>
      <c r="AI248" s="1">
        <f>VLOOKUP(A248,'SegEnds_NonXtal_Prot#'!A:AL,31,FALSE)-VLOOKUP(A248,'SegEnds_NonXtal_Prot#'!A:AL,28,FALSE)</f>
        <v>96</v>
      </c>
      <c r="AJ248" s="1">
        <f>VLOOKUP(A248,'SegEnds_NonXtal_Prot#'!A:AL,34,FALSE)-VLOOKUP(A248,'SegEnds_NonXtal_Prot#'!A:AL,31,FALSE)</f>
        <v>36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362</v>
      </c>
      <c r="B249" s="1" t="str">
        <f>VLOOKUP(A249,Xtal_Templ!A:B,2,FALSE)</f>
        <v>pe2r4_human</v>
      </c>
      <c r="C249" s="5">
        <f>VLOOKUP($B249&amp;"__wt",'SegEnds_Xtal_BW#'!$A:$Z,3,FALSE)</f>
        <v>33</v>
      </c>
      <c r="D249" s="1">
        <f>VLOOKUP($B249&amp;"__wt",'SegEnds_Xtal_BW#'!$A:$Z,4,FALSE)</f>
        <v>58</v>
      </c>
      <c r="E249" s="1" t="str">
        <f>VLOOKUP($B249&amp;"__wt",'SegEnds_Xtal_BW#'!$A:$Z,5,FALSE)</f>
        <v>-</v>
      </c>
      <c r="F249" s="1" t="str">
        <f>VLOOKUP($B249&amp;"__wt",'SegEnds_Xtal_BW#'!$A:$Z,6,FALSE)</f>
        <v>-</v>
      </c>
      <c r="G249" s="1">
        <v>37</v>
      </c>
      <c r="H249" s="12">
        <f>VLOOKUP($B249&amp;"__wt",'SegEnds_Xtal_BW#'!$A:$Z,8,FALSE)</f>
        <v>67</v>
      </c>
      <c r="I249" s="1" t="str">
        <f>VLOOKUP($B249&amp;"__wt",'SegEnds_Xtal_BW#'!$A:$Z,9,FALSE)</f>
        <v>-</v>
      </c>
      <c r="J249" s="1" t="str">
        <f>VLOOKUP($B249&amp;"__wt",'SegEnds_Xtal_BW#'!$A:$Z,10,FALSE)</f>
        <v>-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v>61</v>
      </c>
      <c r="W249" s="1">
        <v>33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60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39</v>
      </c>
      <c r="AC249" s="1">
        <f>VLOOKUP(A249,'SegEnds_NonXtal_Prot#'!A:AL,10,FALSE)-VLOOKUP(A249,'SegEnds_NonXtal_Prot#'!A:AL,7,FALSE)</f>
        <v>20</v>
      </c>
      <c r="AD249" s="1" t="e">
        <f>VLOOKUP(A249,'SegEnds_NonXtal_Prot#'!A:AL,13,FALSE)-VLOOKUP(A249,'SegEnds_NonXtal_Prot#'!A:AL,10,FALSE)</f>
        <v>#VALUE!</v>
      </c>
      <c r="AE249" s="1">
        <f>VLOOKUP(A249,'SegEnds_NonXtal_Prot#'!A:AL,16,FALSE)-VLOOKUP(A249,'SegEnds_NonXtal_Prot#'!A:AL,10,FALSE)</f>
        <v>56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22</v>
      </c>
      <c r="AH249" s="1">
        <f>VLOOKUP(A249,'SegEnds_NonXtal_Prot#'!A:AL,28,FALSE)-VLOOKUP(A249,'SegEnds_NonXtal_Prot#'!A:AL,22,FALSE)</f>
        <v>48</v>
      </c>
      <c r="AI249" s="1">
        <f>VLOOKUP(A249,'SegEnds_NonXtal_Prot#'!A:AL,31,FALSE)-VLOOKUP(A249,'SegEnds_NonXtal_Prot#'!A:AL,28,FALSE)</f>
        <v>70</v>
      </c>
      <c r="AJ249" s="1">
        <f>VLOOKUP(A249,'SegEnds_NonXtal_Prot#'!A:AL,34,FALSE)-VLOOKUP(A249,'SegEnds_NonXtal_Prot#'!A:AL,31,FALSE)</f>
        <v>33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363</v>
      </c>
      <c r="B250" s="1" t="str">
        <f>VLOOKUP(A250,Xtal_Templ!A:B,2,FALSE)</f>
        <v>pe2r3_human</v>
      </c>
      <c r="C250" s="5">
        <f>VLOOKUP($B250&amp;"__wt",'SegEnds_Xtal_BW#'!$A:$Z,3,FALSE)</f>
        <v>36</v>
      </c>
      <c r="D250" s="1">
        <f>VLOOKUP($B250&amp;"__wt",'SegEnds_Xtal_BW#'!$A:$Z,4,FALSE)</f>
        <v>62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68</v>
      </c>
      <c r="I250" s="1">
        <v>49</v>
      </c>
      <c r="J250" s="1">
        <f>VLOOKUP($B250&amp;"__wt",'SegEnds_Xtal_BW#'!$A:$Z,10,FALSE)</f>
        <v>56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63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32</v>
      </c>
      <c r="T250" s="1">
        <f t="array" ref="T250">INDEX(ICL3_classA!$G$2:$G$37,MATCH(MIN(ABS(AI250-ICL3_classA!$F$2:$F$37)),ABS(AI250-ICL3_classA!$F$2:$F$37),0))</f>
        <v>72</v>
      </c>
      <c r="U250" s="1">
        <f t="array" ref="U250">INDEX(ICL3_classA!$H$2:$H$37,MATCH(MIN(ABS(AI250-ICL3_classA!$F$2:$F$37)),ABS(AI250-ICL3_classA!$F$2:$F$37),0))</f>
        <v>24</v>
      </c>
      <c r="V250" s="1">
        <v>64</v>
      </c>
      <c r="W250" s="1">
        <v>24</v>
      </c>
      <c r="X250" s="1">
        <f>VLOOKUP($B250&amp;"__wt",'SegEnds_Xtal_BW#'!$A:$Z,24,FALSE)</f>
        <v>53</v>
      </c>
      <c r="Y250" s="1">
        <f>VLOOKUP($B250&amp;"__wt",'SegEnds_Xtal_BW#'!$A:$Z,25,FALSE)</f>
        <v>44</v>
      </c>
      <c r="Z250" s="1">
        <f>VLOOKUP($B250&amp;"__wt",'SegEnds_Xtal_BW#'!$A:$Z,26,FALSE)</f>
        <v>66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33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21</v>
      </c>
      <c r="AE250" s="1">
        <f>VLOOKUP(A250,'SegEnds_NonXtal_Prot#'!A:AL,16,FALSE)-VLOOKUP(A250,'SegEnds_NonXtal_Prot#'!A:AL,10,FALSE)</f>
        <v>56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35</v>
      </c>
      <c r="AH250" s="1">
        <f>VLOOKUP(A250,'SegEnds_NonXtal_Prot#'!A:AL,28,FALSE)-VLOOKUP(A250,'SegEnds_NonXtal_Prot#'!A:AL,22,FALSE)</f>
        <v>61</v>
      </c>
      <c r="AI250" s="1">
        <f>VLOOKUP(A250,'SegEnds_NonXtal_Prot#'!A:AL,31,FALSE)-VLOOKUP(A250,'SegEnds_NonXtal_Prot#'!A:AL,28,FALSE)</f>
        <v>54</v>
      </c>
      <c r="AJ250" s="1">
        <f>VLOOKUP(A250,'SegEnds_NonXtal_Prot#'!A:AL,34,FALSE)-VLOOKUP(A250,'SegEnds_NonXtal_Prot#'!A:AL,31,FALSE)</f>
        <v>46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Xtal</v>
      </c>
    </row>
    <row r="251" spans="1:38" x14ac:dyDescent="0.2">
      <c r="A251" s="1" t="s">
        <v>364</v>
      </c>
      <c r="B251" s="1" t="str">
        <f>VLOOKUP(A251,Xtal_Templ!A:B,2,FALSE)</f>
        <v>pe2r4_human</v>
      </c>
      <c r="C251" s="5">
        <f>VLOOKUP($B251&amp;"__wt",'SegEnds_Xtal_BW#'!$A:$Z,3,FALSE)</f>
        <v>33</v>
      </c>
      <c r="D251" s="1">
        <f>VLOOKUP($B251&amp;"__wt",'SegEnds_Xtal_BW#'!$A:$Z,4,FALSE)</f>
        <v>58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67</v>
      </c>
      <c r="I251" s="1" t="str">
        <f>VLOOKUP($B251&amp;"__wt",'SegEnds_Xtal_BW#'!$A:$Z,9,FALSE)</f>
        <v>-</v>
      </c>
      <c r="J251" s="1" t="str">
        <f>VLOOKUP($B251&amp;"__wt",'SegEnds_Xtal_BW#'!$A:$Z,10,FALSE)</f>
        <v>-</v>
      </c>
      <c r="K251" s="12">
        <v>21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57</v>
      </c>
      <c r="O251" s="87"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INDEX(ICL3_classA!$G$2:$G$37,MATCH(MIN(ABS(AI251-ICL3_classA!$F$2:$F$37)),ABS(AI251-ICL3_classA!$F$2:$F$37),0))</f>
        <v>76</v>
      </c>
      <c r="U251" s="1">
        <f t="array" ref="U251">INDEX(ICL3_classA!$H$2:$H$37,MATCH(MIN(ABS(AI251-ICL3_classA!$F$2:$F$37)),ABS(AI251-ICL3_classA!$F$2:$F$37),0))</f>
        <v>24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60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30</v>
      </c>
      <c r="AC251" s="1" t="e">
        <f>VLOOKUP(A251,'SegEnds_NonXtal_Prot#'!A:AL,10,FALSE)-VLOOKUP(A251,'SegEnds_NonXtal_Prot#'!A:AL,7,FALSE)</f>
        <v>#VALUE!</v>
      </c>
      <c r="AD251" s="1" t="e">
        <f>VLOOKUP(A251,'SegEnds_NonXtal_Prot#'!A:AL,13,FALSE)-VLOOKUP(A251,'SegEnds_NonXtal_Prot#'!A:AL,10,FALSE)</f>
        <v>#VALUE!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27</v>
      </c>
      <c r="AH251" s="1">
        <f>VLOOKUP(A251,'SegEnds_NonXtal_Prot#'!A:AL,28,FALSE)-VLOOKUP(A251,'SegEnds_NonXtal_Prot#'!A:AL,22,FALSE)</f>
        <v>53</v>
      </c>
      <c r="AI251" s="1">
        <f>VLOOKUP(A251,'SegEnds_NonXtal_Prot#'!A:AL,31,FALSE)-VLOOKUP(A251,'SegEnds_NonXtal_Prot#'!A:AL,28,FALSE)</f>
        <v>90</v>
      </c>
      <c r="AJ251" s="1">
        <f>VLOOKUP(A251,'SegEnds_NonXtal_Prot#'!A:AL,34,FALSE)-VLOOKUP(A251,'SegEnds_NonXtal_Prot#'!A:AL,31,FALSE)</f>
        <v>39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Xtal</v>
      </c>
    </row>
    <row r="252" spans="1:38" x14ac:dyDescent="0.2">
      <c r="A252" s="1" t="s">
        <v>365</v>
      </c>
      <c r="B252" s="1" t="str">
        <f>VLOOKUP(A252,Xtal_Templ!A:B,2,FALSE)</f>
        <v>pe2r3_human</v>
      </c>
      <c r="C252" s="5">
        <f>VLOOKUP($B252&amp;"__wt",'SegEnds_Xtal_BW#'!$A:$Z,3,FALSE)</f>
        <v>36</v>
      </c>
      <c r="D252" s="108">
        <v>61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48</v>
      </c>
      <c r="J252" s="1">
        <f>VLOOKUP($B252&amp;"__wt",'SegEnds_Xtal_BW#'!$A:$Z,10,FALSE)</f>
        <v>56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08">
        <v>50</v>
      </c>
      <c r="R252" s="108">
        <v>52</v>
      </c>
      <c r="S252" s="1">
        <v>35</v>
      </c>
      <c r="T252" s="1">
        <f t="array" ref="T252">INDEX(ICL3_classA!$G$2:$G$37,MATCH(MIN(ABS(AI252-ICL3_classA!$F$2:$F$37)),ABS(AI252-ICL3_classA!$F$2:$F$37),0))</f>
        <v>72</v>
      </c>
      <c r="U252" s="1">
        <f t="array" ref="U252">INDEX(ICL3_classA!$H$2:$H$37,MATCH(MIN(ABS(AI252-ICL3_classA!$F$2:$F$37)),ABS(AI252-ICL3_classA!$F$2:$F$37),0))</f>
        <v>29</v>
      </c>
      <c r="V252" s="1">
        <v>61</v>
      </c>
      <c r="W252" s="1">
        <v>31</v>
      </c>
      <c r="X252" s="108">
        <v>56</v>
      </c>
      <c r="Y252" s="108">
        <v>47</v>
      </c>
      <c r="Z252" s="1">
        <f>VLOOKUP($B252&amp;"__wt",'SegEnds_Xtal_BW#'!$A:$Z,26,FALSE)</f>
        <v>66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33</v>
      </c>
      <c r="AC252" s="1">
        <f>VLOOKUP(A252,'SegEnds_NonXtal_Prot#'!A:AL,10,FALSE)-VLOOKUP(A252,'SegEnds_NonXtal_Prot#'!A:AL,7,FALSE)</f>
        <v>19</v>
      </c>
      <c r="AD252" s="1">
        <f>VLOOKUP(A252,'SegEnds_NonXtal_Prot#'!A:AL,13,FALSE)-VLOOKUP(A252,'SegEnds_NonXtal_Prot#'!A:AL,10,FALSE)</f>
        <v>21</v>
      </c>
      <c r="AE252" s="1">
        <f>VLOOKUP(A252,'SegEnds_NonXtal_Prot#'!A:AL,16,FALSE)-VLOOKUP(A252,'SegEnds_NonXtal_Prot#'!A:AL,10,FALSE)</f>
        <v>56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28</v>
      </c>
      <c r="AH252" s="1">
        <f>VLOOKUP(A252,'SegEnds_NonXtal_Prot#'!A:AL,28,FALSE)-VLOOKUP(A252,'SegEnds_NonXtal_Prot#'!A:AL,22,FALSE)</f>
        <v>54</v>
      </c>
      <c r="AI252" s="1">
        <f>VLOOKUP(A252,'SegEnds_NonXtal_Prot#'!A:AL,31,FALSE)-VLOOKUP(A252,'SegEnds_NonXtal_Prot#'!A:AL,28,FALSE)</f>
        <v>50</v>
      </c>
      <c r="AJ252" s="1">
        <f>VLOOKUP(A252,'SegEnds_NonXtal_Prot#'!A:AL,34,FALSE)-VLOOKUP(A252,'SegEnds_NonXtal_Prot#'!A:AL,31,FALSE)</f>
        <v>37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366</v>
      </c>
      <c r="B253" s="1" t="str">
        <f>VLOOKUP(A253,Xtal_Templ!A:B,2,FALSE)</f>
        <v>pe2r4_human</v>
      </c>
      <c r="C253" s="5">
        <f>VLOOKUP($B253&amp;"__wt",'SegEnds_Xtal_BW#'!$A:$Z,3,FALSE)</f>
        <v>33</v>
      </c>
      <c r="D253" s="1">
        <f>VLOOKUP($B253&amp;"__wt",'SegEnds_Xtal_BW#'!$A:$Z,4,FALSE)</f>
        <v>58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67</v>
      </c>
      <c r="I253" s="1" t="str">
        <f>VLOOKUP($B253&amp;"__wt",'SegEnds_Xtal_BW#'!$A:$Z,9,FALSE)</f>
        <v>-</v>
      </c>
      <c r="J253" s="1" t="str">
        <f>VLOOKUP($B253&amp;"__wt",'SegEnds_Xtal_BW#'!$A:$Z,10,FALSE)</f>
        <v>-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f>VLOOKUP($B253&amp;"__wt",'SegEnds_Xtal_BW#'!$A:$Z,15,FALSE)</f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INDEX(ICL3_classA!$G$2:$G$37,MATCH(MIN(ABS(AI253-ICL3_classA!$F$2:$F$37)),ABS(AI253-ICL3_classA!$F$2:$F$37),0))</f>
        <v>73</v>
      </c>
      <c r="U253" s="1">
        <f t="array" ref="U253">INDEX(ICL3_classA!$H$2:$H$37,MATCH(MIN(ABS(AI253-ICL3_classA!$F$2:$F$37)),ABS(AI253-ICL3_classA!$F$2:$F$37),0))</f>
        <v>22</v>
      </c>
      <c r="V253" s="1">
        <v>61</v>
      </c>
      <c r="W253" s="1">
        <v>31</v>
      </c>
      <c r="X253" s="108">
        <v>56</v>
      </c>
      <c r="Y253" s="1">
        <f>VLOOKUP($B253&amp;"__wt",'SegEnds_Xtal_BW#'!$A:$Z,25,FALSE)</f>
        <v>47</v>
      </c>
      <c r="Z253" s="1">
        <f>VLOOKUP($B253&amp;"__wt",'SegEnds_Xtal_BW#'!$A:$Z,26,FALSE)</f>
        <v>60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29</v>
      </c>
      <c r="AC253" s="1" t="e">
        <f>VLOOKUP(A253,'SegEnds_NonXtal_Prot#'!A:AL,10,FALSE)-VLOOKUP(A253,'SegEnds_NonXtal_Prot#'!A:AL,7,FALSE)</f>
        <v>#VALUE!</v>
      </c>
      <c r="AD253" s="1" t="e">
        <f>VLOOKUP(A253,'SegEnds_NonXtal_Prot#'!A:AL,13,FALSE)-VLOOKUP(A253,'SegEnds_NonXtal_Prot#'!A:AL,10,FALSE)</f>
        <v>#VALUE!</v>
      </c>
      <c r="AE253" s="1">
        <f>VLOOKUP(A253,'SegEnds_NonXtal_Prot#'!A:AL,16,FALSE)-VLOOKUP(A253,'SegEnds_NonXtal_Prot#'!A:AL,10,FALSE)</f>
        <v>57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27</v>
      </c>
      <c r="AH253" s="1">
        <f>VLOOKUP(A253,'SegEnds_NonXtal_Prot#'!A:AL,28,FALSE)-VLOOKUP(A253,'SegEnds_NonXtal_Prot#'!A:AL,22,FALSE)</f>
        <v>53</v>
      </c>
      <c r="AI253" s="1">
        <f>VLOOKUP(A253,'SegEnds_NonXtal_Prot#'!A:AL,31,FALSE)-VLOOKUP(A253,'SegEnds_NonXtal_Prot#'!A:AL,28,FALSE)</f>
        <v>57</v>
      </c>
      <c r="AJ253" s="1">
        <f>VLOOKUP(A253,'SegEnds_NonXtal_Prot#'!A:AL,34,FALSE)-VLOOKUP(A253,'SegEnds_NonXtal_Prot#'!A:AL,31,FALSE)</f>
        <v>35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4" t="s">
        <v>369</v>
      </c>
      <c r="B254" s="4" t="str">
        <f>VLOOKUP(A254,Xtal_Templ!A:B,2,FALSE)</f>
        <v>ox2r_human</v>
      </c>
      <c r="C254" s="5">
        <f>VLOOKUP($B254&amp;"__wt",'SegEnds_Xtal_BW#'!$A:$Z,3,FALSE)</f>
        <v>31</v>
      </c>
      <c r="D254" s="4">
        <f>VLOOKUP($B254&amp;"__wt",'SegEnds_Xtal_BW#'!$A:$Z,4,FALSE)</f>
        <v>60</v>
      </c>
      <c r="E254" s="4">
        <f>VLOOKUP($B254&amp;"__wt",'SegEnds_Xtal_BW#'!$A:$Z,5,FALSE)</f>
        <v>48</v>
      </c>
      <c r="F254" s="4">
        <f>VLOOKUP($B254&amp;"__wt",'SegEnds_Xtal_BW#'!$A:$Z,6,FALSE)</f>
        <v>51</v>
      </c>
      <c r="G254" s="4">
        <v>37</v>
      </c>
      <c r="H254" s="11">
        <f>VLOOKUP($B254&amp;"__wt",'SegEnds_Xtal_BW#'!$A:$Z,8,FALSE)</f>
        <v>68</v>
      </c>
      <c r="I254" s="4">
        <f>VLOOKUP($B254&amp;"__wt",'SegEnds_Xtal_BW#'!$A:$Z,9,FALSE)</f>
        <v>49</v>
      </c>
      <c r="J254" s="4">
        <f>VLOOKUP($B254&amp;"__wt",'SegEnds_Xtal_BW#'!$A:$Z,10,FALSE)</f>
        <v>52</v>
      </c>
      <c r="K254" s="11">
        <v>18</v>
      </c>
      <c r="L254" s="4">
        <f>VLOOKUP($B254&amp;"__wt",'SegEnds_Xtal_BW#'!$A:$Z,12,FALSE)</f>
        <v>56</v>
      </c>
      <c r="M254" s="4">
        <f>VLOOKUP($B254&amp;"__wt",'SegEnds_Xtal_BW#'!$A:$Z,13,FALSE)</f>
        <v>50</v>
      </c>
      <c r="N254" s="11">
        <v>53</v>
      </c>
      <c r="O254" s="87">
        <f>VLOOKUP($B254&amp;"__wt",'SegEnds_Xtal_BW#'!$A:$Z,15,FALSE)</f>
        <v>38</v>
      </c>
      <c r="P254" s="4">
        <f>VLOOKUP($B254&amp;"__wt",'SegEnds_Xtal_BW#'!$A:$Z,16,FALSE)</f>
        <v>64</v>
      </c>
      <c r="Q254" s="4">
        <f>VLOOKUP($B254&amp;"__wt",'SegEnds_Xtal_BW#'!$A:$Z,17,FALSE)</f>
        <v>50</v>
      </c>
      <c r="R254" s="4">
        <f>VLOOKUP($B254&amp;"__wt",'SegEnds_Xtal_BW#'!$A:$Z,18,FALSE)</f>
        <v>52</v>
      </c>
      <c r="S254" s="4">
        <f>VLOOKUP($B254&amp;"__wt",'SegEnds_Xtal_BW#'!$A:$Z,19,FALSE)</f>
        <v>33</v>
      </c>
      <c r="T254" s="4">
        <f t="array" ref="T254">INDEX(ICL3_classA!$G$2:$G$37,MATCH(MIN(ABS(AI254-ICL3_classA!$F$2:$F$37)),ABS(AI254-ICL3_classA!$F$2:$F$37),0))</f>
        <v>73</v>
      </c>
      <c r="U254" s="4">
        <f t="array" ref="U254">INDEX(ICL3_classA!$H$2:$H$37,MATCH(MIN(ABS(AI254-ICL3_classA!$F$2:$F$37)),ABS(AI254-ICL3_classA!$F$2:$F$37),0))</f>
        <v>22</v>
      </c>
      <c r="V254" s="4">
        <v>61</v>
      </c>
      <c r="W254" s="4">
        <v>28</v>
      </c>
      <c r="X254" s="4">
        <f>VLOOKUP($B254&amp;"__wt",'SegEnds_Xtal_BW#'!$A:$Z,24,FALSE)</f>
        <v>56</v>
      </c>
      <c r="Y254" s="4">
        <f>VLOOKUP($B254&amp;"__wt",'SegEnds_Xtal_BW#'!$A:$Z,25,FALSE)</f>
        <v>47</v>
      </c>
      <c r="Z254" s="4">
        <f>VLOOKUP($B254&amp;"__wt",'SegEnds_Xtal_BW#'!$A:$Z,26,FALSE)</f>
        <v>58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4">
        <f>VLOOKUP(A254,'SegEnds_NonXtal_Prot#'!A:AL,10,FALSE)-VLOOKUP(A254,'SegEnds_NonXtal_Prot#'!A:AL,7,FALSE)</f>
        <v>15</v>
      </c>
      <c r="AD254" s="4">
        <f>VLOOKUP(A254,'SegEnds_NonXtal_Prot#'!A:AL,13,FALSE)-VLOOKUP(A254,'SegEnds_NonXtal_Prot#'!A:AL,10,FALSE)</f>
        <v>21</v>
      </c>
      <c r="AE254" s="4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18</v>
      </c>
      <c r="AG254" s="4">
        <f>VLOOKUP(A254,'SegEnds_NonXtal_Prot#'!A:AL,28,FALSE)-VLOOKUP(A254,'SegEnds_NonXtal_Prot#'!A:AL,25,FALSE)</f>
        <v>26</v>
      </c>
      <c r="AH254" s="1">
        <f>VLOOKUP(A254,'SegEnds_NonXtal_Prot#'!A:AL,28,FALSE)-VLOOKUP(A254,'SegEnds_NonXtal_Prot#'!A:AL,22,FALSE)</f>
        <v>53</v>
      </c>
      <c r="AI254" s="4">
        <f>VLOOKUP(A254,'SegEnds_NonXtal_Prot#'!A:AL,31,FALSE)-VLOOKUP(A254,'SegEnds_NonXtal_Prot#'!A:AL,28,FALSE)</f>
        <v>56</v>
      </c>
      <c r="AJ254" s="4">
        <f>VLOOKUP(A254,'SegEnds_NonXtal_Prot#'!A:AL,34,FALSE)-VLOOKUP(A254,'SegEnds_NonXtal_Prot#'!A:AL,31,FALSE)</f>
        <v>39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370</v>
      </c>
      <c r="B255" s="1" t="str">
        <f>VLOOKUP(A255,Xtal_Templ!A:B,2,FALSE)</f>
        <v>p2ry1_human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INDEX(ICL3_classA!$G$2:$G$37,MATCH(MIN(ABS(AI255-ICL3_classA!$F$2:$F$37)),ABS(AI255-ICL3_classA!$F$2:$F$37),0))</f>
        <v>67</v>
      </c>
      <c r="U255" s="1">
        <f t="array" ref="U255">INDEX(ICL3_classA!$H$2:$H$37,MATCH(MIN(ABS(AI255-ICL3_classA!$F$2:$F$37)),ABS(AI255-ICL3_classA!$F$2:$F$37),0))</f>
        <v>26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 t="e">
        <f>VLOOKUP(A255,'SegEnds_NonXtal_Prot#'!A:AL,10,FALSE)-VLOOKUP(A255,'SegEnds_NonXtal_Prot#'!A:AL,7,FALSE)</f>
        <v>#VALUE!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25</v>
      </c>
      <c r="AH255" s="1">
        <f>VLOOKUP(A255,'SegEnds_NonXtal_Prot#'!A:AL,28,FALSE)-VLOOKUP(A255,'SegEnds_NonXtal_Prot#'!A:AL,22,FALSE)</f>
        <v>56</v>
      </c>
      <c r="AI255" s="1">
        <f>VLOOKUP(A255,'SegEnds_NonXtal_Prot#'!A:AL,31,FALSE)-VLOOKUP(A255,'SegEnds_NonXtal_Prot#'!A:AL,28,FALSE)</f>
        <v>46</v>
      </c>
      <c r="AJ255" s="1">
        <f>VLOOKUP(A255,'SegEnds_NonXtal_Prot#'!A:AL,34,FALSE)-VLOOKUP(A255,'SegEnds_NonXtal_Prot#'!A:AL,31,FALSE)</f>
        <v>46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371</v>
      </c>
      <c r="B256" s="1" t="str">
        <f>VLOOKUP(A256,Xtal_Templ!A:B,2,FALSE)</f>
        <v>ptafr_human</v>
      </c>
      <c r="C256" s="5">
        <f>VLOOKUP($B256&amp;"__wt",'SegEnds_Xtal_BW#'!$A:$Z,3,FALSE)</f>
        <v>27</v>
      </c>
      <c r="D256" s="1">
        <f>VLOOKUP($B256&amp;"__wt",'SegEnds_Xtal_BW#'!$A:$Z,4,FALSE)</f>
        <v>61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08">
        <v>36</v>
      </c>
      <c r="H256" s="12">
        <f>VLOOKUP($B256&amp;"__wt",'SegEnds_Xtal_BW#'!$A:$Z,8,FALSE)</f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f>VLOOKUP($B256&amp;"__wt",'SegEnds_Xtal_BW#'!$A:$Z,14,FALSE)</f>
        <v>57</v>
      </c>
      <c r="O256" s="87"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33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24</v>
      </c>
      <c r="V256" s="108">
        <v>64</v>
      </c>
      <c r="W256" s="1">
        <v>24</v>
      </c>
      <c r="X256" s="1">
        <f>VLOOKUP($B256&amp;"__wt",'SegEnds_Xtal_BW#'!$A:$Z,24,FALSE)</f>
        <v>59</v>
      </c>
      <c r="Y256" s="1">
        <f>VLOOKUP($B256&amp;"__wt",'SegEnds_Xtal_BW#'!$A:$Z,25,FALSE)</f>
        <v>50</v>
      </c>
      <c r="Z256" s="1">
        <f>VLOOKUP($B256&amp;"__wt",'SegEnds_Xtal_BW#'!$A:$Z,26,FALSE)</f>
        <v>63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30</v>
      </c>
      <c r="AC256" s="1" t="e">
        <f>VLOOKUP(A256,'SegEnds_NonXtal_Prot#'!A:AL,10,FALSE)-VLOOKUP(A256,'SegEnds_NonXtal_Prot#'!A:AL,7,FALSE)</f>
        <v>#VALUE!</v>
      </c>
      <c r="AD256" s="1">
        <f>VLOOKUP(A256,'SegEnds_NonXtal_Prot#'!A:AL,13,FALSE)-VLOOKUP(A256,'SegEnds_NonXtal_Prot#'!A:AL,10,FALSE)</f>
        <v>20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25</v>
      </c>
      <c r="AH256" s="1">
        <f>VLOOKUP(A256,'SegEnds_NonXtal_Prot#'!A:AL,28,FALSE)-VLOOKUP(A256,'SegEnds_NonXtal_Prot#'!A:AL,22,FALSE)</f>
        <v>56</v>
      </c>
      <c r="AI256" s="1">
        <f>VLOOKUP(A256,'SegEnds_NonXtal_Prot#'!A:AL,31,FALSE)-VLOOKUP(A256,'SegEnds_NonXtal_Prot#'!A:AL,28,FALSE)</f>
        <v>49</v>
      </c>
      <c r="AJ256" s="1">
        <f>VLOOKUP(A256,'SegEnds_NonXtal_Prot#'!A:AL,34,FALSE)-VLOOKUP(A256,'SegEnds_NonXtal_Prot#'!A:AL,31,FALSE)</f>
        <v>43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Xtal</v>
      </c>
    </row>
    <row r="257" spans="1:38" x14ac:dyDescent="0.2">
      <c r="A257" s="1" t="s">
        <v>1451</v>
      </c>
      <c r="B257" s="1" t="str">
        <f>VLOOKUP(A257,Xtal_Templ!A:B,2,FALSE)</f>
        <v>q08bg4_danre</v>
      </c>
      <c r="C257" s="5">
        <f>VLOOKUP($B257&amp;"__wt",'SegEnds_Xtal_BW#'!$A:$Z,3,FALSE)</f>
        <v>31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f>VLOOKUP($B257&amp;"__wt",'SegEnds_Xtal_BW#'!$A:$Z,11,FALSE)</f>
        <v>21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>
        <f>VLOOKUP($B257&amp;"__wt",'SegEnds_Xtal_BW#'!$A:$Z,14,FALSE)</f>
        <v>57</v>
      </c>
      <c r="O257" s="108">
        <f>VLOOKUP($B257&amp;"__wt",'SegEnds_Xtal_BW#'!$A:$Z,15,FALSE)</f>
        <v>38</v>
      </c>
      <c r="P257" s="1">
        <f>VLOOKUP($B257&amp;"__wt",'SegEnds_Xtal_BW#'!$A:$Z,16,FALSE)</f>
        <v>65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31</v>
      </c>
      <c r="T257" s="1">
        <f t="array" ref="T257">INDEX(ICL3_classA!$G$2:$G$37,MATCH(MIN(ABS(AI257-ICL3_classA!$F$2:$F$37)),ABS(AI257-ICL3_classA!$F$2:$F$37),0))</f>
        <v>68</v>
      </c>
      <c r="U257" s="1">
        <f t="array" ref="U257">INDEX(ICL3_classA!$H$2:$H$37,MATCH(MIN(ABS(AI257-ICL3_classA!$F$2:$F$37)),ABS(AI257-ICL3_classA!$F$2:$F$37),0))</f>
        <v>24</v>
      </c>
      <c r="V257" s="108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61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19</v>
      </c>
      <c r="AE257" s="1">
        <f>VLOOKUP(A257,'SegEnds_NonXtal_Prot#'!A:AL,16,FALSE)-VLOOKUP(A257,'SegEnds_NonXtal_Prot#'!A:AL,10,FALSE)</f>
        <v>51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28</v>
      </c>
      <c r="AH257" s="1">
        <f>VLOOKUP(A257,'SegEnds_NonXtal_Prot#'!A:AL,28,FALSE)-VLOOKUP(A257,'SegEnds_NonXtal_Prot#'!A:AL,22,FALSE)</f>
        <v>55</v>
      </c>
      <c r="AI257" s="1">
        <f>VLOOKUP(A257,'SegEnds_NonXtal_Prot#'!A:AL,31,FALSE)-VLOOKUP(A257,'SegEnds_NonXtal_Prot#'!A:AL,28,FALSE)</f>
        <v>49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Xtal</v>
      </c>
    </row>
    <row r="258" spans="1:38" x14ac:dyDescent="0.2">
      <c r="A258" s="1" t="s">
        <v>1524</v>
      </c>
      <c r="B258" s="1" t="str">
        <f>VLOOKUP(A258,Xtal_Templ!A:B,2,FALSE)</f>
        <v>q80km9_hcmv</v>
      </c>
      <c r="C258" s="5">
        <f>VLOOKUP($B258&amp;"__wt",'SegEnds_Xtal_BW#'!$A:$Z,3,FALSE)</f>
        <v>24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08">
        <v>21</v>
      </c>
      <c r="L258" s="1">
        <f>VLOOKUP($B258&amp;"__wt",'SegEnds_Xtal_BW#'!$A:$Z,12,FALSE)</f>
        <v>55</v>
      </c>
      <c r="M258" s="1" t="str">
        <f>VLOOKUP($B258&amp;"__wt",'SegEnds_Xtal_BW#'!$A:$Z,13,FALSE)</f>
        <v>-</v>
      </c>
      <c r="N258" s="12" t="str">
        <f>VLOOKUP($B258&amp;"__wt",'SegEnds_Xtal_BW#'!$A:$Z,14,FALSE)</f>
        <v>-</v>
      </c>
      <c r="O258" s="87">
        <f>VLOOKUP($B258&amp;"__wt",'SegEnds_Xtal_BW#'!$A:$Z,15,FALSE)</f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33</v>
      </c>
      <c r="T258" s="1">
        <f t="array" ref="T258">INDEX(ICL3_classA!$G$2:$G$37,MATCH(MIN(ABS(AI258-ICL3_classA!$F$2:$F$37)),ABS(AI258-ICL3_classA!$F$2:$F$37),0))</f>
        <v>68</v>
      </c>
      <c r="U258" s="1">
        <v>29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62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 t="e">
        <f>VLOOKUP(A258,'SegEnds_NonXtal_Prot#'!A:AL,13,FALSE)-VLOOKUP(A258,'SegEnds_NonXtal_Prot#'!A:AL,10,FALSE)</f>
        <v>#VALUE!</v>
      </c>
      <c r="AE258" s="1">
        <f>VLOOKUP(A258,'SegEnds_NonXtal_Prot#'!A:AL,16,FALSE)-VLOOKUP(A258,'SegEnds_NonXtal_Prot#'!A:AL,10,FALSE)</f>
        <v>50</v>
      </c>
      <c r="AF258" s="1" t="e">
        <f>VLOOKUP(A258,'SegEnds_NonXtal_Prot#'!A:AL,22,FALSE)-VLOOKUP(A258,'SegEnds_NonXtal_Prot#'!A:AL,19,FALSE)</f>
        <v>#VALUE!</v>
      </c>
      <c r="AG258" s="1">
        <f>VLOOKUP(A258,'SegEnds_NonXtal_Prot#'!A:AL,28,FALSE)-VLOOKUP(A258,'SegEnds_NonXtal_Prot#'!A:AL,25,FALSE)</f>
        <v>27</v>
      </c>
      <c r="AH258" s="1">
        <f>VLOOKUP(A258,'SegEnds_NonXtal_Prot#'!A:AL,28,FALSE)-VLOOKUP(A258,'SegEnds_NonXtal_Prot#'!A:AL,22,FALSE)</f>
        <v>48</v>
      </c>
      <c r="AI258" s="1">
        <f>VLOOKUP(A258,'SegEnds_NonXtal_Prot#'!A:AL,31,FALSE)-VLOOKUP(A258,'SegEnds_NonXtal_Prot#'!A:AL,28,FALSE)</f>
        <v>43</v>
      </c>
      <c r="AJ258" s="1">
        <f>VLOOKUP(A258,'SegEnds_NonXtal_Prot#'!A:AL,34,FALSE)-VLOOKUP(A258,'SegEnds_NonXtal_Prot#'!A:AL,31,FALSE)</f>
        <v>45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Xtal</v>
      </c>
    </row>
    <row r="259" spans="1:38" x14ac:dyDescent="0.2">
      <c r="A259" s="1" t="s">
        <v>1463</v>
      </c>
      <c r="B259" s="1" t="s">
        <v>1463</v>
      </c>
      <c r="C259" s="5">
        <f>VLOOKUP($B259&amp;"__wt",'SegEnds_Xtal_BW#'!$A:$Z,3,FALSE)</f>
        <v>29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f>VLOOKUP($B259&amp;"__wt",'SegEnds_Xtal_BW#'!$A:$Z,11,FALSE)</f>
        <v>21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57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31</v>
      </c>
      <c r="T259" s="1">
        <f t="array" ref="T259">INDEX(ICL3_classA!$G$2:$G$37,MATCH(MIN(ABS(AI259-ICL3_classA!$F$2:$F$37)),ABS(AI259-ICL3_classA!$F$2:$F$37),0))</f>
        <v>68</v>
      </c>
      <c r="U259" s="1">
        <f t="array" ref="U259">INDEX(ICL3_classA!$H$2:$H$37,MATCH(MIN(ABS(AI259-ICL3_classA!$F$2:$F$37)),ABS(AI259-ICL3_classA!$F$2:$F$37),0))</f>
        <v>30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61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19</v>
      </c>
      <c r="AE259" s="1">
        <f>VLOOKUP(A259,'SegEnds_NonXtal_Prot#'!A:AL,16,FALSE)-VLOOKUP(A259,'SegEnds_NonXtal_Prot#'!A:AL,10,FALSE)</f>
        <v>51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25</v>
      </c>
      <c r="AH259" s="1">
        <f>VLOOKUP(A259,'SegEnds_NonXtal_Prot#'!A:AL,28,FALSE)-VLOOKUP(A259,'SegEnds_NonXtal_Prot#'!A:AL,22,FALSE)</f>
        <v>51</v>
      </c>
      <c r="AI259" s="1">
        <f>VLOOKUP(A259,'SegEnds_NonXtal_Prot#'!A:AL,31,FALSE)-VLOOKUP(A259,'SegEnds_NonXtal_Prot#'!A:AL,28,FALSE)</f>
        <v>43</v>
      </c>
      <c r="AJ259" s="1">
        <f>VLOOKUP(A259,'SegEnds_NonXtal_Prot#'!A:AL,34,FALSE)-VLOOKUP(A259,'SegEnds_NonXtal_Prot#'!A:AL,31,FALSE)</f>
        <v>43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Xtal</v>
      </c>
    </row>
    <row r="260" spans="1:38" x14ac:dyDescent="0.2">
      <c r="A260" s="1" t="s">
        <v>372</v>
      </c>
      <c r="B260" s="1" t="str">
        <f>VLOOKUP(A260,Xtal_Templ!A:B,2,FALSE)</f>
        <v>ox2r_human</v>
      </c>
      <c r="C260" s="5">
        <f>VLOOKUP($B260&amp;"__wt",'SegEnds_Xtal_BW#'!$A:$Z,3,FALSE)</f>
        <v>31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33</v>
      </c>
      <c r="T260" s="1">
        <f t="array" ref="T260">INDEX(ICL3_classA!$G$2:$G$37,MATCH(MIN(ABS(AI260-ICL3_classA!$F$2:$F$37)),ABS(AI260-ICL3_classA!$F$2:$F$37),0))</f>
        <v>74</v>
      </c>
      <c r="U260" s="1">
        <f t="array" ref="U260">INDEX(ICL3_classA!$H$2:$H$37,MATCH(MIN(ABS(AI260-ICL3_classA!$F$2:$F$37)),ABS(AI260-ICL3_classA!$F$2:$F$37),0))</f>
        <v>21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20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25</v>
      </c>
      <c r="AH260" s="1">
        <f>VLOOKUP(A260,'SegEnds_NonXtal_Prot#'!A:AL,28,FALSE)-VLOOKUP(A260,'SegEnds_NonXtal_Prot#'!A:AL,22,FALSE)</f>
        <v>56</v>
      </c>
      <c r="AI260" s="1">
        <f>VLOOKUP(A260,'SegEnds_NonXtal_Prot#'!A:AL,31,FALSE)-VLOOKUP(A260,'SegEnds_NonXtal_Prot#'!A:AL,28,FALSE)</f>
        <v>62</v>
      </c>
      <c r="AJ260" s="1">
        <f>VLOOKUP(A260,'SegEnds_NonXtal_Prot#'!A:AL,34,FALSE)-VLOOKUP(A260,'SegEnds_NonXtal_Prot#'!A:AL,31,FALSE)</f>
        <v>41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373</v>
      </c>
      <c r="B261" s="1" t="str">
        <f>VLOOKUP(A261,Xtal_Templ!A:B,2,FALSE)</f>
        <v>agtr1_human</v>
      </c>
      <c r="C261" s="5">
        <f>VLOOKUP($B261&amp;"__wt",'SegEnds_Xtal_BW#'!$A:$Z,3,FALSE)</f>
        <v>30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58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34</v>
      </c>
      <c r="T261" s="1">
        <f t="array" ref="T261">INDEX(ICL3_classA!$G$2:$G$37,MATCH(MIN(ABS(AI261-ICL3_classA!$F$2:$F$37)),ABS(AI261-ICL3_classA!$F$2:$F$37),0))</f>
        <v>74</v>
      </c>
      <c r="U261" s="1">
        <f t="array" ref="U261">INDEX(ICL3_classA!$H$2:$H$37,MATCH(MIN(ABS(AI261-ICL3_classA!$F$2:$F$37)),ABS(AI261-ICL3_classA!$F$2:$F$37),0))</f>
        <v>21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29</v>
      </c>
      <c r="AC261" s="1">
        <f>VLOOKUP(A261,'SegEnds_NonXtal_Prot#'!A:AL,10,FALSE)-VLOOKUP(A261,'SegEnds_NonXtal_Prot#'!A:AL,7,FALSE)</f>
        <v>16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52</v>
      </c>
      <c r="AF261" s="1" t="e">
        <f>VLOOKUP(A261,'SegEnds_NonXtal_Prot#'!A:AL,22,FALSE)-VLOOKUP(A261,'SegEnds_NonXtal_Prot#'!A:AL,19,FALSE)</f>
        <v>#VALUE!</v>
      </c>
      <c r="AG261" s="1">
        <f>VLOOKUP(A261,'SegEnds_NonXtal_Prot#'!A:AL,28,FALSE)-VLOOKUP(A261,'SegEnds_NonXtal_Prot#'!A:AL,25,FALSE)</f>
        <v>32</v>
      </c>
      <c r="AH261" s="1">
        <f>VLOOKUP(A261,'SegEnds_NonXtal_Prot#'!A:AL,28,FALSE)-VLOOKUP(A261,'SegEnds_NonXtal_Prot#'!A:AL,22,FALSE)</f>
        <v>57</v>
      </c>
      <c r="AI261" s="1">
        <f>VLOOKUP(A261,'SegEnds_NonXtal_Prot#'!A:AL,31,FALSE)-VLOOKUP(A261,'SegEnds_NonXtal_Prot#'!A:AL,28,FALSE)</f>
        <v>62</v>
      </c>
      <c r="AJ261" s="1">
        <f>VLOOKUP(A261,'SegEnds_NonXtal_Prot#'!A:AL,34,FALSE)-VLOOKUP(A261,'SegEnds_NonXtal_Prot#'!A:AL,31,FALSE)</f>
        <v>45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374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INDEX(ICL3_classA!$G$2:$G$37,MATCH(MIN(ABS(AI262-ICL3_classA!$F$2:$F$37)),ABS(AI262-ICL3_classA!$F$2:$F$37),0))</f>
        <v>67</v>
      </c>
      <c r="U262" s="1">
        <f t="array" ref="U262">INDEX(ICL3_classA!$H$2:$H$37,MATCH(MIN(ABS(AI262-ICL3_classA!$F$2:$F$37)),ABS(AI262-ICL3_classA!$F$2:$F$37),0))</f>
        <v>28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30</v>
      </c>
      <c r="AC262" s="1">
        <f>VLOOKUP(A262,'SegEnds_NonXtal_Prot#'!A:AL,10,FALSE)-VLOOKUP(A262,'SegEnds_NonXtal_Prot#'!A:AL,7,FALSE)</f>
        <v>16</v>
      </c>
      <c r="AD262" s="1">
        <f>VLOOKUP(A262,'SegEnds_NonXtal_Prot#'!A:AL,13,FALSE)-VLOOKUP(A262,'SegEnds_NonXtal_Prot#'!A:AL,10,FALSE)</f>
        <v>20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25</v>
      </c>
      <c r="AH262" s="1">
        <f>VLOOKUP(A262,'SegEnds_NonXtal_Prot#'!A:AL,28,FALSE)-VLOOKUP(A262,'SegEnds_NonXtal_Prot#'!A:AL,22,FALSE)</f>
        <v>50</v>
      </c>
      <c r="AI262" s="1">
        <f>VLOOKUP(A262,'SegEnds_NonXtal_Prot#'!A:AL,31,FALSE)-VLOOKUP(A262,'SegEnds_NonXtal_Prot#'!A:AL,28,FALSE)</f>
        <v>45</v>
      </c>
      <c r="AJ262" s="1">
        <f>VLOOKUP(A262,'SegEnds_NonXtal_Prot#'!A:AL,34,FALSE)-VLOOKUP(A262,'SegEnds_NonXtal_Prot#'!A:AL,31,FALSE)</f>
        <v>45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375</v>
      </c>
      <c r="B263" s="1" t="str">
        <f>VLOOKUP(A263,Xtal_Templ!A:B,2,FALSE)</f>
        <v>aa1r_human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67</v>
      </c>
      <c r="I263" s="1">
        <f>VLOOKUP($B263&amp;"__wt",'SegEnds_Xtal_BW#'!$A:$Z,9,FALSE)</f>
        <v>50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08">
        <v>56</v>
      </c>
      <c r="O263" s="87">
        <f>VLOOKUP($B263&amp;"__wt",'SegEnds_Xtal_BW#'!$A:$Z,15,FALSE)</f>
        <v>38</v>
      </c>
      <c r="P263" s="1">
        <f>VLOOKUP($B263&amp;"__wt",'SegEnds_Xtal_BW#'!$A:$Z,16,FALSE)</f>
        <v>63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INDEX(ICL3_classA!$G$2:$G$37,MATCH(MIN(ABS(AI263-ICL3_classA!$F$2:$F$37)),ABS(AI263-ICL3_classA!$F$2:$F$37),0))</f>
        <v>72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69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59</v>
      </c>
      <c r="AF263" s="1">
        <f>VLOOKUP(A263,'SegEnds_NonXtal_Prot#'!A:AL,22,FALSE)-VLOOKUP(A263,'SegEnds_NonXtal_Prot#'!A:AL,19,FALSE)</f>
        <v>19</v>
      </c>
      <c r="AG263" s="1">
        <f>VLOOKUP(A263,'SegEnds_NonXtal_Prot#'!A:AL,28,FALSE)-VLOOKUP(A263,'SegEnds_NonXtal_Prot#'!A:AL,25,FALSE)</f>
        <v>28</v>
      </c>
      <c r="AH263" s="1">
        <f>VLOOKUP(A263,'SegEnds_NonXtal_Prot#'!A:AL,28,FALSE)-VLOOKUP(A263,'SegEnds_NonXtal_Prot#'!A:AL,22,FALSE)</f>
        <v>55</v>
      </c>
      <c r="AI263" s="1">
        <f>VLOOKUP(A263,'SegEnds_NonXtal_Prot#'!A:AL,31,FALSE)-VLOOKUP(A263,'SegEnds_NonXtal_Prot#'!A:AL,28,FALSE)</f>
        <v>52</v>
      </c>
      <c r="AJ263" s="1">
        <f>VLOOKUP(A263,'SegEnds_NonXtal_Prot#'!A:AL,34,FALSE)-VLOOKUP(A263,'SegEnds_NonXtal_Prot#'!A:AL,31,FALSE)</f>
        <v>35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376</v>
      </c>
      <c r="B264" s="1" t="str">
        <f>VLOOKUP(A264,Xtal_Templ!A:B,2,FALSE)</f>
        <v>aa1r_human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67</v>
      </c>
      <c r="I264" s="1">
        <f>VLOOKUP($B264&amp;"__wt",'SegEnds_Xtal_BW#'!$A:$Z,9,FALSE)</f>
        <v>50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08">
        <v>56</v>
      </c>
      <c r="O264" s="87">
        <f>VLOOKUP($B264&amp;"__wt",'SegEnds_Xtal_BW#'!$A:$Z,15,FALSE)</f>
        <v>38</v>
      </c>
      <c r="P264" s="1">
        <f>VLOOKUP($B264&amp;"__wt",'SegEnds_Xtal_BW#'!$A:$Z,16,FALSE)</f>
        <v>63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72</v>
      </c>
      <c r="U264" s="1">
        <f t="array" ref="U264">INDEX(ICL3_classA!$H$2:$H$37,MATCH(MIN(ABS(AI264-ICL3_classA!$F$2:$F$37)),ABS(AI264-ICL3_classA!$F$2:$F$37),0))</f>
        <v>24</v>
      </c>
      <c r="V264" s="1">
        <v>61</v>
      </c>
      <c r="W264" s="1">
        <v>31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69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24</v>
      </c>
      <c r="AE264" s="1">
        <f>VLOOKUP(A264,'SegEnds_NonXtal_Prot#'!A:AL,16,FALSE)-VLOOKUP(A264,'SegEnds_NonXtal_Prot#'!A:AL,10,FALSE)</f>
        <v>59</v>
      </c>
      <c r="AF264" s="1">
        <f>VLOOKUP(A264,'SegEnds_NonXtal_Prot#'!A:AL,22,FALSE)-VLOOKUP(A264,'SegEnds_NonXtal_Prot#'!A:AL,19,FALSE)</f>
        <v>19</v>
      </c>
      <c r="AG264" s="1">
        <f>VLOOKUP(A264,'SegEnds_NonXtal_Prot#'!A:AL,28,FALSE)-VLOOKUP(A264,'SegEnds_NonXtal_Prot#'!A:AL,25,FALSE)</f>
        <v>28</v>
      </c>
      <c r="AH264" s="1">
        <f>VLOOKUP(A264,'SegEnds_NonXtal_Prot#'!A:AL,28,FALSE)-VLOOKUP(A264,'SegEnds_NonXtal_Prot#'!A:AL,22,FALSE)</f>
        <v>55</v>
      </c>
      <c r="AI264" s="1">
        <f>VLOOKUP(A264,'SegEnds_NonXtal_Prot#'!A:AL,31,FALSE)-VLOOKUP(A264,'SegEnds_NonXtal_Prot#'!A:AL,28,FALSE)</f>
        <v>52</v>
      </c>
      <c r="AJ264" s="1">
        <f>VLOOKUP(A264,'SegEnds_NonXtal_Prot#'!A:AL,34,FALSE)-VLOOKUP(A264,'SegEnds_NonXtal_Prot#'!A:AL,31,FALSE)</f>
        <v>35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4" t="s">
        <v>104</v>
      </c>
      <c r="B265" s="4" t="str">
        <f>VLOOKUP(A265,Xtal_Templ!A:B,2,FALSE)</f>
        <v>s1pr1_human</v>
      </c>
      <c r="C265" s="5">
        <f>VLOOKUP($B265&amp;"__wt",'SegEnds_Xtal_BW#'!$A:$Z,3,FALSE)</f>
        <v>29</v>
      </c>
      <c r="D265" s="4">
        <f>VLOOKUP($B265&amp;"__wt",'SegEnds_Xtal_BW#'!$A:$Z,4,FALSE)</f>
        <v>60</v>
      </c>
      <c r="E265" s="4">
        <f>VLOOKUP($B265&amp;"__wt",'SegEnds_Xtal_BW#'!$A:$Z,5,FALSE)</f>
        <v>48</v>
      </c>
      <c r="F265" s="4">
        <f>VLOOKUP($B265&amp;"__wt",'SegEnds_Xtal_BW#'!$A:$Z,6,FALSE)</f>
        <v>51</v>
      </c>
      <c r="G265" s="4">
        <v>37</v>
      </c>
      <c r="H265" s="11">
        <v>63</v>
      </c>
      <c r="I265" s="4">
        <f>VLOOKUP($B265&amp;"__wt",'SegEnds_Xtal_BW#'!$A:$Z,9,FALSE)</f>
        <v>47</v>
      </c>
      <c r="J265" s="4">
        <f>VLOOKUP($B265&amp;"__wt",'SegEnds_Xtal_BW#'!$A:$Z,10,FALSE)</f>
        <v>53</v>
      </c>
      <c r="K265" s="11">
        <f>VLOOKUP($B265&amp;"__wt",'SegEnds_Xtal_BW#'!$A:$Z,11,FALSE)</f>
        <v>21</v>
      </c>
      <c r="L265" s="4">
        <f>VLOOKUP($B265&amp;"__wt",'SegEnds_Xtal_BW#'!$A:$Z,12,FALSE)</f>
        <v>56</v>
      </c>
      <c r="M265" s="4">
        <f>VLOOKUP($B265&amp;"__wt",'SegEnds_Xtal_BW#'!$A:$Z,13,FALSE)</f>
        <v>50</v>
      </c>
      <c r="N265" s="108">
        <f>VLOOKUP($B265&amp;"__wt",'SegEnds_Xtal_BW#'!$A:$Z,14,FALSE)</f>
        <v>56</v>
      </c>
      <c r="O265" s="87">
        <f>VLOOKUP($B265&amp;"__wt",'SegEnds_Xtal_BW#'!$A:$Z,15,FALSE)</f>
        <v>38</v>
      </c>
      <c r="P265" s="4">
        <f>VLOOKUP($B265&amp;"__wt",'SegEnds_Xtal_BW#'!$A:$Z,16,FALSE)</f>
        <v>63</v>
      </c>
      <c r="Q265" s="4" t="str">
        <f>VLOOKUP($B265&amp;"__wt",'SegEnds_Xtal_BW#'!$A:$Z,17,FALSE)</f>
        <v>-</v>
      </c>
      <c r="R265" s="4" t="str">
        <f>VLOOKUP($B265&amp;"__wt",'SegEnds_Xtal_BW#'!$A:$Z,18,FALSE)</f>
        <v>-</v>
      </c>
      <c r="S265" s="4">
        <f>VLOOKUP($B265&amp;"__wt",'SegEnds_Xtal_BW#'!$A:$Z,19,FALSE)</f>
        <v>36</v>
      </c>
      <c r="T265" s="4">
        <f t="array" ref="T265">INDEX(ICL3_classA!$G$2:$G$37,MATCH(MIN(ABS(AI265-ICL3_classA!$F$2:$F$37)),ABS(AI265-ICL3_classA!$F$2:$F$37),0))</f>
        <v>73</v>
      </c>
      <c r="U265" s="4">
        <f t="array" ref="U265">INDEX(ICL3_classA!$H$2:$H$37,MATCH(MIN(ABS(AI265-ICL3_classA!$F$2:$F$37)),ABS(AI265-ICL3_classA!$F$2:$F$37),0))</f>
        <v>24</v>
      </c>
      <c r="V265" s="4">
        <v>61</v>
      </c>
      <c r="W265" s="4">
        <v>30</v>
      </c>
      <c r="X265" s="1">
        <f>VLOOKUP($B265&amp;"__wt",'SegEnds_Xtal_BW#'!$A:$Z,24,FALSE)</f>
        <v>56</v>
      </c>
      <c r="Y265" s="4">
        <f>VLOOKUP($B265&amp;"__wt",'SegEnds_Xtal_BW#'!$A:$Z,25,FALSE)</f>
        <v>47</v>
      </c>
      <c r="Z265" s="4">
        <f>VLOOKUP($B265&amp;"__wt",'SegEnds_Xtal_BW#'!$A:$Z,26,FALSE)</f>
        <v>59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4">
        <f>VLOOKUP(A265,'SegEnds_NonXtal_Prot#'!A:AL,10,FALSE)-VLOOKUP(A265,'SegEnds_NonXtal_Prot#'!A:AL,7,FALSE)</f>
        <v>15</v>
      </c>
      <c r="AD265" s="4">
        <f>VLOOKUP(A265,'SegEnds_NonXtal_Prot#'!A:AL,13,FALSE)-VLOOKUP(A265,'SegEnds_NonXtal_Prot#'!A:AL,10,FALSE)</f>
        <v>18</v>
      </c>
      <c r="AE265" s="4">
        <f>VLOOKUP(A265,'SegEnds_NonXtal_Prot#'!A:AL,16,FALSE)-VLOOKUP(A265,'SegEnds_NonXtal_Prot#'!A:AL,10,FALSE)</f>
        <v>51</v>
      </c>
      <c r="AF265" s="1">
        <f>VLOOKUP(A265,'SegEnds_NonXtal_Prot#'!A:AL,22,FALSE)-VLOOKUP(A265,'SegEnds_NonXtal_Prot#'!A:AL,19,FALSE)</f>
        <v>19</v>
      </c>
      <c r="AG265" s="4" t="e">
        <f>VLOOKUP(A265,'SegEnds_NonXtal_Prot#'!A:AL,28,FALSE)-VLOOKUP(A265,'SegEnds_NonXtal_Prot#'!A:AL,25,FALSE)</f>
        <v>#VALUE!</v>
      </c>
      <c r="AH265" s="1">
        <f>VLOOKUP(A265,'SegEnds_NonXtal_Prot#'!A:AL,28,FALSE)-VLOOKUP(A265,'SegEnds_NonXtal_Prot#'!A:AL,22,FALSE)</f>
        <v>45</v>
      </c>
      <c r="AI265" s="4">
        <f>VLOOKUP(A265,'SegEnds_NonXtal_Prot#'!A:AL,31,FALSE)-VLOOKUP(A265,'SegEnds_NonXtal_Prot#'!A:AL,28,FALSE)</f>
        <v>58</v>
      </c>
      <c r="AJ265" s="4">
        <f>VLOOKUP(A265,'SegEnds_NonXtal_Prot#'!A:AL,34,FALSE)-VLOOKUP(A265,'SegEnds_NonXtal_Prot#'!A:AL,31,FALSE)</f>
        <v>37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Xtal</v>
      </c>
    </row>
    <row r="266" spans="1:38" x14ac:dyDescent="0.2">
      <c r="A266" s="1" t="s">
        <v>377</v>
      </c>
      <c r="B266" s="1" t="str">
        <f>VLOOKUP(A266,Xtal_Templ!A:B,2,FALSE)</f>
        <v>s1pr1_human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63</v>
      </c>
      <c r="I266" s="1">
        <f>VLOOKUP($B266&amp;"__wt",'SegEnds_Xtal_BW#'!$A:$Z,9,FALSE)</f>
        <v>47</v>
      </c>
      <c r="J266" s="1">
        <f>VLOOKUP($B266&amp;"__wt",'SegEnds_Xtal_BW#'!$A:$Z,10,FALSE)</f>
        <v>53</v>
      </c>
      <c r="K266" s="12"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08">
        <v>56</v>
      </c>
      <c r="O266" s="87">
        <f>VLOOKUP($B266&amp;"__wt",'SegEnds_Xtal_BW#'!$A:$Z,15,FALSE)</f>
        <v>38</v>
      </c>
      <c r="P266" s="1">
        <f>VLOOKUP($B266&amp;"__wt",'SegEnds_Xtal_BW#'!$A:$Z,16,FALSE)</f>
        <v>63</v>
      </c>
      <c r="Q266" s="1" t="str">
        <f>VLOOKUP($B266&amp;"__wt",'SegEnds_Xtal_BW#'!$A:$Z,17,FALSE)</f>
        <v>-</v>
      </c>
      <c r="R266" s="1" t="str">
        <f>VLOOKUP($B266&amp;"__wt",'SegEnds_Xtal_BW#'!$A:$Z,18,FALSE)</f>
        <v>-</v>
      </c>
      <c r="S266" s="1">
        <f>VLOOKUP($B266&amp;"__wt",'SegEnds_Xtal_BW#'!$A:$Z,19,FALSE)</f>
        <v>36</v>
      </c>
      <c r="T266" s="1">
        <f t="array" ref="T266">INDEX(ICL3_classA!$G$2:$G$37,MATCH(MIN(ABS(AI266-ICL3_classA!$F$2:$F$37)),ABS(AI266-ICL3_classA!$F$2:$F$37),0))</f>
        <v>67</v>
      </c>
      <c r="U266" s="1">
        <f t="array" ref="U266">INDEX(ICL3_classA!$H$2:$H$37,MATCH(MIN(ABS(AI266-ICL3_classA!$F$2:$F$37)),ABS(AI266-ICL3_classA!$F$2:$F$37),0))</f>
        <v>26</v>
      </c>
      <c r="V266" s="1">
        <v>61</v>
      </c>
      <c r="W266" s="1">
        <v>30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18</v>
      </c>
      <c r="AE266" s="1">
        <f>VLOOKUP(A266,'SegEnds_NonXtal_Prot#'!A:AL,16,FALSE)-VLOOKUP(A266,'SegEnds_NonXtal_Prot#'!A:AL,10,FALSE)</f>
        <v>51</v>
      </c>
      <c r="AF266" s="1">
        <f>VLOOKUP(A266,'SegEnds_NonXtal_Prot#'!A:AL,22,FALSE)-VLOOKUP(A266,'SegEnds_NonXtal_Prot#'!A:AL,19,FALSE)</f>
        <v>19</v>
      </c>
      <c r="AG266" s="1" t="e">
        <f>VLOOKUP(A266,'SegEnds_NonXtal_Prot#'!A:AL,28,FALSE)-VLOOKUP(A266,'SegEnds_NonXtal_Prot#'!A:AL,25,FALSE)</f>
        <v>#VALUE!</v>
      </c>
      <c r="AH266" s="1">
        <f>VLOOKUP(A266,'SegEnds_NonXtal_Prot#'!A:AL,28,FALSE)-VLOOKUP(A266,'SegEnds_NonXtal_Prot#'!A:AL,22,FALSE)</f>
        <v>45</v>
      </c>
      <c r="AI266" s="1">
        <f>VLOOKUP(A266,'SegEnds_NonXtal_Prot#'!A:AL,31,FALSE)-VLOOKUP(A266,'SegEnds_NonXtal_Prot#'!A:AL,28,FALSE)</f>
        <v>47</v>
      </c>
      <c r="AJ266" s="1">
        <f>VLOOKUP(A266,'SegEnds_NonXtal_Prot#'!A:AL,34,FALSE)-VLOOKUP(A266,'SegEnds_NonXtal_Prot#'!A:AL,31,FALSE)</f>
        <v>37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378</v>
      </c>
      <c r="B267" s="1" t="str">
        <f>VLOOKUP(A267,Xtal_Templ!A:B,2,FALSE)</f>
        <v>s1pr1_human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63</v>
      </c>
      <c r="I267" s="1">
        <f>VLOOKUP($B267&amp;"__wt",'SegEnds_Xtal_BW#'!$A:$Z,9,FALSE)</f>
        <v>47</v>
      </c>
      <c r="J267" s="1">
        <f>VLOOKUP($B267&amp;"__wt",'SegEnds_Xtal_BW#'!$A:$Z,10,FALSE)</f>
        <v>53</v>
      </c>
      <c r="K267" s="12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08">
        <v>56</v>
      </c>
      <c r="O267" s="87">
        <f>VLOOKUP($B267&amp;"__wt",'SegEnds_Xtal_BW#'!$A:$Z,15,FALSE)</f>
        <v>38</v>
      </c>
      <c r="P267" s="1">
        <f>VLOOKUP($B267&amp;"__wt",'SegEnds_Xtal_BW#'!$A:$Z,16,FALSE)</f>
        <v>63</v>
      </c>
      <c r="Q267" s="1" t="str">
        <f>VLOOKUP($B267&amp;"__wt",'SegEnds_Xtal_BW#'!$A:$Z,17,FALSE)</f>
        <v>-</v>
      </c>
      <c r="R267" s="1" t="str">
        <f>VLOOKUP($B267&amp;"__wt",'SegEnds_Xtal_BW#'!$A:$Z,18,FALSE)</f>
        <v>-</v>
      </c>
      <c r="S267" s="1">
        <f>VLOOKUP($B267&amp;"__wt",'SegEnds_Xtal_BW#'!$A:$Z,19,FALSE)</f>
        <v>36</v>
      </c>
      <c r="T267" s="1">
        <f t="array" ref="T267">INDEX(ICL3_classA!$G$2:$G$37,MATCH(MIN(ABS(AI267-ICL3_classA!$F$2:$F$37)),ABS(AI267-ICL3_classA!$F$2:$F$37),0))</f>
        <v>68</v>
      </c>
      <c r="U267" s="1">
        <f t="array" ref="U267">INDEX(ICL3_classA!$H$2:$H$37,MATCH(MIN(ABS(AI267-ICL3_classA!$F$2:$F$37)),ABS(AI267-ICL3_classA!$F$2:$F$37),0))</f>
        <v>23</v>
      </c>
      <c r="V267" s="1">
        <v>61</v>
      </c>
      <c r="W267" s="1">
        <v>30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59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>
        <f>VLOOKUP(A267,'SegEnds_NonXtal_Prot#'!A:AL,10,FALSE)-VLOOKUP(A267,'SegEnds_NonXtal_Prot#'!A:AL,7,FALSE)</f>
        <v>15</v>
      </c>
      <c r="AD267" s="1">
        <f>VLOOKUP(A267,'SegEnds_NonXtal_Prot#'!A:AL,13,FALSE)-VLOOKUP(A267,'SegEnds_NonXtal_Prot#'!A:AL,10,FALSE)</f>
        <v>18</v>
      </c>
      <c r="AE267" s="1">
        <f>VLOOKUP(A267,'SegEnds_NonXtal_Prot#'!A:AL,16,FALSE)-VLOOKUP(A267,'SegEnds_NonXtal_Prot#'!A:AL,10,FALSE)</f>
        <v>51</v>
      </c>
      <c r="AF267" s="1">
        <f>VLOOKUP(A267,'SegEnds_NonXtal_Prot#'!A:AL,22,FALSE)-VLOOKUP(A267,'SegEnds_NonXtal_Prot#'!A:AL,19,FALSE)</f>
        <v>19</v>
      </c>
      <c r="AG267" s="1" t="e">
        <f>VLOOKUP(A267,'SegEnds_NonXtal_Prot#'!A:AL,28,FALSE)-VLOOKUP(A267,'SegEnds_NonXtal_Prot#'!A:AL,25,FALSE)</f>
        <v>#VALUE!</v>
      </c>
      <c r="AH267" s="1">
        <f>VLOOKUP(A267,'SegEnds_NonXtal_Prot#'!A:AL,28,FALSE)-VLOOKUP(A267,'SegEnds_NonXtal_Prot#'!A:AL,22,FALSE)</f>
        <v>45</v>
      </c>
      <c r="AI267" s="1">
        <f>VLOOKUP(A267,'SegEnds_NonXtal_Prot#'!A:AL,31,FALSE)-VLOOKUP(A267,'SegEnds_NonXtal_Prot#'!A:AL,28,FALSE)</f>
        <v>51</v>
      </c>
      <c r="AJ267" s="1">
        <f>VLOOKUP(A267,'SegEnds_NonXtal_Prot#'!A:AL,34,FALSE)-VLOOKUP(A267,'SegEnds_NonXtal_Prot#'!A:AL,31,FALSE)</f>
        <v>37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379</v>
      </c>
      <c r="B268" s="1" t="str">
        <f>VLOOKUP(A268,Xtal_Templ!A:B,2,FALSE)</f>
        <v>s1pr1_human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63</v>
      </c>
      <c r="I268" s="1">
        <f>VLOOKUP($B268&amp;"__wt",'SegEnds_Xtal_BW#'!$A:$Z,9,FALSE)</f>
        <v>47</v>
      </c>
      <c r="J268" s="1">
        <f>VLOOKUP($B268&amp;"__wt",'SegEnds_Xtal_BW#'!$A:$Z,10,FALSE)</f>
        <v>53</v>
      </c>
      <c r="K268" s="12">
        <v>21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v>38</v>
      </c>
      <c r="P268" s="1">
        <f>VLOOKUP($B268&amp;"__wt",'SegEnds_Xtal_BW#'!$A:$Z,16,FALSE)</f>
        <v>63</v>
      </c>
      <c r="Q268" s="1" t="str">
        <f>VLOOKUP($B268&amp;"__wt",'SegEnds_Xtal_BW#'!$A:$Z,17,FALSE)</f>
        <v>-</v>
      </c>
      <c r="R268" s="1" t="str">
        <f>VLOOKUP($B268&amp;"__wt",'SegEnds_Xtal_BW#'!$A:$Z,18,FALSE)</f>
        <v>-</v>
      </c>
      <c r="S268" s="1">
        <f>VLOOKUP($B268&amp;"__wt",'SegEnds_Xtal_BW#'!$A:$Z,19,FALSE)</f>
        <v>36</v>
      </c>
      <c r="T268" s="1">
        <f t="array" ref="T268">INDEX(ICL3_classA!$G$2:$G$37,MATCH(MIN(ABS(AI268-ICL3_classA!$F$2:$F$37)),ABS(AI268-ICL3_classA!$F$2:$F$37),0))</f>
        <v>68</v>
      </c>
      <c r="U268" s="1">
        <f t="array" ref="U268">INDEX(ICL3_classA!$H$2:$H$37,MATCH(MIN(ABS(AI268-ICL3_classA!$F$2:$F$37)),ABS(AI268-ICL3_classA!$F$2:$F$37),0))</f>
        <v>23</v>
      </c>
      <c r="V268" s="1">
        <v>61</v>
      </c>
      <c r="W268" s="1">
        <v>30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59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18</v>
      </c>
      <c r="AE268" s="1">
        <f>VLOOKUP(A268,'SegEnds_NonXtal_Prot#'!A:AL,16,FALSE)-VLOOKUP(A268,'SegEnds_NonXtal_Prot#'!A:AL,10,FALSE)</f>
        <v>51</v>
      </c>
      <c r="AF268" s="1">
        <f>VLOOKUP(A268,'SegEnds_NonXtal_Prot#'!A:AL,22,FALSE)-VLOOKUP(A268,'SegEnds_NonXtal_Prot#'!A:AL,19,FALSE)</f>
        <v>20</v>
      </c>
      <c r="AG268" s="1" t="e">
        <f>VLOOKUP(A268,'SegEnds_NonXtal_Prot#'!A:AL,28,FALSE)-VLOOKUP(A268,'SegEnds_NonXtal_Prot#'!A:AL,25,FALSE)</f>
        <v>#VALUE!</v>
      </c>
      <c r="AH268" s="1">
        <f>VLOOKUP(A268,'SegEnds_NonXtal_Prot#'!A:AL,28,FALSE)-VLOOKUP(A268,'SegEnds_NonXtal_Prot#'!A:AL,22,FALSE)</f>
        <v>45</v>
      </c>
      <c r="AI268" s="1">
        <f>VLOOKUP(A268,'SegEnds_NonXtal_Prot#'!A:AL,31,FALSE)-VLOOKUP(A268,'SegEnds_NonXtal_Prot#'!A:AL,28,FALSE)</f>
        <v>51</v>
      </c>
      <c r="AJ268" s="1">
        <f>VLOOKUP(A268,'SegEnds_NonXtal_Prot#'!A:AL,34,FALSE)-VLOOKUP(A268,'SegEnds_NonXtal_Prot#'!A:AL,31,FALSE)</f>
        <v>38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380</v>
      </c>
      <c r="B269" s="1" t="str">
        <f>VLOOKUP(A269,Xtal_Templ!A:B,2,FALSE)</f>
        <v>s1pr1_human</v>
      </c>
      <c r="C269" s="5">
        <f>VLOOKUP($B269&amp;"__wt",'SegEnds_Xtal_BW#'!$A:$Z,3,FALSE)</f>
        <v>29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63</v>
      </c>
      <c r="I269" s="1">
        <f>VLOOKUP($B269&amp;"__wt",'SegEnds_Xtal_BW#'!$A:$Z,9,FALSE)</f>
        <v>47</v>
      </c>
      <c r="J269" s="1">
        <f>VLOOKUP($B269&amp;"__wt",'SegEnds_Xtal_BW#'!$A:$Z,10,FALSE)</f>
        <v>53</v>
      </c>
      <c r="K269" s="12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08">
        <v>56</v>
      </c>
      <c r="O269" s="87">
        <f>VLOOKUP($B269&amp;"__wt",'SegEnds_Xtal_BW#'!$A:$Z,15,FALSE)</f>
        <v>38</v>
      </c>
      <c r="P269" s="1">
        <f>VLOOKUP($B269&amp;"__wt",'SegEnds_Xtal_BW#'!$A:$Z,16,FALSE)</f>
        <v>63</v>
      </c>
      <c r="Q269" s="1" t="str">
        <f>VLOOKUP($B269&amp;"__wt",'SegEnds_Xtal_BW#'!$A:$Z,17,FALSE)</f>
        <v>-</v>
      </c>
      <c r="R269" s="1" t="str">
        <f>VLOOKUP($B269&amp;"__wt",'SegEnds_Xtal_BW#'!$A:$Z,18,FALSE)</f>
        <v>-</v>
      </c>
      <c r="S269" s="1">
        <f>VLOOKUP($B269&amp;"__wt",'SegEnds_Xtal_BW#'!$A:$Z,19,FALSE)</f>
        <v>36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21</v>
      </c>
      <c r="V269" s="1">
        <v>61</v>
      </c>
      <c r="W269" s="1">
        <v>30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18</v>
      </c>
      <c r="AE269" s="1">
        <f>VLOOKUP(A269,'SegEnds_NonXtal_Prot#'!A:AL,16,FALSE)-VLOOKUP(A269,'SegEnds_NonXtal_Prot#'!A:AL,10,FALSE)</f>
        <v>51</v>
      </c>
      <c r="AF269" s="1">
        <f>VLOOKUP(A269,'SegEnds_NonXtal_Prot#'!A:AL,22,FALSE)-VLOOKUP(A269,'SegEnds_NonXtal_Prot#'!A:AL,19,FALSE)</f>
        <v>19</v>
      </c>
      <c r="AG269" s="1" t="e">
        <f>VLOOKUP(A269,'SegEnds_NonXtal_Prot#'!A:AL,28,FALSE)-VLOOKUP(A269,'SegEnds_NonXtal_Prot#'!A:AL,25,FALSE)</f>
        <v>#VALUE!</v>
      </c>
      <c r="AH269" s="1">
        <f>VLOOKUP(A269,'SegEnds_NonXtal_Prot#'!A:AL,28,FALSE)-VLOOKUP(A269,'SegEnds_NonXtal_Prot#'!A:AL,22,FALSE)</f>
        <v>45</v>
      </c>
      <c r="AI269" s="1">
        <f>VLOOKUP(A269,'SegEnds_NonXtal_Prot#'!A:AL,31,FALSE)-VLOOKUP(A269,'SegEnds_NonXtal_Prot#'!A:AL,28,FALSE)</f>
        <v>62</v>
      </c>
      <c r="AJ269" s="1">
        <f>VLOOKUP(A269,'SegEnds_NonXtal_Prot#'!A:AL,34,FALSE)-VLOOKUP(A269,'SegEnds_NonXtal_Prot#'!A:AL,31,FALSE)</f>
        <v>37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381</v>
      </c>
      <c r="B270" s="1" t="str">
        <f>VLOOKUP(A270,Xtal_Templ!A:B,2,FALSE)</f>
        <v>oprk_human</v>
      </c>
      <c r="C270" s="5">
        <f>VLOOKUP($B270&amp;"__wt",'SegEnds_Xtal_BW#'!$A:$Z,3,FALSE)</f>
        <v>30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7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30</v>
      </c>
      <c r="T270" s="1">
        <f t="array" ref="T270">INDEX(ICL3_classA!$G$2:$G$37,MATCH(MIN(ABS(AI270-ICL3_classA!$F$2:$F$37)),ABS(AI270-ICL3_classA!$F$2:$F$37),0))</f>
        <v>68</v>
      </c>
      <c r="U270" s="1">
        <f t="array" ref="U270">INDEX(ICL3_classA!$H$2:$H$37,MATCH(MIN(ABS(AI270-ICL3_classA!$F$2:$F$37)),ABS(AI270-ICL3_classA!$F$2:$F$37),0))</f>
        <v>23</v>
      </c>
      <c r="V270" s="1">
        <v>61</v>
      </c>
      <c r="W270" s="1">
        <v>32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19</v>
      </c>
      <c r="AE270" s="1">
        <f>VLOOKUP(A270,'SegEnds_NonXtal_Prot#'!A:AL,16,FALSE)-VLOOKUP(A270,'SegEnds_NonXtal_Prot#'!A:AL,10,FALSE)</f>
        <v>51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27</v>
      </c>
      <c r="AH270" s="1">
        <f>VLOOKUP(A270,'SegEnds_NonXtal_Prot#'!A:AL,28,FALSE)-VLOOKUP(A270,'SegEnds_NonXtal_Prot#'!A:AL,22,FALSE)</f>
        <v>53</v>
      </c>
      <c r="AI270" s="1">
        <f>VLOOKUP(A270,'SegEnds_NonXtal_Prot#'!A:AL,31,FALSE)-VLOOKUP(A270,'SegEnds_NonXtal_Prot#'!A:AL,28,FALSE)</f>
        <v>51</v>
      </c>
      <c r="AJ270" s="1">
        <f>VLOOKUP(A270,'SegEnds_NonXtal_Prot#'!A:AL,34,FALSE)-VLOOKUP(A270,'SegEnds_NonXtal_Prot#'!A:AL,31,FALSE)</f>
        <v>34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382</v>
      </c>
      <c r="B271" s="1" t="str">
        <f>VLOOKUP(A271,Xtal_Templ!A:B,2,FALSE)</f>
        <v>oprk_human</v>
      </c>
      <c r="C271" s="5">
        <f>VLOOKUP($B271&amp;"__wt",'SegEnds_Xtal_BW#'!$A:$Z,3,FALSE)</f>
        <v>30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21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30</v>
      </c>
      <c r="T271" s="1">
        <f t="array" ref="T271">INDEX(ICL3_classA!$G$2:$G$37,MATCH(MIN(ABS(AI271-ICL3_classA!$F$2:$F$37)),ABS(AI271-ICL3_classA!$F$2:$F$37),0))</f>
        <v>68</v>
      </c>
      <c r="U271" s="1">
        <f t="array" ref="U271">INDEX(ICL3_classA!$H$2:$H$37,MATCH(MIN(ABS(AI271-ICL3_classA!$F$2:$F$37)),ABS(AI271-ICL3_classA!$F$2:$F$37),0))</f>
        <v>23</v>
      </c>
      <c r="V271" s="1">
        <v>61</v>
      </c>
      <c r="W271" s="1">
        <v>28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19</v>
      </c>
      <c r="AE271" s="1">
        <f>VLOOKUP(A271,'SegEnds_NonXtal_Prot#'!A:AL,16,FALSE)-VLOOKUP(A271,'SegEnds_NonXtal_Prot#'!A:AL,10,FALSE)</f>
        <v>51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27</v>
      </c>
      <c r="AH271" s="1">
        <f>VLOOKUP(A271,'SegEnds_NonXtal_Prot#'!A:AL,28,FALSE)-VLOOKUP(A271,'SegEnds_NonXtal_Prot#'!A:AL,22,FALSE)</f>
        <v>53</v>
      </c>
      <c r="AI271" s="1">
        <f>VLOOKUP(A271,'SegEnds_NonXtal_Prot#'!A:AL,31,FALSE)-VLOOKUP(A271,'SegEnds_NonXtal_Prot#'!A:AL,28,FALSE)</f>
        <v>51</v>
      </c>
      <c r="AJ271" s="1">
        <f>VLOOKUP(A271,'SegEnds_NonXtal_Prot#'!A:AL,34,FALSE)-VLOOKUP(A271,'SegEnds_NonXtal_Prot#'!A:AL,31,FALSE)</f>
        <v>38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383</v>
      </c>
      <c r="B272" s="1" t="str">
        <f>VLOOKUP(A272,Xtal_Templ!A:B,2,FALSE)</f>
        <v>oprk_human</v>
      </c>
      <c r="C272" s="5">
        <f>VLOOKUP($B272&amp;"__wt",'SegEnds_Xtal_BW#'!$A:$Z,3,FALSE)</f>
        <v>30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30</v>
      </c>
      <c r="T272" s="1">
        <f t="array" ref="T272">INDEX(ICL3_classA!$G$2:$G$37,MATCH(MIN(ABS(AI272-ICL3_classA!$F$2:$F$37)),ABS(AI272-ICL3_classA!$F$2:$F$37),0))</f>
        <v>72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"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19</v>
      </c>
      <c r="AE272" s="1">
        <f>VLOOKUP(A272,'SegEnds_NonXtal_Prot#'!A:AL,16,FALSE)-VLOOKUP(A272,'SegEnds_NonXtal_Prot#'!A:AL,10,FALSE)</f>
        <v>51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27</v>
      </c>
      <c r="AH272" s="1">
        <f>VLOOKUP(A272,'SegEnds_NonXtal_Prot#'!A:AL,28,FALSE)-VLOOKUP(A272,'SegEnds_NonXtal_Prot#'!A:AL,22,FALSE)</f>
        <v>50</v>
      </c>
      <c r="AI272" s="1">
        <f>VLOOKUP(A272,'SegEnds_NonXtal_Prot#'!A:AL,31,FALSE)-VLOOKUP(A272,'SegEnds_NonXtal_Prot#'!A:AL,28,FALSE)</f>
        <v>54</v>
      </c>
      <c r="AJ272" s="1">
        <f>VLOOKUP(A272,'SegEnds_NonXtal_Prot#'!A:AL,34,FALSE)-VLOOKUP(A272,'SegEnds_NonXtal_Prot#'!A:AL,31,FALSE)</f>
        <v>38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384</v>
      </c>
      <c r="B273" s="1" t="str">
        <f>VLOOKUP(A273,Xtal_Templ!A:B,2,FALSE)</f>
        <v>oprd_human</v>
      </c>
      <c r="C273" s="5">
        <f>VLOOKUP($B273&amp;"__wt",'SegEnds_Xtal_BW#'!$A:$Z,3,FALSE)</f>
        <v>22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7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INDEX(ICL3_classA!$G$2:$G$37,MATCH(MIN(ABS(AI273-ICL3_classA!$F$2:$F$37)),ABS(AI273-ICL3_classA!$F$2:$F$37),0))</f>
        <v>68</v>
      </c>
      <c r="U273" s="1">
        <f t="array" ref="U273">INDEX(ICL3_classA!$H$2:$H$37,MATCH(MIN(ABS(AI273-ICL3_classA!$F$2:$F$37)),ABS(AI273-ICL3_classA!$F$2:$F$37),0))</f>
        <v>23</v>
      </c>
      <c r="V273" s="1">
        <v>61</v>
      </c>
      <c r="W273" s="1">
        <v>32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60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19</v>
      </c>
      <c r="AE273" s="1">
        <f>VLOOKUP(A273,'SegEnds_NonXtal_Prot#'!A:AL,16,FALSE)-VLOOKUP(A273,'SegEnds_NonXtal_Prot#'!A:AL,10,FALSE)</f>
        <v>51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25</v>
      </c>
      <c r="AH273" s="1">
        <f>VLOOKUP(A273,'SegEnds_NonXtal_Prot#'!A:AL,28,FALSE)-VLOOKUP(A273,'SegEnds_NonXtal_Prot#'!A:AL,22,FALSE)</f>
        <v>52</v>
      </c>
      <c r="AI273" s="1">
        <f>VLOOKUP(A273,'SegEnds_NonXtal_Prot#'!A:AL,31,FALSE)-VLOOKUP(A273,'SegEnds_NonXtal_Prot#'!A:AL,28,FALSE)</f>
        <v>51</v>
      </c>
      <c r="AJ273" s="1">
        <f>VLOOKUP(A273,'SegEnds_NonXtal_Prot#'!A:AL,34,FALSE)-VLOOKUP(A273,'SegEnds_NonXtal_Prot#'!A:AL,31,FALSE)</f>
        <v>34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385</v>
      </c>
      <c r="B274" s="1" t="str">
        <f>VLOOKUP(A274,Xtal_Templ!A:B,2,FALSE)</f>
        <v>oprk_human</v>
      </c>
      <c r="C274" s="5">
        <f>VLOOKUP($B274&amp;"__wt",'SegEnds_Xtal_BW#'!$A:$Z,3,FALSE)</f>
        <v>30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30</v>
      </c>
      <c r="T274" s="1">
        <f t="array" ref="T274">INDEX(ICL3_classA!$G$2:$G$37,MATCH(MIN(ABS(AI274-ICL3_classA!$F$2:$F$37)),ABS(AI274-ICL3_classA!$F$2:$F$37),0))</f>
        <v>72</v>
      </c>
      <c r="U274" s="1">
        <f t="array" ref="U274">INDEX(ICL3_classA!$H$2:$H$37,MATCH(MIN(ABS(AI274-ICL3_classA!$F$2:$F$37)),ABS(AI274-ICL3_classA!$F$2:$F$37),0))</f>
        <v>29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19</v>
      </c>
      <c r="AE274" s="1">
        <f>VLOOKUP(A274,'SegEnds_NonXtal_Prot#'!A:AL,16,FALSE)-VLOOKUP(A274,'SegEnds_NonXtal_Prot#'!A:AL,10,FALSE)</f>
        <v>51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49</v>
      </c>
      <c r="AI274" s="1">
        <f>VLOOKUP(A274,'SegEnds_NonXtal_Prot#'!A:AL,31,FALSE)-VLOOKUP(A274,'SegEnds_NonXtal_Prot#'!A:AL,28,FALSE)</f>
        <v>50</v>
      </c>
      <c r="AJ274" s="1">
        <f>VLOOKUP(A274,'SegEnds_NonXtal_Prot#'!A:AL,34,FALSE)-VLOOKUP(A274,'SegEnds_NonXtal_Prot#'!A:AL,31,FALSE)</f>
        <v>38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386</v>
      </c>
      <c r="B275" s="1" t="str">
        <f>VLOOKUP(A275,Xtal_Templ!A:B,2,FALSE)</f>
        <v>p2ry1_human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 t="str">
        <f>VLOOKUP($B275&amp;"__wt",'SegEnds_Xtal_BW#'!$A:$Z,5,FALSE)</f>
        <v>-</v>
      </c>
      <c r="F275" s="1" t="str">
        <f>VLOOKUP($B275&amp;"__wt",'SegEnds_Xtal_BW#'!$A:$Z,6,FALSE)</f>
        <v>-</v>
      </c>
      <c r="G275" s="1">
        <v>37</v>
      </c>
      <c r="H275" s="12"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32</v>
      </c>
      <c r="T275" s="1">
        <f t="array" ref="T275">INDEX(ICL3_classA!$G$2:$G$37,MATCH(MIN(ABS(AI275-ICL3_classA!$F$2:$F$37)),ABS(AI275-ICL3_classA!$F$2:$F$37),0))</f>
        <v>68</v>
      </c>
      <c r="U275" s="1">
        <f t="array" ref="U275">INDEX(ICL3_classA!$H$2:$H$37,MATCH(MIN(ABS(AI275-ICL3_classA!$F$2:$F$37)),ABS(AI275-ICL3_classA!$F$2:$F$37),0))</f>
        <v>24</v>
      </c>
      <c r="V275" s="1">
        <v>64</v>
      </c>
      <c r="W275" s="1">
        <v>24</v>
      </c>
      <c r="X275" s="128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 t="e">
        <f>VLOOKUP(A275,'SegEnds_NonXtal_Prot#'!A:AL,10,FALSE)-VLOOKUP(A275,'SegEnds_NonXtal_Prot#'!A:AL,7,FALSE)</f>
        <v>#VALUE!</v>
      </c>
      <c r="AD275" s="1">
        <f>VLOOKUP(A275,'SegEnds_NonXtal_Prot#'!A:AL,13,FALSE)-VLOOKUP(A275,'SegEnds_NonXtal_Prot#'!A:AL,10,FALSE)</f>
        <v>19</v>
      </c>
      <c r="AE275" s="1">
        <f>VLOOKUP(A275,'SegEnds_NonXtal_Prot#'!A:AL,16,FALSE)-VLOOKUP(A275,'SegEnds_NonXtal_Prot#'!A:AL,10,FALSE)</f>
        <v>51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27</v>
      </c>
      <c r="AH275" s="1">
        <f>VLOOKUP(A275,'SegEnds_NonXtal_Prot#'!A:AL,28,FALSE)-VLOOKUP(A275,'SegEnds_NonXtal_Prot#'!A:AL,22,FALSE)</f>
        <v>52</v>
      </c>
      <c r="AI275" s="1">
        <f>VLOOKUP(A275,'SegEnds_NonXtal_Prot#'!A:AL,31,FALSE)-VLOOKUP(A275,'SegEnds_NonXtal_Prot#'!A:AL,28,FALSE)</f>
        <v>48</v>
      </c>
      <c r="AJ275" s="1">
        <f>VLOOKUP(A275,'SegEnds_NonXtal_Prot#'!A:AL,34,FALSE)-VLOOKUP(A275,'SegEnds_NonXtal_Prot#'!A:AL,31,FALSE)</f>
        <v>45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473</v>
      </c>
      <c r="B276" s="1" t="str">
        <f>VLOOKUP(A276,Xtal_Templ!A:B,2,FALSE)</f>
        <v>pe2r3_human</v>
      </c>
      <c r="C276" s="5">
        <f>VLOOKUP($B276&amp;"__wt",'SegEnds_Xtal_BW#'!$A:$Z,3,FALSE)</f>
        <v>36</v>
      </c>
      <c r="D276" s="1">
        <f>VLOOKUP($B276&amp;"__wt",'SegEnds_Xtal_BW#'!$A:$Z,4,FALSE)</f>
        <v>62</v>
      </c>
      <c r="E276" s="1" t="str">
        <f>VLOOKUP($B276&amp;"__wt",'SegEnds_Xtal_BW#'!$A:$Z,5,FALSE)</f>
        <v>-</v>
      </c>
      <c r="F276" s="1" t="str">
        <f>VLOOKUP($B276&amp;"__wt",'SegEnds_Xtal_BW#'!$A:$Z,6,FALSE)</f>
        <v>-</v>
      </c>
      <c r="G276" s="1">
        <v>37</v>
      </c>
      <c r="H276" s="12">
        <v>67</v>
      </c>
      <c r="I276" s="1">
        <f>VLOOKUP($B276&amp;"__wt",'SegEnds_Xtal_BW#'!$A:$Z,9,FALSE)</f>
        <v>48</v>
      </c>
      <c r="J276" s="1">
        <f>VLOOKUP($B276&amp;"__wt",'SegEnds_Xtal_BW#'!$A:$Z,10,FALSE)</f>
        <v>56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32</v>
      </c>
      <c r="T276" s="1">
        <f t="array" ref="T276">INDEX(ICL3_classA!$G$2:$G$37,MATCH(MIN(ABS(AI276-ICL3_classA!$F$2:$F$37)),ABS(AI276-ICL3_classA!$F$2:$F$37),0))</f>
        <v>68</v>
      </c>
      <c r="U276" s="1">
        <f t="array" ref="U276">INDEX(ICL3_classA!$H$2:$H$37,MATCH(MIN(ABS(AI276-ICL3_classA!$F$2:$F$37)),ABS(AI276-ICL3_classA!$F$2:$F$37),0))</f>
        <v>30</v>
      </c>
      <c r="V276" s="1">
        <v>64</v>
      </c>
      <c r="W276" s="1">
        <v>24</v>
      </c>
      <c r="X276" s="1">
        <f>VLOOKUP($B276&amp;"__wt",'SegEnds_Xtal_BW#'!$A:$Z,24,FALSE)</f>
        <v>53</v>
      </c>
      <c r="Y276" s="1">
        <f>VLOOKUP($B276&amp;"__wt",'SegEnds_Xtal_BW#'!$A:$Z,25,FALSE)</f>
        <v>44</v>
      </c>
      <c r="Z276" s="1">
        <f>VLOOKUP($B276&amp;"__wt",'SegEnds_Xtal_BW#'!$A:$Z,26,FALSE)</f>
        <v>66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32</v>
      </c>
      <c r="AC276" s="1" t="e">
        <f>VLOOKUP(A276,'SegEnds_NonXtal_Prot#'!A:AL,10,FALSE)-VLOOKUP(A276,'SegEnds_NonXtal_Prot#'!A:AL,7,FALSE)</f>
        <v>#VALUE!</v>
      </c>
      <c r="AD276" s="1">
        <f>VLOOKUP(A276,'SegEnds_NonXtal_Prot#'!A:AL,13,FALSE)-VLOOKUP(A276,'SegEnds_NonXtal_Prot#'!A:AL,10,FALSE)</f>
        <v>21</v>
      </c>
      <c r="AE276" s="1">
        <f>VLOOKUP(A276,'SegEnds_NonXtal_Prot#'!A:AL,16,FALSE)-VLOOKUP(A276,'SegEnds_NonXtal_Prot#'!A:AL,10,FALSE)</f>
        <v>56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35</v>
      </c>
      <c r="AH276" s="1">
        <f>VLOOKUP(A276,'SegEnds_NonXtal_Prot#'!A:AL,28,FALSE)-VLOOKUP(A276,'SegEnds_NonXtal_Prot#'!A:AL,22,FALSE)</f>
        <v>61</v>
      </c>
      <c r="AI276" s="1">
        <f>VLOOKUP(A276,'SegEnds_NonXtal_Prot#'!A:AL,31,FALSE)-VLOOKUP(A276,'SegEnds_NonXtal_Prot#'!A:AL,28,FALSE)</f>
        <v>42</v>
      </c>
      <c r="AJ276" s="1">
        <f>VLOOKUP(A276,'SegEnds_NonXtal_Prot#'!A:AL,34,FALSE)-VLOOKUP(A276,'SegEnds_NonXtal_Prot#'!A:AL,31,FALSE)</f>
        <v>45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387</v>
      </c>
      <c r="B277" s="1" t="str">
        <f>VLOOKUP(A277,Xtal_Templ!A:B,2,FALSE)</f>
        <v>drd2_human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7">
        <v>38</v>
      </c>
      <c r="P277" s="1">
        <f>VLOOKUP($B277&amp;"__wt",'SegEnds_Xtal_BW#'!$A:$Z,16,FALSE)</f>
        <v>62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INDEX(ICL3_classA!$G$2:$G$37,MATCH(MIN(ABS(AI277-ICL3_classA!$F$2:$F$37)),ABS(AI277-ICL3_classA!$F$2:$F$37),0))</f>
        <v>74</v>
      </c>
      <c r="U277" s="1">
        <f t="array" ref="U277">INDEX(ICL3_classA!$H$2:$H$37,MATCH(MIN(ABS(AI277-ICL3_classA!$F$2:$F$37)),ABS(AI277-ICL3_classA!$F$2:$F$37),0))</f>
        <v>21</v>
      </c>
      <c r="V277" s="1">
        <v>61</v>
      </c>
      <c r="W277" s="1">
        <v>31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>
        <f>VLOOKUP(A277,'SegEnds_NonXtal_Prot#'!A:AL,13,FALSE)-VLOOKUP(A277,'SegEnds_NonXtal_Prot#'!A:AL,10,FALSE)</f>
        <v>20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20</v>
      </c>
      <c r="AH277" s="1">
        <f>VLOOKUP(A277,'SegEnds_NonXtal_Prot#'!A:AL,28,FALSE)-VLOOKUP(A277,'SegEnds_NonXtal_Prot#'!A:AL,22,FALSE)</f>
        <v>54</v>
      </c>
      <c r="AI277" s="1">
        <f>VLOOKUP(A277,'SegEnds_NonXtal_Prot#'!A:AL,31,FALSE)-VLOOKUP(A277,'SegEnds_NonXtal_Prot#'!A:AL,28,FALSE)</f>
        <v>64</v>
      </c>
      <c r="AJ277" s="1">
        <f>VLOOKUP(A277,'SegEnds_NonXtal_Prot#'!A:AL,34,FALSE)-VLOOKUP(A277,'SegEnds_NonXtal_Prot#'!A:AL,31,FALSE)</f>
        <v>35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388</v>
      </c>
      <c r="B278" s="1" t="str">
        <f>VLOOKUP(A278,Xtal_Templ!A:B,2,FALSE)</f>
        <v>drd2_human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f>VLOOKUP($B278&amp;"__wt",'SegEnds_Xtal_BW#'!$A:$Z,15,FALSE)</f>
        <v>38</v>
      </c>
      <c r="P278" s="1">
        <f>VLOOKUP($B278&amp;"__wt",'SegEnds_Xtal_BW#'!$A:$Z,16,FALSE)</f>
        <v>62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INDEX(ICL3_classA!$G$2:$G$37,MATCH(MIN(ABS(AI278-ICL3_classA!$F$2:$F$37)),ABS(AI278-ICL3_classA!$F$2:$F$37),0))</f>
        <v>73</v>
      </c>
      <c r="U278" s="1">
        <f t="array" ref="U278">INDEX(ICL3_classA!$H$2:$H$37,MATCH(MIN(ABS(AI278-ICL3_classA!$F$2:$F$37)),ABS(AI278-ICL3_classA!$F$2:$F$37),0))</f>
        <v>22</v>
      </c>
      <c r="V278" s="1">
        <v>61</v>
      </c>
      <c r="W278" s="1">
        <v>31</v>
      </c>
      <c r="X278" s="108"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20</v>
      </c>
      <c r="AH278" s="1">
        <f>VLOOKUP(A278,'SegEnds_NonXtal_Prot#'!A:AL,28,FALSE)-VLOOKUP(A278,'SegEnds_NonXtal_Prot#'!A:AL,22,FALSE)</f>
        <v>53</v>
      </c>
      <c r="AI278" s="1">
        <f>VLOOKUP(A278,'SegEnds_NonXtal_Prot#'!A:AL,31,FALSE)-VLOOKUP(A278,'SegEnds_NonXtal_Prot#'!A:AL,28,FALSE)</f>
        <v>56</v>
      </c>
      <c r="AJ278" s="1">
        <f>VLOOKUP(A278,'SegEnds_NonXtal_Prot#'!A:AL,34,FALSE)-VLOOKUP(A278,'SegEnds_NonXtal_Prot#'!A:AL,31,FALSE)</f>
        <v>35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389</v>
      </c>
      <c r="B279" s="1" t="str">
        <f>VLOOKUP(A279,Xtal_Templ!A:B,2,FALSE)</f>
        <v>drd2_human</v>
      </c>
      <c r="C279" s="5">
        <f>VLOOKUP($B279&amp;"__wt",'SegEnds_Xtal_BW#'!$A:$Z,3,FALSE)</f>
        <v>29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INDEX(ICL3_classA!$G$2:$G$37,MATCH(MIN(ABS(AI279-ICL3_classA!$F$2:$F$37)),ABS(AI279-ICL3_classA!$F$2:$F$37),0))</f>
        <v>74</v>
      </c>
      <c r="U279" s="1">
        <f t="array" ref="U279">INDEX(ICL3_classA!$H$2:$H$37,MATCH(MIN(ABS(AI279-ICL3_classA!$F$2:$F$37)),ABS(AI279-ICL3_classA!$F$2:$F$37),0))</f>
        <v>21</v>
      </c>
      <c r="V279" s="1">
        <v>61</v>
      </c>
      <c r="W279" s="1">
        <v>31</v>
      </c>
      <c r="X279" s="108"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20</v>
      </c>
      <c r="AH279" s="1">
        <f>VLOOKUP(A279,'SegEnds_NonXtal_Prot#'!A:AL,28,FALSE)-VLOOKUP(A279,'SegEnds_NonXtal_Prot#'!A:AL,22,FALSE)</f>
        <v>53</v>
      </c>
      <c r="AI279" s="1">
        <f>VLOOKUP(A279,'SegEnds_NonXtal_Prot#'!A:AL,31,FALSE)-VLOOKUP(A279,'SegEnds_NonXtal_Prot#'!A:AL,28,FALSE)</f>
        <v>62</v>
      </c>
      <c r="AJ279" s="1">
        <f>VLOOKUP(A279,'SegEnds_NonXtal_Prot#'!A:AL,34,FALSE)-VLOOKUP(A279,'SegEnds_NonXtal_Prot#'!A:AL,31,FALSE)</f>
        <v>35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390</v>
      </c>
      <c r="B280" s="1" t="str">
        <f>VLOOKUP(A280,Xtal_Templ!A:B,2,FALSE)</f>
        <v>5ht1b_human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INDEX(ICL3_classA!$G$2:$G$37,MATCH(MIN(ABS(AI280-ICL3_classA!$F$2:$F$37)),ABS(AI280-ICL3_classA!$F$2:$F$37),0))</f>
        <v>73</v>
      </c>
      <c r="U280" s="1">
        <f t="array" ref="U280">INDEX(ICL3_classA!$H$2:$H$37,MATCH(MIN(ABS(AI280-ICL3_classA!$F$2:$F$37)),ABS(AI280-ICL3_classA!$F$2:$F$37),0))</f>
        <v>22</v>
      </c>
      <c r="V280" s="1">
        <v>61</v>
      </c>
      <c r="W280" s="1">
        <v>31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19</v>
      </c>
      <c r="AH280" s="1">
        <f>VLOOKUP(A280,'SegEnds_NonXtal_Prot#'!A:AL,28,FALSE)-VLOOKUP(A280,'SegEnds_NonXtal_Prot#'!A:AL,22,FALSE)</f>
        <v>52</v>
      </c>
      <c r="AI280" s="1">
        <f>VLOOKUP(A280,'SegEnds_NonXtal_Prot#'!A:AL,31,FALSE)-VLOOKUP(A280,'SegEnds_NonXtal_Prot#'!A:AL,28,FALSE)</f>
        <v>56</v>
      </c>
      <c r="AJ280" s="1">
        <f>VLOOKUP(A280,'SegEnds_NonXtal_Prot#'!A:AL,34,FALSE)-VLOOKUP(A280,'SegEnds_NonXtal_Prot#'!A:AL,31,FALSE)</f>
        <v>35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391</v>
      </c>
      <c r="B281" s="1" t="str">
        <f>VLOOKUP(A281,Xtal_Templ!A:B,2,FALSE)</f>
        <v>5ht1b_human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68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v>35</v>
      </c>
      <c r="T281" s="1">
        <f t="array" ref="T281">INDEX(ICL3_classA!$G$2:$G$37,MATCH(MIN(ABS(AI281-ICL3_classA!$F$2:$F$37)),ABS(AI281-ICL3_classA!$F$2:$F$37),0))</f>
        <v>74</v>
      </c>
      <c r="U281" s="1">
        <f t="array" ref="U281">INDEX(ICL3_classA!$H$2:$H$37,MATCH(MIN(ABS(AI281-ICL3_classA!$F$2:$F$37)),ABS(AI281-ICL3_classA!$F$2:$F$37),0))</f>
        <v>21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19</v>
      </c>
      <c r="AH281" s="1">
        <f>VLOOKUP(A281,'SegEnds_NonXtal_Prot#'!A:AL,28,FALSE)-VLOOKUP(A281,'SegEnds_NonXtal_Prot#'!A:AL,22,FALSE)</f>
        <v>52</v>
      </c>
      <c r="AI281" s="1">
        <f>VLOOKUP(A281,'SegEnds_NonXtal_Prot#'!A:AL,31,FALSE)-VLOOKUP(A281,'SegEnds_NonXtal_Prot#'!A:AL,28,FALSE)</f>
        <v>64</v>
      </c>
      <c r="AJ281" s="1">
        <f>VLOOKUP(A281,'SegEnds_NonXtal_Prot#'!A:AL,34,FALSE)-VLOOKUP(A281,'SegEnds_NonXtal_Prot#'!A:AL,31,FALSE)</f>
        <v>35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392</v>
      </c>
      <c r="B282" s="1" t="str">
        <f>VLOOKUP(A282,Xtal_Templ!A:B,2,FALSE)</f>
        <v>5ht1b_human</v>
      </c>
      <c r="C282" s="5">
        <f>VLOOKUP($B282&amp;"__wt",'SegEnds_Xtal_BW#'!$A:$Z,3,FALSE)</f>
        <v>28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68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v>35</v>
      </c>
      <c r="T282" s="1">
        <f t="array" ref="T282">INDEX(ICL3_classA!$G$2:$G$37,MATCH(MIN(ABS(AI282-ICL3_classA!$F$2:$F$37)),ABS(AI282-ICL3_classA!$F$2:$F$37),0))</f>
        <v>74</v>
      </c>
      <c r="U282" s="1">
        <f t="array" ref="U282">INDEX(ICL3_classA!$H$2:$H$37,MATCH(MIN(ABS(AI282-ICL3_classA!$F$2:$F$37)),ABS(AI282-ICL3_classA!$F$2:$F$37),0))</f>
        <v>21</v>
      </c>
      <c r="V282" s="1">
        <v>61</v>
      </c>
      <c r="W282" s="1">
        <v>31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58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19</v>
      </c>
      <c r="AH282" s="1">
        <f>VLOOKUP(A282,'SegEnds_NonXtal_Prot#'!A:AL,28,FALSE)-VLOOKUP(A282,'SegEnds_NonXtal_Prot#'!A:AL,22,FALSE)</f>
        <v>52</v>
      </c>
      <c r="AI282" s="1">
        <f>VLOOKUP(A282,'SegEnds_NonXtal_Prot#'!A:AL,31,FALSE)-VLOOKUP(A282,'SegEnds_NonXtal_Prot#'!A:AL,28,FALSE)</f>
        <v>64</v>
      </c>
      <c r="AJ282" s="1">
        <f>VLOOKUP(A282,'SegEnds_NonXtal_Prot#'!A:AL,34,FALSE)-VLOOKUP(A282,'SegEnds_NonXtal_Prot#'!A:AL,31,FALSE)</f>
        <v>35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393</v>
      </c>
      <c r="B283" s="1" t="str">
        <f>VLOOKUP(A283,Xtal_Templ!A:B,2,FALSE)</f>
        <v>5ht1b_human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68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v>35</v>
      </c>
      <c r="T283" s="1">
        <f t="array" ref="T283">INDEX(ICL3_classA!$G$2:$G$37,MATCH(MIN(ABS(AI283-ICL3_classA!$F$2:$F$37)),ABS(AI283-ICL3_classA!$F$2:$F$37),0))</f>
        <v>74</v>
      </c>
      <c r="U283" s="1">
        <f t="array" ref="U283">INDEX(ICL3_classA!$H$2:$H$37,MATCH(MIN(ABS(AI283-ICL3_classA!$F$2:$F$37)),ABS(AI283-ICL3_classA!$F$2:$F$37),0))</f>
        <v>21</v>
      </c>
      <c r="V283" s="1">
        <v>61</v>
      </c>
      <c r="W283" s="1">
        <v>31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19</v>
      </c>
      <c r="AH283" s="1">
        <f>VLOOKUP(A283,'SegEnds_NonXtal_Prot#'!A:AL,28,FALSE)-VLOOKUP(A283,'SegEnds_NonXtal_Prot#'!A:AL,22,FALSE)</f>
        <v>52</v>
      </c>
      <c r="AI283" s="1">
        <f>VLOOKUP(A283,'SegEnds_NonXtal_Prot#'!A:AL,31,FALSE)-VLOOKUP(A283,'SegEnds_NonXtal_Prot#'!A:AL,28,FALSE)</f>
        <v>64</v>
      </c>
      <c r="AJ283" s="1">
        <f>VLOOKUP(A283,'SegEnds_NonXtal_Prot#'!A:AL,34,FALSE)-VLOOKUP(A283,'SegEnds_NonXtal_Prot#'!A:AL,31,FALSE)</f>
        <v>35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394</v>
      </c>
      <c r="B284" s="1" t="str">
        <f>VLOOKUP(A284,Xtal_Templ!A:B,2,FALSE)</f>
        <v>oprx_human</v>
      </c>
      <c r="C284" s="5">
        <f>VLOOKUP($B284&amp;"__wt",'SegEnds_Xtal_BW#'!$A:$Z,3,FALSE)</f>
        <v>29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76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">
        <v>31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24</v>
      </c>
      <c r="AH284" s="1">
        <f>VLOOKUP(A284,'SegEnds_NonXtal_Prot#'!A:AL,28,FALSE)-VLOOKUP(A284,'SegEnds_NonXtal_Prot#'!A:AL,22,FALSE)</f>
        <v>53</v>
      </c>
      <c r="AI284" s="1">
        <f>VLOOKUP(A284,'SegEnds_NonXtal_Prot#'!A:AL,31,FALSE)-VLOOKUP(A284,'SegEnds_NonXtal_Prot#'!A:AL,28,FALSE)</f>
        <v>78</v>
      </c>
      <c r="AJ284" s="1">
        <f>VLOOKUP(A284,'SegEnds_NonXtal_Prot#'!A:AL,34,FALSE)-VLOOKUP(A284,'SegEnds_NonXtal_Prot#'!A:AL,31,FALSE)</f>
        <v>36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395</v>
      </c>
      <c r="B285" s="1" t="str">
        <f>VLOOKUP(A285,Xtal_Templ!A:B,2,FALSE)</f>
        <v>aa2ar_human</v>
      </c>
      <c r="C285" s="5">
        <f>VLOOKUP($B285&amp;"__wt",'SegEnds_Xtal_BW#'!$A:$Z,3,FALSE)</f>
        <v>27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34</v>
      </c>
      <c r="T285" s="1">
        <f t="array" ref="T285">INDEX(ICL3_classA!$G$2:$G$37,MATCH(MIN(ABS(AI285-ICL3_classA!$F$2:$F$37)),ABS(AI285-ICL3_classA!$F$2:$F$37),0))</f>
        <v>67</v>
      </c>
      <c r="U285" s="1">
        <f t="array" ref="U285">INDEX(ICL3_classA!$H$2:$H$37,MATCH(MIN(ABS(AI285-ICL3_classA!$F$2:$F$37)),ABS(AI285-ICL3_classA!$F$2:$F$37),0))</f>
        <v>26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14</v>
      </c>
      <c r="AD285" s="1">
        <f>VLOOKUP(A285,'SegEnds_NonXtal_Prot#'!A:AL,13,FALSE)-VLOOKUP(A285,'SegEnds_NonXtal_Prot#'!A:AL,10,FALSE)</f>
        <v>28</v>
      </c>
      <c r="AE285" s="1">
        <f>VLOOKUP(A285,'SegEnds_NonXtal_Prot#'!A:AL,16,FALSE)-VLOOKUP(A285,'SegEnds_NonXtal_Prot#'!A:AL,10,FALSE)</f>
        <v>59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24</v>
      </c>
      <c r="AH285" s="1">
        <f>VLOOKUP(A285,'SegEnds_NonXtal_Prot#'!A:AL,28,FALSE)-VLOOKUP(A285,'SegEnds_NonXtal_Prot#'!A:AL,22,FALSE)</f>
        <v>47</v>
      </c>
      <c r="AI285" s="1">
        <f>VLOOKUP(A285,'SegEnds_NonXtal_Prot#'!A:AL,31,FALSE)-VLOOKUP(A285,'SegEnds_NonXtal_Prot#'!A:AL,28,FALSE)</f>
        <v>46</v>
      </c>
      <c r="AJ285" s="1">
        <f>VLOOKUP(A285,'SegEnds_NonXtal_Prot#'!A:AL,34,FALSE)-VLOOKUP(A285,'SegEnds_NonXtal_Prot#'!A:AL,31,FALSE)</f>
        <v>36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396</v>
      </c>
      <c r="B286" s="1" t="str">
        <f>VLOOKUP(A286,Xtal_Templ!A:B,2,FALSE)</f>
        <v>adrb2_human</v>
      </c>
      <c r="C286" s="5">
        <f>VLOOKUP($B286&amp;"__wt",'SegEnds_Xtal_BW#'!$A:$Z,3,FALSE)</f>
        <v>25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21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08">
        <v>56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35</v>
      </c>
      <c r="T286" s="1">
        <f t="array" ref="T286">INDEX(ICL3_classA!$G$2:$G$37,MATCH(MIN(ABS(AI286-ICL3_classA!$F$2:$F$37)),ABS(AI286-ICL3_classA!$F$2:$F$37),0))</f>
        <v>72</v>
      </c>
      <c r="U286" s="1">
        <f t="array" ref="U286">INDEX(ICL3_classA!$H$2:$H$37,MATCH(MIN(ABS(AI286-ICL3_classA!$F$2:$F$37)),ABS(AI286-ICL3_classA!$F$2:$F$37),0))</f>
        <v>29</v>
      </c>
      <c r="V286" s="1">
        <v>61</v>
      </c>
      <c r="W286" s="1">
        <v>28</v>
      </c>
      <c r="X286" s="108"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19</v>
      </c>
      <c r="AE286" s="1">
        <f>VLOOKUP(A286,'SegEnds_NonXtal_Prot#'!A:AL,16,FALSE)-VLOOKUP(A286,'SegEnds_NonXtal_Prot#'!A:AL,10,FALSE)</f>
        <v>51</v>
      </c>
      <c r="AF286" s="1">
        <f>VLOOKUP(A286,'SegEnds_NonXtal_Prot#'!A:AL,22,FALSE)-VLOOKUP(A286,'SegEnds_NonXtal_Prot#'!A:AL,19,FALSE)</f>
        <v>19</v>
      </c>
      <c r="AG286" s="1">
        <f>VLOOKUP(A286,'SegEnds_NonXtal_Prot#'!A:AL,28,FALSE)-VLOOKUP(A286,'SegEnds_NonXtal_Prot#'!A:AL,25,FALSE)</f>
        <v>24</v>
      </c>
      <c r="AH286" s="1">
        <f>VLOOKUP(A286,'SegEnds_NonXtal_Prot#'!A:AL,28,FALSE)-VLOOKUP(A286,'SegEnds_NonXtal_Prot#'!A:AL,22,FALSE)</f>
        <v>49</v>
      </c>
      <c r="AI286" s="1">
        <f>VLOOKUP(A286,'SegEnds_NonXtal_Prot#'!A:AL,31,FALSE)-VLOOKUP(A286,'SegEnds_NonXtal_Prot#'!A:AL,28,FALSE)</f>
        <v>50</v>
      </c>
      <c r="AJ286" s="1">
        <f>VLOOKUP(A286,'SegEnds_NonXtal_Prot#'!A:AL,34,FALSE)-VLOOKUP(A286,'SegEnds_NonXtal_Prot#'!A:AL,31,FALSE)</f>
        <v>39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924</v>
      </c>
      <c r="B287" s="1" t="str">
        <f>VLOOKUP(A287,Xtal_Templ!A:B,2,FALSE)</f>
        <v>us28_hcmva</v>
      </c>
      <c r="C287" s="5">
        <f>VLOOKUP($B287&amp;"__wt",'SegEnds_Xtal_BW#'!$A:$Z,3,FALSE)</f>
        <v>24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 t="str">
        <f>VLOOKUP($B287&amp;"__wt",'SegEnds_Xtal_BW#'!$A:$Z,9,FALSE)</f>
        <v>-</v>
      </c>
      <c r="J287" s="1" t="str">
        <f>VLOOKUP($B287&amp;"__wt",'SegEnds_Xtal_BW#'!$A:$Z,10,FALSE)</f>
        <v>-</v>
      </c>
      <c r="K287" s="108">
        <v>21</v>
      </c>
      <c r="L287" s="1">
        <f>VLOOKUP($B287&amp;"__wt",'SegEnds_Xtal_BW#'!$A:$Z,12,FALSE)</f>
        <v>55</v>
      </c>
      <c r="M287" s="1" t="str">
        <f>VLOOKUP($B287&amp;"__wt",'SegEnds_Xtal_BW#'!$A:$Z,13,FALSE)</f>
        <v>-</v>
      </c>
      <c r="N287" s="12" t="str">
        <f>VLOOKUP($B287&amp;"__wt",'SegEnds_Xtal_BW#'!$A:$Z,14,FALSE)</f>
        <v>-</v>
      </c>
      <c r="O287" s="87">
        <f>VLOOKUP($B287&amp;"__wt",'SegEnds_Xtal_BW#'!$A:$Z,15,FALSE)</f>
        <v>38</v>
      </c>
      <c r="P287" s="1">
        <f>VLOOKUP($B287&amp;"__wt",'SegEnds_Xtal_BW#'!$A:$Z,16,FALSE)</f>
        <v>62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INDEX(ICL3_classA!$G$2:$G$37,MATCH(MIN(ABS(AI287-ICL3_classA!$F$2:$F$37)),ABS(AI287-ICL3_classA!$F$2:$F$37),0))</f>
        <v>68</v>
      </c>
      <c r="U287" s="1">
        <v>29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62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50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48</v>
      </c>
      <c r="AI287" s="1">
        <f>VLOOKUP(A287,'SegEnds_NonXtal_Prot#'!A:AL,31,FALSE)-VLOOKUP(A287,'SegEnds_NonXtal_Prot#'!A:AL,28,FALSE)</f>
        <v>43</v>
      </c>
      <c r="AJ287" s="1">
        <f>VLOOKUP(A287,'SegEnds_NonXtal_Prot#'!A:AL,34,FALSE)-VLOOKUP(A287,'SegEnds_NonXtal_Prot#'!A:AL,31,FALSE)</f>
        <v>45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397</v>
      </c>
      <c r="B288" s="1" t="str">
        <f>VLOOKUP(A288,Xtal_Templ!A:B,2,FALSE)</f>
        <v>ox2r_human</v>
      </c>
      <c r="C288" s="5">
        <f>VLOOKUP($B288&amp;"__wt",'SegEnds_Xtal_BW#'!$A:$Z,3,FALSE)</f>
        <v>31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08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08">
        <v>56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33</v>
      </c>
      <c r="T288" s="1">
        <f t="array" ref="T288">INDEX(ICL3_classA!$G$2:$G$37,MATCH(MIN(ABS(AI288-ICL3_classA!$F$2:$F$37)),ABS(AI288-ICL3_classA!$F$2:$F$37),0))</f>
        <v>76</v>
      </c>
      <c r="U288" s="1">
        <f t="array" ref="U288">INDEX(ICL3_classA!$H$2:$H$37,MATCH(MIN(ABS(AI288-ICL3_classA!$F$2:$F$37)),ABS(AI288-ICL3_classA!$F$2:$F$37),0))</f>
        <v>24</v>
      </c>
      <c r="V288" s="1">
        <v>61</v>
      </c>
      <c r="W288" s="1">
        <v>28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>
        <f>VLOOKUP(A288,'SegEnds_NonXtal_Prot#'!A:AL,13,FALSE)-VLOOKUP(A288,'SegEnds_NonXtal_Prot#'!A:AL,10,FALSE)</f>
        <v>18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19</v>
      </c>
      <c r="AG288" s="1">
        <f>VLOOKUP(A288,'SegEnds_NonXtal_Prot#'!A:AL,28,FALSE)-VLOOKUP(A288,'SegEnds_NonXtal_Prot#'!A:AL,25,FALSE)</f>
        <v>25</v>
      </c>
      <c r="AH288" s="1">
        <f>VLOOKUP(A288,'SegEnds_NonXtal_Prot#'!A:AL,28,FALSE)-VLOOKUP(A288,'SegEnds_NonXtal_Prot#'!A:AL,22,FALSE)</f>
        <v>53</v>
      </c>
      <c r="AI288" s="1">
        <f>VLOOKUP(A288,'SegEnds_NonXtal_Prot#'!A:AL,31,FALSE)-VLOOKUP(A288,'SegEnds_NonXtal_Prot#'!A:AL,28,FALSE)</f>
        <v>78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398</v>
      </c>
      <c r="B289" s="1" t="str">
        <f>VLOOKUP(A289,Xtal_Templ!A:B,2,FALSE)</f>
        <v>ntr1_rat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08"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08">
        <v>56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f t="array" ref="T289">INDEX(ICL3_classA!$G$2:$G$37,MATCH(MIN(ABS(AI289-ICL3_classA!$F$2:$F$37)),ABS(AI289-ICL3_classA!$F$2:$F$37),0))</f>
        <v>76</v>
      </c>
      <c r="U289" s="1">
        <f t="array" ref="U289">INDEX(ICL3_classA!$H$2:$H$37,MATCH(MIN(ABS(AI289-ICL3_classA!$F$2:$F$37)),ABS(AI289-ICL3_classA!$F$2:$F$37),0))</f>
        <v>24</v>
      </c>
      <c r="V289" s="1">
        <v>61</v>
      </c>
      <c r="W289" s="1">
        <v>28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18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19</v>
      </c>
      <c r="AG289" s="1">
        <f>VLOOKUP(A289,'SegEnds_NonXtal_Prot#'!A:AL,28,FALSE)-VLOOKUP(A289,'SegEnds_NonXtal_Prot#'!A:AL,25,FALSE)</f>
        <v>25</v>
      </c>
      <c r="AH289" s="1">
        <f>VLOOKUP(A289,'SegEnds_NonXtal_Prot#'!A:AL,28,FALSE)-VLOOKUP(A289,'SegEnds_NonXtal_Prot#'!A:AL,22,FALSE)</f>
        <v>53</v>
      </c>
      <c r="AI289" s="1">
        <f>VLOOKUP(A289,'SegEnds_NonXtal_Prot#'!A:AL,31,FALSE)-VLOOKUP(A289,'SegEnds_NonXtal_Prot#'!A:AL,28,FALSE)</f>
        <v>85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399</v>
      </c>
      <c r="B290" s="1" t="str">
        <f>VLOOKUP(A290,Xtal_Templ!A:B,2,FALSE)</f>
        <v>ntr1_rat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08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32</v>
      </c>
      <c r="T290" s="1">
        <f t="array" ref="T290">INDEX(ICL3_classA!$G$2:$G$37,MATCH(MIN(ABS(AI290-ICL3_classA!$F$2:$F$37)),ABS(AI290-ICL3_classA!$F$2:$F$37),0))</f>
        <v>76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30</v>
      </c>
      <c r="AC290" s="1">
        <f>VLOOKUP(A290,'SegEnds_NonXtal_Prot#'!A:AL,10,FALSE)-VLOOKUP(A290,'SegEnds_NonXtal_Prot#'!A:AL,7,FALSE)</f>
        <v>16</v>
      </c>
      <c r="AD290" s="1">
        <f>VLOOKUP(A290,'SegEnds_NonXtal_Prot#'!A:AL,13,FALSE)-VLOOKUP(A290,'SegEnds_NonXtal_Prot#'!A:AL,10,FALSE)</f>
        <v>18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25</v>
      </c>
      <c r="AH290" s="1">
        <f>VLOOKUP(A290,'SegEnds_NonXtal_Prot#'!A:AL,28,FALSE)-VLOOKUP(A290,'SegEnds_NonXtal_Prot#'!A:AL,22,FALSE)</f>
        <v>53</v>
      </c>
      <c r="AI290" s="1">
        <f>VLOOKUP(A290,'SegEnds_NonXtal_Prot#'!A:AL,31,FALSE)-VLOOKUP(A290,'SegEnds_NonXtal_Prot#'!A:AL,28,FALSE)</f>
        <v>69</v>
      </c>
      <c r="AJ290" s="1">
        <f>VLOOKUP(A290,'SegEnds_NonXtal_Prot#'!A:AL,34,FALSE)-VLOOKUP(A290,'SegEnds_NonXtal_Prot#'!A:AL,31,FALSE)</f>
        <v>36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400</v>
      </c>
      <c r="B291" s="1" t="str">
        <f>VLOOKUP(A291,Xtal_Templ!A:B,2,FALSE)</f>
        <v>ccr5_human</v>
      </c>
      <c r="C291" s="5">
        <f>VLOOKUP($B291&amp;"__wt",'SegEnds_Xtal_BW#'!$A:$Z,3,FALSE)</f>
        <v>24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24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INDEX(ICL3_classA!$G$2:$G$37,MATCH(MIN(ABS(AI291-ICL3_classA!$F$2:$F$37)),ABS(AI291-ICL3_classA!$F$2:$F$37),0))</f>
        <v>68</v>
      </c>
      <c r="U291" s="1">
        <f t="array" ref="U291">INDEX(ICL3_classA!$H$2:$H$37,MATCH(MIN(ABS(AI291-ICL3_classA!$F$2:$F$37)),ABS(AI291-ICL3_classA!$F$2:$F$37),0))</f>
        <v>30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18</v>
      </c>
      <c r="AE291" s="1">
        <f>VLOOKUP(A291,'SegEnds_NonXtal_Prot#'!A:AL,16,FALSE)-VLOOKUP(A291,'SegEnds_NonXtal_Prot#'!A:AL,10,FALSE)</f>
        <v>50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43</v>
      </c>
      <c r="AI291" s="1">
        <f>VLOOKUP(A291,'SegEnds_NonXtal_Prot#'!A:AL,31,FALSE)-VLOOKUP(A291,'SegEnds_NonXtal_Prot#'!A:AL,28,FALSE)</f>
        <v>43</v>
      </c>
      <c r="AJ291" s="1">
        <f>VLOOKUP(A291,'SegEnds_NonXtal_Prot#'!A:AL,34,FALSE)-VLOOKUP(A291,'SegEnds_NonXtal_Prot#'!A:AL,31,FALSE)</f>
        <v>44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217</v>
      </c>
      <c r="B292" s="1" t="str">
        <f>VLOOKUP(A292,Xtal_Templ!A:B,2,FALSE)</f>
        <v>hrh1_human</v>
      </c>
      <c r="C292" s="5">
        <f>VLOOKUP($B292&amp;"__wt",'SegEnds_Xtal_BW#'!$A:$Z,3,FALSE)</f>
        <v>34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21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v>38</v>
      </c>
      <c r="P292" s="1">
        <f>VLOOKUP($B292&amp;"__wt",'SegEnds_Xtal_BW#'!$A:$Z,16,FALSE)</f>
        <v>62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35</v>
      </c>
      <c r="T292" s="1">
        <f t="array" ref="T292">INDEX(ICL3_classA!$G$2:$G$37,MATCH(MIN(ABS(AI292-ICL3_classA!$F$2:$F$37)),ABS(AI292-ICL3_classA!$F$2:$F$37),0))</f>
        <v>68</v>
      </c>
      <c r="U292" s="1">
        <f t="array" ref="U292">INDEX(ICL3_classA!$H$2:$H$37,MATCH(MIN(ABS(AI292-ICL3_classA!$F$2:$F$37)),ABS(AI292-ICL3_classA!$F$2:$F$37),0))</f>
        <v>28</v>
      </c>
      <c r="V292" s="1">
        <v>61</v>
      </c>
      <c r="W292" s="1">
        <v>28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19</v>
      </c>
      <c r="AE292" s="1">
        <f>VLOOKUP(A292,'SegEnds_NonXtal_Prot#'!A:AL,16,FALSE)-VLOOKUP(A292,'SegEnds_NonXtal_Prot#'!A:AL,10,FALSE)</f>
        <v>51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30</v>
      </c>
      <c r="AH292" s="1">
        <f>VLOOKUP(A292,'SegEnds_NonXtal_Prot#'!A:AL,28,FALSE)-VLOOKUP(A292,'SegEnds_NonXtal_Prot#'!A:AL,22,FALSE)</f>
        <v>56</v>
      </c>
      <c r="AI292" s="1">
        <f>VLOOKUP(A292,'SegEnds_NonXtal_Prot#'!A:AL,31,FALSE)-VLOOKUP(A292,'SegEnds_NonXtal_Prot#'!A:AL,28,FALSE)</f>
        <v>44</v>
      </c>
      <c r="AJ292" s="1">
        <f>VLOOKUP(A292,'SegEnds_NonXtal_Prot#'!A:AL,34,FALSE)-VLOOKUP(A292,'SegEnds_NonXtal_Prot#'!A:AL,31,FALSE)</f>
        <v>40</v>
      </c>
      <c r="AK292" s="1">
        <f>VLOOKUP(A292,'SegEnds_NonXtal_Prot#'!A:AL,37,FALSE)-VLOOKUP(A292,'SegEnds_NonXtal_Prot#'!A:AL,34,FALSE)</f>
        <v>11</v>
      </c>
      <c r="AL292" s="1" t="str">
        <f>IF(ISERROR(MATCH(A292,'SegEnds_Xtal_Prot#'!B:B, 0)), "NoXtal", "Xtal")</f>
        <v>NoXtal</v>
      </c>
    </row>
    <row r="293" spans="1:38" x14ac:dyDescent="0.2">
      <c r="A293" s="1" t="s">
        <v>220</v>
      </c>
      <c r="B293" s="1" t="str">
        <f>VLOOKUP(A293,Xtal_Templ!A:B,2,FALSE)</f>
        <v>aa1r_human</v>
      </c>
      <c r="C293" s="5">
        <f>VLOOKUP($B293&amp;"__wt",'SegEnds_Xtal_BW#'!$A:$Z,3,FALSE)</f>
        <v>29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v>66</v>
      </c>
      <c r="I293" s="1">
        <f>VLOOKUP($B293&amp;"__wt",'SegEnds_Xtal_BW#'!$A:$Z,9,FALSE)</f>
        <v>50</v>
      </c>
      <c r="J293" s="1">
        <f>VLOOKUP($B293&amp;"__wt",'SegEnds_Xtal_BW#'!$A:$Z,10,FALSE)</f>
        <v>52</v>
      </c>
      <c r="K293" s="12">
        <v>24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35</v>
      </c>
      <c r="T293" s="1">
        <f t="array" ref="T293">INDEX(ICL3_classA!$G$2:$G$37,MATCH(MIN(ABS(AI293-ICL3_classA!$F$2:$F$37)),ABS(AI293-ICL3_classA!$F$2:$F$37),0))</f>
        <v>76</v>
      </c>
      <c r="U293" s="1">
        <f t="array" ref="U293">INDEX(ICL3_classA!$H$2:$H$37,MATCH(MIN(ABS(AI293-ICL3_classA!$F$2:$F$37)),ABS(AI293-ICL3_classA!$F$2:$F$37),0))</f>
        <v>24</v>
      </c>
      <c r="V293" s="1">
        <v>58</v>
      </c>
      <c r="W293" s="1">
        <v>36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29</v>
      </c>
      <c r="AC293" s="1">
        <f>VLOOKUP(A293,'SegEnds_NonXtal_Prot#'!A:AL,10,FALSE)-VLOOKUP(A293,'SegEnds_NonXtal_Prot#'!A:AL,7,FALSE)</f>
        <v>16</v>
      </c>
      <c r="AD293" s="1">
        <f>VLOOKUP(A293,'SegEnds_NonXtal_Prot#'!A:AL,13,FALSE)-VLOOKUP(A293,'SegEnds_NonXtal_Prot#'!A:AL,10,FALSE)</f>
        <v>18</v>
      </c>
      <c r="AE293" s="1">
        <f>VLOOKUP(A293,'SegEnds_NonXtal_Prot#'!A:AL,16,FALSE)-VLOOKUP(A293,'SegEnds_NonXtal_Prot#'!A:AL,10,FALSE)</f>
        <v>50</v>
      </c>
      <c r="AF293" s="1">
        <f>VLOOKUP(A293,'SegEnds_NonXtal_Prot#'!A:AL,22,FALSE)-VLOOKUP(A293,'SegEnds_NonXtal_Prot#'!A:AL,19,FALSE)</f>
        <v>20</v>
      </c>
      <c r="AG293" s="1" t="e">
        <f>VLOOKUP(A293,'SegEnds_NonXtal_Prot#'!A:AL,28,FALSE)-VLOOKUP(A293,'SegEnds_NonXtal_Prot#'!A:AL,25,FALSE)</f>
        <v>#VALUE!</v>
      </c>
      <c r="AH293" s="1">
        <f>VLOOKUP(A293,'SegEnds_NonXtal_Prot#'!A:AL,28,FALSE)-VLOOKUP(A293,'SegEnds_NonXtal_Prot#'!A:AL,22,FALSE)</f>
        <v>38</v>
      </c>
      <c r="AI293" s="1">
        <f>VLOOKUP(A293,'SegEnds_NonXtal_Prot#'!A:AL,31,FALSE)-VLOOKUP(A293,'SegEnds_NonXtal_Prot#'!A:AL,28,FALSE)</f>
        <v>68</v>
      </c>
      <c r="AJ293" s="1">
        <f>VLOOKUP(A293,'SegEnds_NonXtal_Prot#'!A:AL,34,FALSE)-VLOOKUP(A293,'SegEnds_NonXtal_Prot#'!A:AL,31,FALSE)</f>
        <v>30</v>
      </c>
      <c r="AK293" s="1">
        <f>VLOOKUP(A293,'SegEnds_NonXtal_Prot#'!A:AL,37,FALSE)-VLOOKUP(A293,'SegEnds_NonXtal_Prot#'!A:AL,34,FALSE)</f>
        <v>11</v>
      </c>
      <c r="AL293" s="1" t="str">
        <f>IF(ISERROR(MATCH(A293,'SegEnds_Xtal_Prot#'!B:B, 0)), "NoXtal", "Xtal")</f>
        <v>NoXtal</v>
      </c>
    </row>
    <row r="294" spans="1:38" x14ac:dyDescent="0.2">
      <c r="A294" s="1" t="s">
        <v>367</v>
      </c>
      <c r="B294" s="1" t="str">
        <f>VLOOKUP(A294,Xtal_Templ!A:B,2,FALSE)</f>
        <v>ox1r_human</v>
      </c>
      <c r="C294" s="5">
        <f>VLOOKUP($B294&amp;"__wt",'SegEnds_Xtal_BW#'!$A:$Z,3,FALSE)</f>
        <v>32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08" t="s">
        <v>23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INDEX(ICL3_classA!$G$2:$G$37,MATCH(MIN(ABS(AI294-ICL3_classA!$F$2:$F$37)),ABS(AI294-ICL3_classA!$F$2:$F$37),0))</f>
        <v>73</v>
      </c>
      <c r="U294" s="1">
        <f t="array" ref="U294">INDEX(ICL3_classA!$H$2:$H$37,MATCH(MIN(ABS(AI294-ICL3_classA!$F$2:$F$37)),ABS(AI294-ICL3_classA!$F$2:$F$37),0))</f>
        <v>22</v>
      </c>
      <c r="V294" s="1">
        <v>61</v>
      </c>
      <c r="W294" s="1">
        <v>28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58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22</v>
      </c>
      <c r="AE294" s="1">
        <f>VLOOKUP(A294,'SegEnds_NonXtal_Prot#'!A:AL,16,FALSE)-VLOOKUP(A294,'SegEnds_NonXtal_Prot#'!A:AL,10,FALSE)</f>
        <v>54</v>
      </c>
      <c r="AF294" s="1" t="e">
        <f>VLOOKUP(A294,'SegEnds_NonXtal_Prot#'!A:AL,22,FALSE)-VLOOKUP(A294,'SegEnds_NonXtal_Prot#'!A:AL,19,FALSE)</f>
        <v>#VALUE!</v>
      </c>
      <c r="AG294" s="1">
        <f>VLOOKUP(A294,'SegEnds_NonXtal_Prot#'!A:AL,28,FALSE)-VLOOKUP(A294,'SegEnds_NonXtal_Prot#'!A:AL,25,FALSE)</f>
        <v>27</v>
      </c>
      <c r="AH294" s="1">
        <f>VLOOKUP(A294,'SegEnds_NonXtal_Prot#'!A:AL,28,FALSE)-VLOOKUP(A294,'SegEnds_NonXtal_Prot#'!A:AL,22,FALSE)</f>
        <v>57</v>
      </c>
      <c r="AI294" s="1">
        <f>VLOOKUP(A294,'SegEnds_NonXtal_Prot#'!A:AL,31,FALSE)-VLOOKUP(A294,'SegEnds_NonXtal_Prot#'!A:AL,28,FALSE)</f>
        <v>55</v>
      </c>
      <c r="AJ294" s="1">
        <f>VLOOKUP(A294,'SegEnds_NonXtal_Prot#'!A:AL,34,FALSE)-VLOOKUP(A294,'SegEnds_NonXtal_Prot#'!A:AL,31,FALSE)</f>
        <v>40</v>
      </c>
      <c r="AK294" s="1">
        <f>VLOOKUP(A294,'SegEnds_NonXtal_Prot#'!A:AL,37,FALSE)-VLOOKUP(A294,'SegEnds_NonXtal_Prot#'!A:AL,34,FALSE)</f>
        <v>11</v>
      </c>
      <c r="AL294" s="1" t="str">
        <f>IF(ISERROR(MATCH(A294,'SegEnds_Xtal_Prot#'!B:B, 0)), "NoXtal", "Xtal")</f>
        <v>NoXtal</v>
      </c>
    </row>
    <row r="295" spans="1:38" x14ac:dyDescent="0.2">
      <c r="A295" s="1" t="s">
        <v>368</v>
      </c>
      <c r="B295" s="1" t="str">
        <f>VLOOKUP(A295,Xtal_Templ!A:B,2,FALSE)</f>
        <v>ox2r_human</v>
      </c>
      <c r="C295" s="5">
        <f>VLOOKUP($B295&amp;"__wt",'SegEnds_Xtal_BW#'!$A:$Z,3,FALSE)</f>
        <v>31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68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08" t="s">
        <v>23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33</v>
      </c>
      <c r="T295" s="1">
        <f t="array" ref="T295">INDEX(ICL3_classA!$G$2:$G$37,MATCH(MIN(ABS(AI295-ICL3_classA!$F$2:$F$37)),ABS(AI295-ICL3_classA!$F$2:$F$37),0))</f>
        <v>73</v>
      </c>
      <c r="U295" s="1">
        <f t="array" ref="U295">INDEX(ICL3_classA!$H$2:$H$37,MATCH(MIN(ABS(AI295-ICL3_classA!$F$2:$F$37)),ABS(AI295-ICL3_classA!$F$2:$F$37),0))</f>
        <v>22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22</v>
      </c>
      <c r="AE295" s="1">
        <f>VLOOKUP(A295,'SegEnds_NonXtal_Prot#'!A:AL,16,FALSE)-VLOOKUP(A295,'SegEnds_NonXtal_Prot#'!A:AL,10,FALSE)</f>
        <v>54</v>
      </c>
      <c r="AF295" s="1" t="e">
        <f>VLOOKUP(A295,'SegEnds_NonXtal_Prot#'!A:AL,22,FALSE)-VLOOKUP(A295,'SegEnds_NonXtal_Prot#'!A:AL,19,FALSE)</f>
        <v>#VALUE!</v>
      </c>
      <c r="AG295" s="1">
        <f>VLOOKUP(A295,'SegEnds_NonXtal_Prot#'!A:AL,28,FALSE)-VLOOKUP(A295,'SegEnds_NonXtal_Prot#'!A:AL,25,FALSE)</f>
        <v>27</v>
      </c>
      <c r="AH295" s="1">
        <f>VLOOKUP(A295,'SegEnds_NonXtal_Prot#'!A:AL,28,FALSE)-VLOOKUP(A295,'SegEnds_NonXtal_Prot#'!A:AL,22,FALSE)</f>
        <v>57</v>
      </c>
      <c r="AI295" s="1">
        <f>VLOOKUP(A295,'SegEnds_NonXtal_Prot#'!A:AL,31,FALSE)-VLOOKUP(A295,'SegEnds_NonXtal_Prot#'!A:AL,28,FALSE)</f>
        <v>55</v>
      </c>
      <c r="AJ295" s="1">
        <f>VLOOKUP(A295,'SegEnds_NonXtal_Prot#'!A:AL,34,FALSE)-VLOOKUP(A295,'SegEnds_NonXtal_Prot#'!A:AL,31,FALSE)</f>
        <v>40</v>
      </c>
      <c r="AK295" s="1">
        <f>VLOOKUP(A295,'SegEnds_NonXtal_Prot#'!A:AL,37,FALSE)-VLOOKUP(A295,'SegEnds_NonXtal_Prot#'!A:AL,34,FALSE)</f>
        <v>11</v>
      </c>
      <c r="AL295" s="1" t="str">
        <f>IF(ISERROR(MATCH(A295,'SegEnds_Xtal_Prot#'!B:B, 0)), "NoXtal", "Xtal")</f>
        <v>NoXtal</v>
      </c>
    </row>
    <row r="296" spans="1:38" x14ac:dyDescent="0.2">
      <c r="A296" s="1" t="s">
        <v>210</v>
      </c>
      <c r="B296" s="1" t="str">
        <f>VLOOKUP(A296,Xtal_Templ!A:B,2,FALSE)</f>
        <v>apj_human</v>
      </c>
      <c r="C296" s="5">
        <f>VLOOKUP($B296&amp;"__wt",'SegEnds_Xtal_BW#'!$A:$Z,3,FALSE)</f>
        <v>33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52</v>
      </c>
      <c r="G296" s="1">
        <v>37</v>
      </c>
      <c r="H296" s="12"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21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53</v>
      </c>
      <c r="O296" s="87"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30</v>
      </c>
      <c r="T296" s="1">
        <f t="array" ref="T296">INDEX(ICL3_classA!$G$2:$G$37,MATCH(MIN(ABS(AI296-ICL3_classA!$F$2:$F$37)),ABS(AI296-ICL3_classA!$F$2:$F$37),0))</f>
        <v>74</v>
      </c>
      <c r="U296" s="1">
        <f t="array" ref="U296">INDEX(ICL3_classA!$H$2:$H$37,MATCH(MIN(ABS(AI296-ICL3_classA!$F$2:$F$37)),ABS(AI296-ICL3_classA!$F$2:$F$37),0))</f>
        <v>21</v>
      </c>
      <c r="V296" s="1">
        <v>61</v>
      </c>
      <c r="W296" s="1">
        <v>28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61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34</v>
      </c>
      <c r="AC296" s="1">
        <f>VLOOKUP(A296,'SegEnds_NonXtal_Prot#'!A:AL,10,FALSE)-VLOOKUP(A296,'SegEnds_NonXtal_Prot#'!A:AL,7,FALSE)</f>
        <v>14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>
        <f>VLOOKUP(A296,'SegEnds_NonXtal_Prot#'!A:AL,22,FALSE)-VLOOKUP(A296,'SegEnds_NonXtal_Prot#'!A:AL,19,FALSE)</f>
        <v>18</v>
      </c>
      <c r="AG296" s="1">
        <f>VLOOKUP(A296,'SegEnds_NonXtal_Prot#'!A:AL,28,FALSE)-VLOOKUP(A296,'SegEnds_NonXtal_Prot#'!A:AL,25,FALSE)</f>
        <v>23</v>
      </c>
      <c r="AH296" s="1">
        <f>VLOOKUP(A296,'SegEnds_NonXtal_Prot#'!A:AL,28,FALSE)-VLOOKUP(A296,'SegEnds_NonXtal_Prot#'!A:AL,22,FALSE)</f>
        <v>59</v>
      </c>
      <c r="AI296" s="1">
        <f>VLOOKUP(A296,'SegEnds_NonXtal_Prot#'!A:AL,31,FALSE)-VLOOKUP(A296,'SegEnds_NonXtal_Prot#'!A:AL,28,FALSE)</f>
        <v>59</v>
      </c>
      <c r="AJ296" s="1">
        <f>VLOOKUP(A296,'SegEnds_NonXtal_Prot#'!A:AL,34,FALSE)-VLOOKUP(A296,'SegEnds_NonXtal_Prot#'!A:AL,31,FALSE)</f>
        <v>38</v>
      </c>
      <c r="AK296" s="1" t="e">
        <f>VLOOKUP(A296,'SegEnds_NonXtal_Prot#'!A:AL,37,FALSE)-VLOOKUP(A296,'SegEnds_NonXtal_Prot#'!A:AL,34,FALSE)</f>
        <v>#VALUE!</v>
      </c>
      <c r="AL296" s="1" t="str">
        <f>IF(ISERROR(MATCH(A296,'SegEnds_Xtal_Prot#'!B:B, 0)), "NoXtal", "Xtal")</f>
        <v>NoXtal</v>
      </c>
    </row>
    <row r="297" spans="1:38" x14ac:dyDescent="0.2">
      <c r="A297" s="1" t="s">
        <v>329</v>
      </c>
      <c r="B297" s="1" t="str">
        <f>VLOOKUP(A297,Xtal_Templ!A:B,2,FALSE)</f>
        <v>npy1r_human</v>
      </c>
      <c r="C297" s="5">
        <f>VLOOKUP($B297&amp;"__wt",'SegEnds_Xtal_BW#'!$A:$Z,3,FALSE)</f>
        <v>28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68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 t="str">
        <f>VLOOKUP($B297&amp;"__wt",'SegEnds_Xtal_BW#'!$A:$Z,13,FALSE)</f>
        <v>-</v>
      </c>
      <c r="N297" s="12" t="str">
        <f>VLOOKUP($B297&amp;"__wt",'SegEnds_Xtal_BW#'!$A:$Z,14,FALSE)</f>
        <v>-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31</v>
      </c>
      <c r="T297" s="1">
        <f t="array" ref="T297">INDEX(ICL3_classA!$G$2:$G$37,MATCH(MIN(ABS(AI297-ICL3_classA!$F$2:$F$37)),ABS(AI297-ICL3_classA!$F$2:$F$37),0))</f>
        <v>73</v>
      </c>
      <c r="U297" s="1">
        <f t="array" ref="U297">INDEX(ICL3_classA!$H$2:$H$37,MATCH(MIN(ABS(AI297-ICL3_classA!$F$2:$F$37)),ABS(AI297-ICL3_classA!$F$2:$F$37),0))</f>
        <v>22</v>
      </c>
      <c r="V297" s="1">
        <v>61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58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29</v>
      </c>
      <c r="AC297" s="1">
        <f>VLOOKUP(A297,'SegEnds_NonXtal_Prot#'!A:AL,10,FALSE)-VLOOKUP(A297,'SegEnds_NonXtal_Prot#'!A:AL,7,FALSE)</f>
        <v>15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 t="e">
        <f>VLOOKUP(A297,'SegEnds_NonXtal_Prot#'!A:AL,22,FALSE)-VLOOKUP(A297,'SegEnds_NonXtal_Prot#'!A:AL,19,FALSE)</f>
        <v>#VALUE!</v>
      </c>
      <c r="AG297" s="1" t="e">
        <f>VLOOKUP(A297,'SegEnds_NonXtal_Prot#'!A:AL,28,FALSE)-VLOOKUP(A297,'SegEnds_NonXtal_Prot#'!A:AL,25,FALSE)</f>
        <v>#VALUE!</v>
      </c>
      <c r="AH297" s="1">
        <f>VLOOKUP(A297,'SegEnds_NonXtal_Prot#'!A:AL,28,FALSE)-VLOOKUP(A297,'SegEnds_NonXtal_Prot#'!A:AL,22,FALSE)</f>
        <v>62</v>
      </c>
      <c r="AI297" s="1">
        <f>VLOOKUP(A297,'SegEnds_NonXtal_Prot#'!A:AL,31,FALSE)-VLOOKUP(A297,'SegEnds_NonXtal_Prot#'!A:AL,28,FALSE)</f>
        <v>55</v>
      </c>
      <c r="AJ297" s="1" t="e">
        <f>VLOOKUP(A297,'SegEnds_NonXtal_Prot#'!A:AL,34,FALSE)-VLOOKUP(A297,'SegEnds_NonXtal_Prot#'!A:AL,31,FALSE)</f>
        <v>#VALUE!</v>
      </c>
      <c r="AK297" s="1" t="e">
        <f>VLOOKUP(A297,'SegEnds_NonXtal_Prot#'!A:AL,37,FALSE)-VLOOKUP(A297,'SegEnds_NonXtal_Prot#'!A:AL,34,FALSE)</f>
        <v>#VALUE!</v>
      </c>
      <c r="AL297" s="1" t="str">
        <f>IF(ISERROR(MATCH(A297,'SegEnds_Xtal_Prot#'!B:B, 0)), "NoXtal", "Xtal")</f>
        <v>NoXtal</v>
      </c>
    </row>
    <row r="298" spans="1:38" x14ac:dyDescent="0.2">
      <c r="A298" s="1" t="s">
        <v>357</v>
      </c>
      <c r="B298" s="1" t="str">
        <f>VLOOKUP(A298,Xtal_Templ!A:B,2,FALSE)</f>
        <v>par2_human</v>
      </c>
      <c r="C298" s="5">
        <f>VLOOKUP($B298&amp;"__wt",'SegEnds_Xtal_BW#'!$A:$Z,3,FALSE)</f>
        <v>28</v>
      </c>
      <c r="D298" s="1">
        <f>VLOOKUP($B298&amp;"__wt",'SegEnds_Xtal_BW#'!$A:$Z,4,FALSE)</f>
        <v>60</v>
      </c>
      <c r="E298" s="1" t="str">
        <f>VLOOKUP($B298&amp;"__wt",'SegEnds_Xtal_BW#'!$A:$Z,5,FALSE)</f>
        <v>-</v>
      </c>
      <c r="F298" s="1" t="str">
        <f>VLOOKUP($B298&amp;"__wt",'SegEnds_Xtal_BW#'!$A:$Z,6,FALSE)</f>
        <v>-</v>
      </c>
      <c r="G298" s="1">
        <v>37</v>
      </c>
      <c r="H298" s="12">
        <f>VLOOKUP($B298&amp;"__wt",'SegEnds_Xtal_BW#'!$A:$Z,8,FALSE)</f>
        <v>66</v>
      </c>
      <c r="I298" s="1">
        <f>VLOOKUP($B298&amp;"__wt",'SegEnds_Xtal_BW#'!$A:$Z,9,FALSE)</f>
        <v>47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62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INDEX(ICL3_classA!$G$2:$G$37,MATCH(MIN(ABS(AI298-ICL3_classA!$F$2:$F$37)),ABS(AI298-ICL3_classA!$F$2:$F$37),0))</f>
        <v>68</v>
      </c>
      <c r="U298" s="1">
        <f t="array" ref="U298">INDEX(ICL3_classA!$H$2:$H$37,MATCH(MIN(ABS(AI298-ICL3_classA!$F$2:$F$37)),ABS(AI298-ICL3_classA!$F$2:$F$37),0))</f>
        <v>30</v>
      </c>
      <c r="V298" s="1">
        <v>62</v>
      </c>
      <c r="W298" s="1">
        <v>28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61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27</v>
      </c>
      <c r="AC298" s="1" t="e">
        <f>VLOOKUP(A298,'SegEnds_NonXtal_Prot#'!A:AL,10,FALSE)-VLOOKUP(A298,'SegEnds_NonXtal_Prot#'!A:AL,7,FALSE)</f>
        <v>#VALUE!</v>
      </c>
      <c r="AD298" s="1">
        <f>VLOOKUP(A298,'SegEnds_NonXtal_Prot#'!A:AL,13,FALSE)-VLOOKUP(A298,'SegEnds_NonXtal_Prot#'!A:AL,10,FALSE)</f>
        <v>20</v>
      </c>
      <c r="AE298" s="1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56</v>
      </c>
      <c r="AI298" s="1">
        <f>VLOOKUP(A298,'SegEnds_NonXtal_Prot#'!A:AL,31,FALSE)-VLOOKUP(A298,'SegEnds_NonXtal_Prot#'!A:AL,28,FALSE)</f>
        <v>42</v>
      </c>
      <c r="AJ298" s="1">
        <f>VLOOKUP(A298,'SegEnds_NonXtal_Prot#'!A:AL,34,FALSE)-VLOOKUP(A298,'SegEnds_NonXtal_Prot#'!A:AL,31,FALSE)</f>
        <v>39</v>
      </c>
      <c r="AK298" s="1" t="e">
        <f>VLOOKUP(A298,'SegEnds_NonXtal_Prot#'!A:AL,37,FALSE)-VLOOKUP(A298,'SegEnds_NonXtal_Prot#'!A:AL,34,FALSE)</f>
        <v>#VALUE!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401</v>
      </c>
      <c r="B299" s="42" t="str">
        <f>VLOOKUP(A299,Xtal_Templ!A:B,2,FALSE)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VLOOKUP(A300,Xtal_Templ!A:B,2,FALSE)</f>
        <v>calrl_human</v>
      </c>
      <c r="C300" s="5">
        <f>VLOOKUP($B300&amp;"__wt",'SegEnds_Xtal_BW#'!$A:$Z,3,FALSE)</f>
        <v>24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23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67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38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08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1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1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VLOOKUP(A302,Xtal_Templ!A:B,2,FALSE)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1430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404</v>
      </c>
      <c r="B304" s="4" t="str">
        <f>VLOOKUP(A304,Xtal_Templ!A:B,2,FALSE)</f>
        <v>pth1r_human</v>
      </c>
      <c r="C304" s="5">
        <f>VLOOKUP($B304&amp;"__wt",'SegEnds_Xtal_BW#'!$A:$Z,3,FALSE)</f>
        <v>27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37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v>69</v>
      </c>
      <c r="U304" s="4">
        <v>25</v>
      </c>
      <c r="V304" s="4">
        <f>VLOOKUP($B304&amp;"__wt",'SegEnds_Xtal_BW#'!$A:$Z,22,FALSE)</f>
        <v>54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52</v>
      </c>
      <c r="AJ304" s="4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4" t="s">
        <v>405</v>
      </c>
      <c r="B305" s="4" t="str">
        <f>VLOOKUP(A305,Xtal_Templ!A:B,2,FALSE)</f>
        <v>glr_human</v>
      </c>
      <c r="C305" s="5">
        <f>VLOOKUP($B305&amp;"__wt",'SegEnds_Xtal_BW#'!$A:$Z,3,FALSE)</f>
        <v>25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08">
        <v>39</v>
      </c>
      <c r="T305" s="4">
        <f>VLOOKUP($B305&amp;"__wt",'SegEnds_Xtal_BW#'!$A:$Z,20,FALSE)</f>
        <v>71</v>
      </c>
      <c r="U305" s="115">
        <v>28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61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NoXtal</v>
      </c>
    </row>
    <row r="306" spans="1:38" x14ac:dyDescent="0.2">
      <c r="A306" s="1" t="s">
        <v>406</v>
      </c>
      <c r="B306" s="1" t="str">
        <f>VLOOKUP(A306,Xtal_Templ!A:B,2,FALSE)</f>
        <v>glp1r_human</v>
      </c>
      <c r="C306" s="5">
        <f>VLOOKUP($B306&amp;"__wt",'SegEnds_Xtal_BW#'!$A:$Z,3,FALSE)</f>
        <v>29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08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38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08">
        <v>39</v>
      </c>
      <c r="T306" s="1">
        <f>VLOOKUP($B306&amp;"__wt",'SegEnds_Xtal_BW#'!$A:$Z,20,FALSE)</f>
        <v>71</v>
      </c>
      <c r="U306" s="1">
        <f>VLOOKUP($B306&amp;"__wt",'SegEnds_Xtal_BW#'!$A:$Z,21,FALSE)</f>
        <v>28</v>
      </c>
      <c r="V306" s="1">
        <f>VLOOKUP($B306&amp;"__wt",'SegEnds_Xtal_BW#'!$A:$Z,22,FALSE)</f>
        <v>53</v>
      </c>
      <c r="W306" s="1">
        <v>28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1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1">
        <f>VLOOKUP(A306,'SegEnds_NonXtal_Prot#'!A:AL,31,FALSE)-VLOOKUP(A306,'SegEnds_NonXtal_Prot#'!A:AL,28,FALSE)</f>
        <v>50</v>
      </c>
      <c r="AJ306" s="1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4" t="s">
        <v>407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8">
        <v>39</v>
      </c>
      <c r="T307" s="4">
        <f>VLOOKUP($B307&amp;"__wt",'SegEnds_Xtal_BW#'!$A:$Z,20,FALSE)</f>
        <v>71</v>
      </c>
      <c r="U307" s="115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64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4" t="s">
        <v>32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v>36</v>
      </c>
      <c r="T308" s="4">
        <f>VLOOKUP($B308&amp;"__wt",'SegEnds_Xtal_BW#'!$A:$Z,20,FALSE)</f>
        <v>71</v>
      </c>
      <c r="U308" s="4">
        <f>VLOOKUP($B308&amp;"__wt",'SegEnds_Xtal_BW#'!$A:$Z,21,FALSE)</f>
        <v>28</v>
      </c>
      <c r="V308" s="4">
        <f>VLOOKUP($B308&amp;"__wt",'SegEnds_Xtal_BW#'!$A:$Z,22,FALSE)</f>
        <v>53</v>
      </c>
      <c r="W308" s="115">
        <v>27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Xtal</v>
      </c>
    </row>
    <row r="309" spans="1:38" x14ac:dyDescent="0.2">
      <c r="A309" s="1" t="s">
        <v>408</v>
      </c>
      <c r="B309" s="1" t="str">
        <f>VLOOKUP(A309,Xtal_Templ!A:B,2,FALSE)</f>
        <v>pth1r_human</v>
      </c>
      <c r="C309" s="5">
        <f>VLOOKUP($B309&amp;"__wt",'SegEnds_Xtal_BW#'!$A:$Z,3,FALSE)</f>
        <v>27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409</v>
      </c>
      <c r="B310" s="4" t="str">
        <f>VLOOKUP(A310,Xtal_Templ!A:B,2,FALSE)</f>
        <v>pth1r_human</v>
      </c>
      <c r="C310" s="5">
        <f>VLOOKUP($B310&amp;"__wt",'SegEnds_Xtal_BW#'!$A:$Z,3,FALSE)</f>
        <v>27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69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21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76</v>
      </c>
      <c r="AF310" s="4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19</v>
      </c>
      <c r="AH310" s="4">
        <f>VLOOKUP(A310,'SegEnds_NonXtal_Prot#'!A:AL,28,FALSE)-VLOOKUP(A310,'SegEnds_NonXtal_Prot#'!A:AL,22,FALSE)</f>
        <v>41</v>
      </c>
      <c r="AI310" s="4">
        <f>VLOOKUP(A310,'SegEnds_NonXtal_Prot#'!A:AL,31,FALSE)-VLOOKUP(A310,'SegEnds_NonXtal_Prot#'!A:AL,28,FALSE)</f>
        <v>53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4" t="str">
        <f>IF(ISERROR(MATCH(A310,'SegEnds_Xtal_Prot#'!B:B, 0)), "NoXtal", "Xtal")</f>
        <v>Xtal</v>
      </c>
    </row>
    <row r="311" spans="1:38" x14ac:dyDescent="0.2">
      <c r="A311" s="4" t="s">
        <v>410</v>
      </c>
      <c r="B311" s="4" t="str">
        <f>VLOOKUP(A311,Xtal_Templ!A:B,2,FALSE)</f>
        <v>pth1r_human</v>
      </c>
      <c r="C311" s="5">
        <f>VLOOKUP($B311&amp;"__wt",'SegEnds_Xtal_BW#'!$A:$Z,3,FALSE)</f>
        <v>27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69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5">
        <v>39</v>
      </c>
      <c r="T311" s="4">
        <v>69</v>
      </c>
      <c r="U311" s="4">
        <v>25</v>
      </c>
      <c r="V311" s="4">
        <f>VLOOKUP($B311&amp;"__wt",'SegEnds_Xtal_BW#'!$A:$Z,22,FALSE)</f>
        <v>54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74</v>
      </c>
      <c r="AF311" s="4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4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53</v>
      </c>
      <c r="AJ311" s="4">
        <f>VLOOKUP(A311,'SegEnds_NonXtal_Prot#'!A:AL,34,FALSE)-VLOOKUP(A311,'SegEnds_NonXtal_Prot#'!A:AL,31,FALSE)</f>
        <v>32</v>
      </c>
      <c r="AK311" s="1">
        <f>VLOOKUP(A311,'SegEnds_NonXtal_Prot#'!A:AL,37,FALSE)-VLOOKUP(A311,'SegEnds_NonXtal_Prot#'!A:AL,34,FALSE)</f>
        <v>10</v>
      </c>
      <c r="AL311" s="4" t="str">
        <f>IF(ISERROR(MATCH(A311,'SegEnds_Xtal_Prot#'!B:B, 0)), "NoXtal", "Xtal")</f>
        <v>NoXtal</v>
      </c>
    </row>
    <row r="312" spans="1:38" x14ac:dyDescent="0.2">
      <c r="A312" s="4" t="s">
        <v>411</v>
      </c>
      <c r="B312" s="4" t="str">
        <f>VLOOKUP(A312,Xtal_Templ!A:B,2,FALSE)</f>
        <v>pth1r_human</v>
      </c>
      <c r="C312" s="5">
        <f>VLOOKUP($B312&amp;"__wt",'SegEnds_Xtal_BW#'!$A:$Z,3,FALSE)</f>
        <v>27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55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28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s="4" customFormat="1" x14ac:dyDescent="0.2">
      <c r="A313" s="4" t="s">
        <v>412</v>
      </c>
      <c r="B313" s="4" t="str">
        <f>VLOOKUP(A313,Xtal_Templ!A:B,2,FALSE)</f>
        <v>pth1r_human</v>
      </c>
      <c r="C313" s="4">
        <f>VLOOKUP($B313&amp;"__wt",'SegEnds_Xtal_BW#'!$A:$Z,3,FALSE)</f>
        <v>27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08">
        <v>39</v>
      </c>
      <c r="T313" s="4">
        <v>69</v>
      </c>
      <c r="U313" s="4">
        <v>25</v>
      </c>
      <c r="V313" s="1">
        <f>VLOOKUP($B313&amp;"__wt",'SegEnds_Xtal_BW#'!$A:$Z,22,FALSE)</f>
        <v>54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55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1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52</v>
      </c>
      <c r="AJ313" s="4">
        <f>VLOOKUP(A313,'SegEnds_NonXtal_Prot#'!A:AL,34,FALSE)-VLOOKUP(A313,'SegEnds_NonXtal_Prot#'!A:AL,31,FALSE)</f>
        <v>29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s="45" customFormat="1" x14ac:dyDescent="0.2">
      <c r="A314" s="45" t="s">
        <v>413</v>
      </c>
      <c r="B314" s="45" t="str">
        <f>VLOOKUP(A314,Xtal_Templ!A:B,2,FALSE)</f>
        <v>pth1r_human</v>
      </c>
      <c r="C314" s="46">
        <f>VLOOKUP($B314&amp;"__wt",'SegEnds_Xtal_BW#'!$A:$Z,3,FALSE)</f>
        <v>27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64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23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31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58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20</v>
      </c>
      <c r="AH314" s="45">
        <f>VLOOKUP(A314,'SegEnds_NonXtal_Prot#'!A:AL,28,FALSE)-VLOOKUP(A314,'SegEnds_NonXtal_Prot#'!A:AL,22,FALSE)</f>
        <v>42</v>
      </c>
      <c r="AI314" s="45">
        <f>VLOOKUP(A314,'SegEnds_NonXtal_Prot#'!A:AL,31,FALSE)-VLOOKUP(A314,'SegEnds_NonXtal_Prot#'!A:AL,28,FALSE)</f>
        <v>52</v>
      </c>
      <c r="AJ314" s="45">
        <f>VLOOKUP(A314,'SegEnds_NonXtal_Prot#'!A:AL,34,FALSE)-VLOOKUP(A314,'SegEnds_NonXtal_Prot#'!A:AL,31,FALSE)</f>
        <v>29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1" t="s">
        <v>1177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29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26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18</v>
      </c>
      <c r="AH315" s="1">
        <f>VLOOKUP(A315,'SegEnds_NonXtal_Prot#'!A:AL,28,FALSE)-VLOOKUP(A315,'SegEnds_NonXtal_Prot#'!A:AL,22,FALSE)</f>
        <v>46</v>
      </c>
      <c r="AI315" s="1">
        <f>VLOOKUP(A315,'SegEnds_NonXtal_Prot#'!A:AL,31,FALSE)-VLOOKUP(A315,'SegEnds_NonXtal_Prot#'!A:AL,28,FALSE)</f>
        <v>86</v>
      </c>
      <c r="AJ315" s="1">
        <f>VLOOKUP(A315,'SegEnds_NonXtal_Prot#'!A:AL,34,FALSE)-VLOOKUP(A315,'SegEnds_NonXtal_Prot#'!A:AL,31,FALSE)</f>
        <v>31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1178</v>
      </c>
      <c r="B316" s="4" t="str">
        <f>VLOOKUP(A316,Xtal_Templ!A:B,2,FALSE)</f>
        <v>crfr1_human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29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26</v>
      </c>
      <c r="AC316" s="4" t="e">
        <f>VLOOKUP(A316,'SegEnds_NonXtal_Prot#'!A:AL,10,FALSE)-VLOOKUP(A316,'SegEnds_NonXtal_Prot#'!A:AL,7,FALSE)</f>
        <v>#VALUE!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47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18</v>
      </c>
      <c r="AH316" s="1">
        <f>VLOOKUP(A316,'SegEnds_NonXtal_Prot#'!A:AL,28,FALSE)-VLOOKUP(A316,'SegEnds_NonXtal_Prot#'!A:AL,22,FALSE)</f>
        <v>43</v>
      </c>
      <c r="AI316" s="4">
        <f>VLOOKUP(A316,'SegEnds_NonXtal_Prot#'!A:AL,31,FALSE)-VLOOKUP(A316,'SegEnds_NonXtal_Prot#'!A:AL,28,FALSE)</f>
        <v>100</v>
      </c>
      <c r="AJ316" s="4">
        <f>VLOOKUP(A316,'SegEnds_NonXtal_Prot#'!A:AL,34,FALSE)-VLOOKUP(A316,'SegEnds_NonXtal_Prot#'!A:AL,31,FALSE)</f>
        <v>31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1179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29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26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45</v>
      </c>
      <c r="AI317" s="1">
        <f>VLOOKUP(A317,'SegEnds_NonXtal_Prot#'!A:AL,31,FALSE)-VLOOKUP(A317,'SegEnds_NonXtal_Prot#'!A:AL,28,FALSE)</f>
        <v>85</v>
      </c>
      <c r="AJ317" s="1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1180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29</v>
      </c>
      <c r="AC318" s="1" t="e">
        <f>VLOOKUP(A318,'SegEnds_NonXtal_Prot#'!A:AL,10,FALSE)-VLOOKUP(A318,'SegEnds_NonXtal_Prot#'!A:AL,7,FALSE)</f>
        <v>#VALUE!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44</v>
      </c>
      <c r="AI318" s="1">
        <f>VLOOKUP(A318,'SegEnds_NonXtal_Prot#'!A:AL,31,FALSE)-VLOOKUP(A318,'SegEnds_NonXtal_Prot#'!A:AL,28,FALSE)</f>
        <v>83</v>
      </c>
      <c r="AJ318" s="1">
        <f>VLOOKUP(A318,'SegEnds_NonXtal_Prot#'!A:AL,34,FALSE)-VLOOKUP(A318,'SegEnds_NonXtal_Prot#'!A:AL,31,FALSE)</f>
        <v>29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1181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29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44</v>
      </c>
      <c r="AI319" s="1">
        <f>VLOOKUP(A319,'SegEnds_NonXtal_Prot#'!A:AL,31,FALSE)-VLOOKUP(A319,'SegEnds_NonXtal_Prot#'!A:AL,28,FALSE)</f>
        <v>83</v>
      </c>
      <c r="AJ319" s="1">
        <f>VLOOKUP(A319,'SegEnds_NonXtal_Prot#'!A:AL,34,FALSE)-VLOOKUP(A319,'SegEnds_NonXtal_Prot#'!A:AL,31,FALSE)</f>
        <v>29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31</v>
      </c>
      <c r="AC320" s="1">
        <f>VLOOKUP(A320,'SegEnds_NonXtal_Prot#'!A:AL,10,FALSE)-VLOOKUP(A320,'SegEnds_NonXtal_Prot#'!A:AL,7,FALSE)</f>
        <v>18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1183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v>50</v>
      </c>
      <c r="W321" s="1">
        <v>33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66</v>
      </c>
      <c r="AJ321" s="1">
        <f>VLOOKUP(A321,'SegEnds_NonXtal_Prot#'!A:AL,34,FALSE)-VLOOKUP(A321,'SegEnds_NonXtal_Prot#'!A:AL,31,FALSE)</f>
        <v>20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4" t="s">
        <v>1184</v>
      </c>
      <c r="B322" s="4" t="str">
        <f>VLOOKUP(A322,Xtal_Templ!A:B,2,FALSE)</f>
        <v>pth1r_human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88">
        <f>VLOOKUP($B322&amp;"__wt",'SegEnds_Xtal_BW#'!$A:$Z,15,FALSE)</f>
        <v>37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54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4" t="e">
        <f>VLOOKUP(A322,'SegEnds_NonXtal_Prot#'!A:AL,10,FALSE)-VLOOKUP(A322,'SegEnds_NonXtal_Prot#'!A:AL,7,FALSE)</f>
        <v>#VALUE!</v>
      </c>
      <c r="AD322" s="4" t="e">
        <f>VLOOKUP(A322,'SegEnds_NonXtal_Prot#'!A:AL,13,FALSE)-VLOOKUP(A322,'SegEnds_NonXtal_Prot#'!A:AL,10,FALSE)</f>
        <v>#VALUE!</v>
      </c>
      <c r="AE322" s="4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4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4">
        <f>VLOOKUP(A322,'SegEnds_NonXtal_Prot#'!A:AL,31,FALSE)-VLOOKUP(A322,'SegEnds_NonXtal_Prot#'!A:AL,28,FALSE)</f>
        <v>52</v>
      </c>
      <c r="AJ322" s="4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1185</v>
      </c>
      <c r="B323" s="1" t="str">
        <f>VLOOKUP(A323,Xtal_Templ!A:B,2,FALSE)</f>
        <v>glp1r_human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38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>
        <f>VLOOKUP(A323,'SegEnds_NonXtal_Prot#'!A:AL,10,FALSE)-VLOOKUP(A323,'SegEnds_NonXtal_Prot#'!A:AL,7,FALSE)</f>
        <v>15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1186</v>
      </c>
      <c r="B324" s="1" t="str">
        <f>VLOOKUP(A324,Xtal_Templ!A:B,2,FALSE)</f>
        <v>pth1r_human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37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54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>
        <f>VLOOKUP(A324,'SegEnds_NonXtal_Prot#'!A:AL,10,FALSE)-VLOOKUP(A324,'SegEnds_NonXtal_Prot#'!A:AL,7,FALSE)</f>
        <v>15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1187</v>
      </c>
      <c r="B325" s="1" t="str">
        <f>VLOOKUP(A325,Xtal_Templ!A:B,2,FALSE)</f>
        <v>glp1r_human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38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28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42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32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1188</v>
      </c>
      <c r="B326" s="1" t="str">
        <f>VLOOKUP(A326,Xtal_Templ!A:B,2,FALSE)</f>
        <v>pth1r_human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37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31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51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21</v>
      </c>
      <c r="AH326" s="1">
        <f>VLOOKUP(A326,'SegEnds_NonXtal_Prot#'!A:AL,28,FALSE)-VLOOKUP(A326,'SegEnds_NonXtal_Prot#'!A:AL,22,FALSE)</f>
        <v>47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29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1190</v>
      </c>
      <c r="B327" s="1" t="str">
        <f>VLOOKUP(A327,Xtal_Templ!A:B,2,FALSE)</f>
        <v>calrl_human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67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31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50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45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29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1191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31</v>
      </c>
      <c r="AC328" s="1" t="e">
        <f>VLOOKUP(A328,'SegEnds_NonXtal_Prot#'!A:AL,10,FALSE)-VLOOKUP(A328,'SegEnds_NonXtal_Prot#'!A:AL,7,FALSE)</f>
        <v>#VALUE!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51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20</v>
      </c>
      <c r="AH328" s="1">
        <f>VLOOKUP(A328,'SegEnds_NonXtal_Prot#'!A:AL,28,FALSE)-VLOOKUP(A328,'SegEnds_NonXtal_Prot#'!A:AL,22,FALSE)</f>
        <v>46</v>
      </c>
      <c r="AI328" s="1">
        <f>VLOOKUP(A328,'SegEnds_NonXtal_Prot#'!A:AL,31,FALSE)-VLOOKUP(A328,'SegEnds_NonXtal_Prot#'!A:AL,28,FALSE)</f>
        <v>51</v>
      </c>
      <c r="AJ328" s="1">
        <f>VLOOKUP(A328,'SegEnds_NonXtal_Prot#'!A:AL,34,FALSE)-VLOOKUP(A328,'SegEnds_NonXtal_Prot#'!A:AL,31,FALSE)</f>
        <v>29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1192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31</v>
      </c>
      <c r="AC329" s="1">
        <f>VLOOKUP(A329,'SegEnds_NonXtal_Prot#'!A:AL,10,FALSE)-VLOOKUP(A329,'SegEnds_NonXtal_Prot#'!A:AL,7,FALSE)</f>
        <v>17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53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20</v>
      </c>
      <c r="AH329" s="1">
        <f>VLOOKUP(A329,'SegEnds_NonXtal_Prot#'!A:AL,28,FALSE)-VLOOKUP(A329,'SegEnds_NonXtal_Prot#'!A:AL,22,FALSE)</f>
        <v>46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29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4" t="s">
        <v>1193</v>
      </c>
      <c r="B330" s="4" t="str">
        <f>VLOOKUP(A330,Xtal_Templ!A:B,2,FALSE)</f>
        <v>crfr1_human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8">
        <f>VLOOKUP($B330&amp;"__wt",'SegEnds_Xtal_BW#'!$A:$Z,15,FALSE)</f>
        <v>40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115">
        <v>28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35</v>
      </c>
      <c r="AC330" s="4">
        <f>VLOOKUP(A330,'SegEnds_NonXtal_Prot#'!A:AL,10,FALSE)-VLOOKUP(A330,'SegEnds_NonXtal_Prot#'!A:AL,7,FALSE)</f>
        <v>21</v>
      </c>
      <c r="AD330" s="4" t="e">
        <f>VLOOKUP(A330,'SegEnds_NonXtal_Prot#'!A:AL,13,FALSE)-VLOOKUP(A330,'SegEnds_NonXtal_Prot#'!A:AL,10,FALSE)</f>
        <v>#VALUE!</v>
      </c>
      <c r="AE330" s="4">
        <f>VLOOKUP(A330,'SegEnds_NonXtal_Prot#'!A:AL,16,FALSE)-VLOOKUP(A330,'SegEnds_NonXtal_Prot#'!A:AL,10,FALSE)</f>
        <v>47</v>
      </c>
      <c r="AF330" s="1" t="e">
        <f>VLOOKUP(A330,'SegEnds_NonXtal_Prot#'!A:AL,22,FALSE)-VLOOKUP(A330,'SegEnds_NonXtal_Prot#'!A:AL,19,FALSE)</f>
        <v>#VALUE!</v>
      </c>
      <c r="AG330" s="4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57</v>
      </c>
      <c r="AI330" s="4">
        <f>VLOOKUP(A330,'SegEnds_NonXtal_Prot#'!A:AL,31,FALSE)-VLOOKUP(A330,'SegEnds_NonXtal_Prot#'!A:AL,28,FALSE)</f>
        <v>44</v>
      </c>
      <c r="AJ330" s="4">
        <f>VLOOKUP(A330,'SegEnds_NonXtal_Prot#'!A:AL,34,FALSE)-VLOOKUP(A330,'SegEnds_NonXtal_Prot#'!A:AL,31,FALSE)</f>
        <v>30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4" t="s">
        <v>1194</v>
      </c>
      <c r="B331" s="4" t="str">
        <f>VLOOKUP(A331,Xtal_Templ!A:B,2,FALSE)</f>
        <v>pth1r_human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8">
        <f>VLOOKUP($B331&amp;"__wt",'SegEnds_Xtal_BW#'!$A:$Z,15,FALSE)</f>
        <v>37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54</v>
      </c>
      <c r="W331" s="4">
        <v>31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29</v>
      </c>
      <c r="AC331" s="4" t="e">
        <f>VLOOKUP(A331,'SegEnds_NonXtal_Prot#'!A:AL,10,FALSE)-VLOOKUP(A331,'SegEnds_NonXtal_Prot#'!A:AL,7,FALSE)</f>
        <v>#VALUE!</v>
      </c>
      <c r="AD331" s="4" t="e">
        <f>VLOOKUP(A331,'SegEnds_NonXtal_Prot#'!A:AL,13,FALSE)-VLOOKUP(A331,'SegEnds_NonXtal_Prot#'!A:AL,10,FALSE)</f>
        <v>#VALUE!</v>
      </c>
      <c r="AE331" s="4">
        <f>VLOOKUP(A331,'SegEnds_NonXtal_Prot#'!A:AL,16,FALSE)-VLOOKUP(A331,'SegEnds_NonXtal_Prot#'!A:AL,10,FALSE)</f>
        <v>47</v>
      </c>
      <c r="AF331" s="1" t="e">
        <f>VLOOKUP(A331,'SegEnds_NonXtal_Prot#'!A:AL,22,FALSE)-VLOOKUP(A331,'SegEnds_NonXtal_Prot#'!A:AL,19,FALSE)</f>
        <v>#VALUE!</v>
      </c>
      <c r="AG331" s="4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54</v>
      </c>
      <c r="AI331" s="4">
        <f>VLOOKUP(A331,'SegEnds_NonXtal_Prot#'!A:AL,31,FALSE)-VLOOKUP(A331,'SegEnds_NonXtal_Prot#'!A:AL,28,FALSE)</f>
        <v>51</v>
      </c>
      <c r="AJ331" s="4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1195</v>
      </c>
      <c r="B332" s="1" t="str">
        <f>VLOOKUP(A332,Xtal_Templ!A:B,2,FALSE)</f>
        <v>pth1r_human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37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v>50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33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47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18</v>
      </c>
      <c r="AH332" s="1">
        <f>VLOOKUP(A332,'SegEnds_NonXtal_Prot#'!A:AL,28,FALSE)-VLOOKUP(A332,'SegEnds_NonXtal_Prot#'!A:AL,22,FALSE)</f>
        <v>51</v>
      </c>
      <c r="AI332" s="1">
        <f>VLOOKUP(A332,'SegEnds_NonXtal_Prot#'!A:AL,31,FALSE)-VLOOKUP(A332,'SegEnds_NonXtal_Prot#'!A:AL,28,FALSE)</f>
        <v>54</v>
      </c>
      <c r="AJ332" s="1">
        <f>VLOOKUP(A332,'SegEnds_NonXtal_Prot#'!A:AL,34,FALSE)-VLOOKUP(A332,'SegEnds_NonXtal_Prot#'!A:AL,31,FALSE)</f>
        <v>26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4" t="s">
        <v>1196</v>
      </c>
      <c r="B333" s="4" t="str">
        <f>VLOOKUP(A333,Xtal_Templ!A:B,2,FALSE)</f>
        <v>pth1r_human</v>
      </c>
      <c r="C333" s="5">
        <v>23</v>
      </c>
      <c r="D333" s="4">
        <f>VLOOKUP($B333&amp;"__wt",'SegEnds_Xtal_BW#'!$A:$Z,4,FALSE)</f>
        <v>60</v>
      </c>
      <c r="E333" s="4">
        <f>VLOOKUP($B333&amp;"__wt",'SegEnds_Xtal_BW#'!$A:$Z,5,FALSE)</f>
        <v>48</v>
      </c>
      <c r="F333" s="4">
        <f>VLOOKUP($B333&amp;"__wt",'SegEnds_Xtal_BW#'!$A:$Z,6,FALSE)</f>
        <v>51</v>
      </c>
      <c r="G333" s="4">
        <v>37</v>
      </c>
      <c r="H333" s="11">
        <v>63</v>
      </c>
      <c r="I333" s="4" t="str">
        <f>VLOOKUP($B333&amp;"__wt",'SegEnds_Xtal_BW#'!$A:$Z,9,FALSE)</f>
        <v>-</v>
      </c>
      <c r="J333" s="4" t="str">
        <f>VLOOKUP($B333&amp;"__wt",'SegEnds_Xtal_BW#'!$A:$Z,10,FALSE)</f>
        <v>-</v>
      </c>
      <c r="K333" s="11">
        <v>23</v>
      </c>
      <c r="L333" s="4">
        <f>VLOOKUP($B333&amp;"__wt",'SegEnds_Xtal_BW#'!$A:$Z,12,FALSE)</f>
        <v>56</v>
      </c>
      <c r="M333" s="4" t="str">
        <f>VLOOKUP($B333&amp;"__wt",'SegEnds_Xtal_BW#'!$A:$Z,13,FALSE)</f>
        <v>-</v>
      </c>
      <c r="N333" s="11" t="str">
        <f>VLOOKUP($B333&amp;"__wt",'SegEnds_Xtal_BW#'!$A:$Z,14,FALSE)</f>
        <v>-</v>
      </c>
      <c r="O333" s="88">
        <f>VLOOKUP($B333&amp;"__wt",'SegEnds_Xtal_BW#'!$A:$Z,15,FALSE)</f>
        <v>37</v>
      </c>
      <c r="P333" s="4">
        <f>VLOOKUP($B333&amp;"__wt",'SegEnds_Xtal_BW#'!$A:$Z,16,FALSE)</f>
        <v>68</v>
      </c>
      <c r="Q333" s="4">
        <f>VLOOKUP($B333&amp;"__wt",'SegEnds_Xtal_BW#'!$A:$Z,17,FALSE)</f>
        <v>50</v>
      </c>
      <c r="R333" s="4">
        <f>VLOOKUP($B333&amp;"__wt",'SegEnds_Xtal_BW#'!$A:$Z,18,FALSE)</f>
        <v>52</v>
      </c>
      <c r="S333" s="4">
        <v>36</v>
      </c>
      <c r="T333" s="4">
        <v>69</v>
      </c>
      <c r="U333" s="4">
        <v>29</v>
      </c>
      <c r="V333" s="4">
        <f>VLOOKUP($B333&amp;"__wt",'SegEnds_Xtal_BW#'!$A:$Z,22,FALSE)</f>
        <v>54</v>
      </c>
      <c r="W333" s="4">
        <v>31</v>
      </c>
      <c r="X333" s="4">
        <f>VLOOKUP($B333&amp;"__wt",'SegEnds_Xtal_BW#'!$A:$Z,24,FALSE)</f>
        <v>56</v>
      </c>
      <c r="Y333" s="4">
        <f>VLOOKUP($B333&amp;"__wt",'SegEnds_Xtal_BW#'!$A:$Z,25,FALSE)</f>
        <v>47</v>
      </c>
      <c r="Z333" s="4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29</v>
      </c>
      <c r="AC333" s="4" t="e">
        <f>VLOOKUP(A333,'SegEnds_NonXtal_Prot#'!A:AL,10,FALSE)-VLOOKUP(A333,'SegEnds_NonXtal_Prot#'!A:AL,7,FALSE)</f>
        <v>#VALUE!</v>
      </c>
      <c r="AD333" s="4" t="e">
        <f>VLOOKUP(A333,'SegEnds_NonXtal_Prot#'!A:AL,13,FALSE)-VLOOKUP(A333,'SegEnds_NonXtal_Prot#'!A:AL,10,FALSE)</f>
        <v>#VALUE!</v>
      </c>
      <c r="AE333" s="4">
        <f>VLOOKUP(A333,'SegEnds_NonXtal_Prot#'!A:AL,16,FALSE)-VLOOKUP(A333,'SegEnds_NonXtal_Prot#'!A:AL,10,FALSE)</f>
        <v>47</v>
      </c>
      <c r="AF333" s="1" t="e">
        <f>VLOOKUP(A333,'SegEnds_NonXtal_Prot#'!A:AL,22,FALSE)-VLOOKUP(A333,'SegEnds_NonXtal_Prot#'!A:AL,19,FALSE)</f>
        <v>#VALUE!</v>
      </c>
      <c r="AG333" s="4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47</v>
      </c>
      <c r="AI333" s="4">
        <f>VLOOKUP(A333,'SegEnds_NonXtal_Prot#'!A:AL,31,FALSE)-VLOOKUP(A333,'SegEnds_NonXtal_Prot#'!A:AL,28,FALSE)</f>
        <v>50</v>
      </c>
      <c r="AJ333" s="4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1197</v>
      </c>
      <c r="B334" s="1" t="str">
        <f>VLOOKUP(A334,Xtal_Templ!A:B,2,FALSE)</f>
        <v>pth1r_human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37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54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48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60</v>
      </c>
      <c r="AI334" s="1">
        <f>VLOOKUP(A334,'SegEnds_NonXtal_Prot#'!A:AL,31,FALSE)-VLOOKUP(A334,'SegEnds_NonXtal_Prot#'!A:AL,28,FALSE)</f>
        <v>49</v>
      </c>
      <c r="AJ334" s="1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1423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1">
        <f>VLOOKUP(A335,'SegEnds_NonXtal_Prot#'!A:AL,10,FALSE)-VLOOKUP(A335,'SegEnds_NonXtal_Prot#'!A:AL,7,FALSE)</f>
        <v>16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47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53</v>
      </c>
      <c r="AI335" s="1">
        <f>VLOOKUP(A335,'SegEnds_NonXtal_Prot#'!A:AL,31,FALSE)-VLOOKUP(A335,'SegEnds_NonXtal_Prot#'!A:AL,28,FALSE)</f>
        <v>51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1198</v>
      </c>
      <c r="B336" s="1" t="str">
        <f>VLOOKUP(A336,Xtal_Templ!A:B,2,FALSE)</f>
        <v>pth1r_human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65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18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37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54</v>
      </c>
      <c r="W336" s="1">
        <v>29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73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26</v>
      </c>
      <c r="AH336" s="1">
        <f>VLOOKUP(A336,'SegEnds_NonXtal_Prot#'!A:AL,28,FALSE)-VLOOKUP(A336,'SegEnds_NonXtal_Prot#'!A:AL,22,FALSE)</f>
        <v>60</v>
      </c>
      <c r="AI336" s="1">
        <f>VLOOKUP(A336,'SegEnds_NonXtal_Prot#'!A:AL,31,FALSE)-VLOOKUP(A336,'SegEnds_NonXtal_Prot#'!A:AL,28,FALSE)</f>
        <v>51</v>
      </c>
      <c r="AJ336" s="1">
        <f>VLOOKUP(A336,'SegEnds_NonXtal_Prot#'!A:AL,34,FALSE)-VLOOKUP(A336,'SegEnds_NonXtal_Prot#'!A:AL,31,FALSE)</f>
        <v>31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1199</v>
      </c>
      <c r="B337" s="1" t="str">
        <f>VLOOKUP(A337,Xtal_Templ!A:B,2,FALSE)</f>
        <v>calcr_human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41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43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1200</v>
      </c>
      <c r="B338" s="1" t="str">
        <f>VLOOKUP(A338,Xtal_Templ!A:B,2,FALSE)</f>
        <v>calcr_human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43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1201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1">
        <f>VLOOKUP(A339,'SegEnds_NonXtal_Prot#'!A:AL,10,FALSE)-VLOOKUP(A339,'SegEnds_NonXtal_Prot#'!A:AL,7,FALSE)</f>
        <v>15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45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1">
        <f>VLOOKUP(A339,'SegEnds_NonXtal_Prot#'!A:AL,31,FALSE)-VLOOKUP(A339,'SegEnds_NonXtal_Prot#'!A:AL,28,FALSE)</f>
        <v>52</v>
      </c>
      <c r="AJ339" s="1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1202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28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45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43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28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414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44</v>
      </c>
      <c r="AI341" s="1">
        <f>VLOOKUP(A341,'SegEnds_NonXtal_Prot#'!A:AL,31,FALSE)-VLOOKUP(A341,'SegEnds_NonXtal_Prot#'!A:AL,28,FALSE)</f>
        <v>50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4" t="s">
        <v>417</v>
      </c>
      <c r="B342" s="4" t="str">
        <f>VLOOKUP(A342,Xtal_Templ!A:B,2,FALSE)</f>
        <v>glp1r_human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88">
        <f>VLOOKUP($B342&amp;"__wt",'SegEnds_Xtal_BW#'!$A:$Z,15,FALSE)</f>
        <v>38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4">
        <v>31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28</v>
      </c>
      <c r="AC342" s="4" t="e">
        <f>VLOOKUP(A342,'SegEnds_NonXtal_Prot#'!A:AL,10,FALSE)-VLOOKUP(A342,'SegEnds_NonXtal_Prot#'!A:AL,7,FALSE)</f>
        <v>#VALUE!</v>
      </c>
      <c r="AD342" s="4" t="e">
        <f>VLOOKUP(A342,'SegEnds_NonXtal_Prot#'!A:AL,13,FALSE)-VLOOKUP(A342,'SegEnds_NonXtal_Prot#'!A:AL,10,FALSE)</f>
        <v>#VALUE!</v>
      </c>
      <c r="AE342" s="4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4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43</v>
      </c>
      <c r="AI342" s="4">
        <f>VLOOKUP(A342,'SegEnds_NonXtal_Prot#'!A:AL,31,FALSE)-VLOOKUP(A342,'SegEnds_NonXtal_Prot#'!A:AL,28,FALSE)</f>
        <v>52</v>
      </c>
      <c r="AJ342" s="4">
        <f>VLOOKUP(A342,'SegEnds_NonXtal_Prot#'!A:AL,34,FALSE)-VLOOKUP(A342,'SegEnds_NonXtal_Prot#'!A:AL,31,FALSE)</f>
        <v>28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418</v>
      </c>
      <c r="B343" s="1" t="str">
        <f>VLOOKUP(A343,Xtal_Templ!A:B,2,FALSE)</f>
        <v>pth1r_human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37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54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28</v>
      </c>
      <c r="AC343" s="1">
        <f>VLOOKUP(A343,'SegEnds_NonXtal_Prot#'!A:AL,10,FALSE)-VLOOKUP(A343,'SegEnds_NonXtal_Prot#'!A:AL,7,FALSE)</f>
        <v>15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45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43</v>
      </c>
      <c r="AI343" s="1">
        <f>VLOOKUP(A343,'SegEnds_NonXtal_Prot#'!A:AL,31,FALSE)-VLOOKUP(A343,'SegEnds_NonXtal_Prot#'!A:AL,28,FALSE)</f>
        <v>48</v>
      </c>
      <c r="AJ343" s="1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419</v>
      </c>
      <c r="B344" s="4" t="str">
        <f>VLOOKUP(A344,Xtal_Templ!A:B,2,FALSE)</f>
        <v>calrl_human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41</v>
      </c>
      <c r="P344" s="4">
        <f>VLOOKUP($B344&amp;"__wt",'SegEnds_Xtal_BW#'!$A:$Z,16,FALSE)</f>
        <v>67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53</v>
      </c>
      <c r="W344" s="4">
        <v>31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28</v>
      </c>
      <c r="AC344" s="4">
        <f>VLOOKUP(A344,'SegEnds_NonXtal_Prot#'!A:AL,10,FALSE)-VLOOKUP(A344,'SegEnds_NonXtal_Prot#'!A:AL,7,FALSE)</f>
        <v>15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45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43</v>
      </c>
      <c r="AI344" s="4">
        <f>VLOOKUP(A344,'SegEnds_NonXtal_Prot#'!A:AL,31,FALSE)-VLOOKUP(A344,'SegEnds_NonXtal_Prot#'!A:AL,28,FALSE)</f>
        <v>48</v>
      </c>
      <c r="AJ344" s="4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420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28</v>
      </c>
      <c r="AC345" s="1">
        <f>VLOOKUP(A345,'SegEnds_NonXtal_Prot#'!A:AL,10,FALSE)-VLOOKUP(A345,'SegEnds_NonXtal_Prot#'!A:AL,7,FALSE)</f>
        <v>15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45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19</v>
      </c>
      <c r="AH345" s="1">
        <f>VLOOKUP(A345,'SegEnds_NonXtal_Prot#'!A:AL,28,FALSE)-VLOOKUP(A345,'SegEnds_NonXtal_Prot#'!A:AL,22,FALSE)</f>
        <v>43</v>
      </c>
      <c r="AI345" s="1">
        <f>VLOOKUP(A345,'SegEnds_NonXtal_Prot#'!A:AL,31,FALSE)-VLOOKUP(A345,'SegEnds_NonXtal_Prot#'!A:AL,28,FALSE)</f>
        <v>47</v>
      </c>
      <c r="AJ345" s="1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442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26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20</v>
      </c>
      <c r="AH346" s="1">
        <f>VLOOKUP(A346,'SegEnds_NonXtal_Prot#'!A:AL,28,FALSE)-VLOOKUP(A346,'SegEnds_NonXtal_Prot#'!A:AL,22,FALSE)</f>
        <v>54</v>
      </c>
      <c r="AI346" s="1">
        <f>VLOOKUP(A346,'SegEnds_NonXtal_Prot#'!A:AL,31,FALSE)-VLOOKUP(A346,'SegEnds_NonXtal_Prot#'!A:AL,28,FALSE)</f>
        <v>49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1189</v>
      </c>
      <c r="B347" s="1" t="str">
        <f>VLOOKUP(A347,Xtal_Templ!A:B,2,FALSE)</f>
        <v>calrl_human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41</v>
      </c>
      <c r="P347" s="1">
        <f>VLOOKUP($B347&amp;"__wt",'SegEnds_Xtal_BW#'!$A:$Z,16,FALSE)</f>
        <v>67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08">
        <v>50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31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51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20</v>
      </c>
      <c r="AH347" s="1">
        <f>VLOOKUP(A347,'SegEnds_NonXtal_Prot#'!A:AL,28,FALSE)-VLOOKUP(A347,'SegEnds_NonXtal_Prot#'!A:AL,22,FALSE)</f>
        <v>46</v>
      </c>
      <c r="AI347" s="1">
        <f>VLOOKUP(A347,'SegEnds_NonXtal_Prot#'!A:AL,31,FALSE)-VLOOKUP(A347,'SegEnds_NonXtal_Prot#'!A:AL,28,FALSE)</f>
        <v>57</v>
      </c>
      <c r="AJ347" s="1">
        <f>VLOOKUP(A347,'SegEnds_NonXtal_Prot#'!A:AL,34,FALSE)-VLOOKUP(A347,'SegEnds_NonXtal_Prot#'!A:AL,31,FALSE)</f>
        <v>23</v>
      </c>
      <c r="AK347" s="1" t="e">
        <f>VLOOKUP(A347,'SegEnds_NonXtal_Prot#'!A:AL,37,FALSE)-VLOOKUP(A347,'SegEnds_NonXtal_Prot#'!A:AL,34,FALSE)</f>
        <v>#VALUE!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105</v>
      </c>
      <c r="B348" s="42" t="str">
        <f>VLOOKUP(A348,Xtal_Templ!A:B,2,FALSE)</f>
        <v>grm5_human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51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106</v>
      </c>
      <c r="B349" s="4" t="str">
        <f>VLOOKUP(A349,Xtal_Templ!A:B,2,FALSE)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19</v>
      </c>
      <c r="AH349" s="1">
        <f>VLOOKUP(A349,'SegEnds_NonXtal_Prot#'!A:AL,28,FALSE)-VLOOKUP(A349,'SegEnds_NonXtal_Prot#'!A:AL,22,FALSE)</f>
        <v>62</v>
      </c>
      <c r="AI349" s="4">
        <f>VLOOKUP(A349,'SegEnds_NonXtal_Prot#'!A:AL,31,FALSE)-VLOOKUP(A349,'SegEnds_NonXtal_Prot#'!A:AL,28,FALSE)</f>
        <v>38</v>
      </c>
      <c r="AJ349" s="4">
        <f>VLOOKUP(A349,'SegEnds_NonXtal_Prot#'!A:AL,34,FALSE)-VLOOKUP(A349,'SegEnds_NonXtal_Prot#'!A:AL,31,FALSE)</f>
        <v>31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1" t="s">
        <v>107</v>
      </c>
      <c r="B350" s="1" t="str">
        <f>VLOOKUP(A350,Xtal_Templ!A:B,2,FALSE)</f>
        <v>grm5_human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15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19</v>
      </c>
      <c r="AH350" s="1">
        <f>VLOOKUP(A350,'SegEnds_NonXtal_Prot#'!A:AL,28,FALSE)-VLOOKUP(A350,'SegEnds_NonXtal_Prot#'!A:AL,22,FALSE)</f>
        <v>62</v>
      </c>
      <c r="AI350" s="1">
        <f>VLOOKUP(A350,'SegEnds_NonXtal_Prot#'!A:AL,31,FALSE)-VLOOKUP(A350,'SegEnds_NonXtal_Prot#'!A:AL,28,FALSE)</f>
        <v>38</v>
      </c>
      <c r="AJ350" s="1">
        <f>VLOOKUP(A350,'SegEnds_NonXtal_Prot#'!A:AL,34,FALSE)-VLOOKUP(A350,'SegEnds_NonXtal_Prot#'!A:AL,31,FALSE)</f>
        <v>31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108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50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19</v>
      </c>
      <c r="AH351" s="1">
        <f>VLOOKUP(A351,'SegEnds_NonXtal_Prot#'!A:AL,28,FALSE)-VLOOKUP(A351,'SegEnds_NonXtal_Prot#'!A:AL,22,FALSE)</f>
        <v>62</v>
      </c>
      <c r="AI351" s="1">
        <f>VLOOKUP(A351,'SegEnds_NonXtal_Prot#'!A:AL,31,FALSE)-VLOOKUP(A351,'SegEnds_NonXtal_Prot#'!A:AL,28,FALSE)</f>
        <v>39</v>
      </c>
      <c r="AJ351" s="1">
        <f>VLOOKUP(A351,'SegEnds_NonXtal_Prot#'!A:AL,34,FALSE)-VLOOKUP(A351,'SegEnds_NonXtal_Prot#'!A:AL,31,FALSE)</f>
        <v>30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109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16</v>
      </c>
      <c r="AH352" s="1">
        <f>VLOOKUP(A352,'SegEnds_NonXtal_Prot#'!A:AL,28,FALSE)-VLOOKUP(A352,'SegEnds_NonXtal_Prot#'!A:AL,22,FALSE)</f>
        <v>65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33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110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65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33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114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32</v>
      </c>
      <c r="AC354" s="4">
        <f>VLOOKUP(A354,'SegEnds_NonXtal_Prot#'!A:AL,10,FALSE)-VLOOKUP(A354,'SegEnds_NonXtal_Prot#'!A:AL,7,FALSE)</f>
        <v>16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50</v>
      </c>
      <c r="AI354" s="4">
        <f>VLOOKUP(A354,'SegEnds_NonXtal_Prot#'!A:AL,31,FALSE)-VLOOKUP(A354,'SegEnds_NonXtal_Prot#'!A:AL,28,FALSE)</f>
        <v>35</v>
      </c>
      <c r="AJ354" s="4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4" t="s">
        <v>40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4">
        <f>VLOOKUP(A355,'SegEnds_NonXtal_Prot#'!A:AL,10,FALSE)-VLOOKUP(A355,'SegEnds_NonXtal_Prot#'!A:AL,7,FALSE)</f>
        <v>15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49</v>
      </c>
      <c r="AI355" s="4">
        <f>VLOOKUP(A355,'SegEnds_NonXtal_Prot#'!A:AL,31,FALSE)-VLOOKUP(A355,'SegEnds_NonXtal_Prot#'!A:AL,28,FALSE)</f>
        <v>37</v>
      </c>
      <c r="AJ355" s="4">
        <f>VLOOKUP(A355,'SegEnds_NonXtal_Prot#'!A:AL,34,FALSE)-VLOOKUP(A355,'SegEnds_NonXtal_Prot#'!A:AL,31,FALSE)</f>
        <v>27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Xtal</v>
      </c>
    </row>
    <row r="356" spans="1:38" x14ac:dyDescent="0.2">
      <c r="A356" s="1" t="s">
        <v>115</v>
      </c>
      <c r="B356" s="1" t="str">
        <f>VLOOKUP(A356,Xtal_Templ!A:B,2,FALSE)</f>
        <v>grm1_human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51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116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51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117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56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34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41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49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27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Xtal</v>
      </c>
    </row>
    <row r="360" spans="1:38" x14ac:dyDescent="0.2">
      <c r="A360" s="1" t="s">
        <v>118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56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34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119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56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34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120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56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34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122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18</v>
      </c>
      <c r="AH363" s="1">
        <f>VLOOKUP(A363,'SegEnds_NonXtal_Prot#'!A:AL,28,FALSE)-VLOOKUP(A363,'SegEnds_NonXtal_Prot#'!A:AL,22,FALSE)</f>
        <v>51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29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123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18</v>
      </c>
      <c r="AH364" s="1">
        <f>VLOOKUP(A364,'SegEnds_NonXtal_Prot#'!A:AL,28,FALSE)-VLOOKUP(A364,'SegEnds_NonXtal_Prot#'!A:AL,22,FALSE)</f>
        <v>52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29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124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18</v>
      </c>
      <c r="AH365" s="1">
        <f>VLOOKUP(A365,'SegEnds_NonXtal_Prot#'!A:AL,28,FALSE)-VLOOKUP(A365,'SegEnds_NonXtal_Prot#'!A:AL,22,FALSE)</f>
        <v>51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29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111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4">
        <f>VLOOKUP(A366,'SegEnds_NonXtal_Prot#'!A:AL,10,FALSE)-VLOOKUP(A366,'SegEnds_NonXtal_Prot#'!A:AL,7,FALSE)</f>
        <v>19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40</v>
      </c>
      <c r="AI366" s="4">
        <f>VLOOKUP(A366,'SegEnds_NonXtal_Prot#'!A:AL,31,FALSE)-VLOOKUP(A366,'SegEnds_NonXtal_Prot#'!A:AL,28,FALSE)</f>
        <v>39</v>
      </c>
      <c r="AJ366" s="4">
        <f>VLOOKUP(A366,'SegEnds_NonXtal_Prot#'!A:AL,34,FALSE)-VLOOKUP(A366,'SegEnds_NonXtal_Prot#'!A:AL,31,FALSE)</f>
        <v>35</v>
      </c>
      <c r="AK366" s="1">
        <f>VLOOKUP(A366,'SegEnds_NonXtal_Prot#'!A:AL,37,FALSE)-VLOOKUP(A366,'SegEnds_NonXtal_Prot#'!A:AL,34,FALSE)</f>
        <v>20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4" t="s">
        <v>113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16</v>
      </c>
      <c r="AH368" s="1">
        <f>VLOOKUP(A368,'SegEnds_NonXtal_Prot#'!A:AL,28,FALSE)-VLOOKUP(A368,'SegEnds_NonXtal_Prot#'!A:AL,22,FALSE)</f>
        <v>43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121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1">
        <f>VLOOKUP(A369,'SegEnds_NonXtal_Prot#'!A:AL,10,FALSE)-VLOOKUP(A369,'SegEnds_NonXtal_Prot#'!A:AL,7,FALSE)</f>
        <v>19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VLOOKUP(A369,'SegEnds_NonXtal_Prot#'!A:AL,28,FALSE)-VLOOKUP(A369,'SegEnds_NonXtal_Prot#'!A:AL,25,FALSE)</f>
        <v>#VALUE!</v>
      </c>
      <c r="AH369" s="1">
        <f>VLOOKUP(A369,'SegEnds_NonXtal_Prot#'!A:AL,28,FALSE)-VLOOKUP(A369,'SegEnds_NonXtal_Prot#'!A:AL,22,FALSE)</f>
        <v>45</v>
      </c>
      <c r="AI369" s="1">
        <f>VLOOKUP(A369,'SegEnds_NonXtal_Prot#'!A:AL,31,FALSE)-VLOOKUP(A369,'SegEnds_NonXtal_Prot#'!A:AL,28,FALSE)</f>
        <v>39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VLOOKUP(A370,Xtal_Templ!A:B,2,FALSE)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VLOOKUP(A371,Xtal_Templ!A:B,2,FALSE)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VLOOKUP(A372,Xtal_Templ!A:B,2,FALSE)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VLOOKUP(A373,Xtal_Templ!A:B,2,FALSE)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v>66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451</v>
      </c>
      <c r="B375" s="1" t="str">
        <f>VLOOKUP(A375,Xtal_Templ!A:B,2,FALSE)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454</v>
      </c>
      <c r="B378" s="1" t="str">
        <f>VLOOKUP(A378,Xtal_Templ!A:B,2,FALSE)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103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57</v>
      </c>
      <c r="AJ378" s="1">
        <f>VLOOKUP(A378,'SegEnds_NonXtal_Prot#'!A:AL,34,FALSE)-VLOOKUP(A378,'SegEnds_NonXtal_Prot#'!A:AL,31,FALSE)</f>
        <v>49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455</v>
      </c>
      <c r="B379" s="1" t="str">
        <f>VLOOKUP(A379,Xtal_Templ!A:B,2,FALSE)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58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1510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VLOOKUP(A382,Xtal_Templ!A:B,2,FALSE)</f>
        <v>agtr1_human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4" t="s">
        <v>485</v>
      </c>
      <c r="B383" s="4" t="str">
        <f>VLOOKUP(A383,Xtal_Templ!A:B,2,FALSE)</f>
        <v>aa2ar_human</v>
      </c>
      <c r="C383" s="5">
        <f>VLOOKUP($B383&amp;"__wt",'SegEnds_Xtal_BW#'!$A:$Z,3,FALSE)</f>
        <v>27</v>
      </c>
      <c r="D383" s="4">
        <v>60</v>
      </c>
      <c r="E383" s="4" t="s">
        <v>23</v>
      </c>
      <c r="F383" s="4" t="s">
        <v>23</v>
      </c>
      <c r="G383" s="4">
        <v>39</v>
      </c>
      <c r="H383" s="11">
        <v>63</v>
      </c>
      <c r="I383" s="4" t="s">
        <v>23</v>
      </c>
      <c r="J383" s="4" t="s">
        <v>23</v>
      </c>
      <c r="K383" s="11">
        <v>23</v>
      </c>
      <c r="L383" s="4">
        <v>56</v>
      </c>
      <c r="M383" s="4" t="s">
        <v>23</v>
      </c>
      <c r="N383" s="11" t="s">
        <v>23</v>
      </c>
      <c r="O383" s="88">
        <v>40</v>
      </c>
      <c r="P383" s="4">
        <v>64</v>
      </c>
      <c r="Q383" s="4" t="s">
        <v>23</v>
      </c>
      <c r="R383" s="4" t="s">
        <v>23</v>
      </c>
      <c r="S383" s="4">
        <v>39</v>
      </c>
      <c r="T383" s="4">
        <v>61</v>
      </c>
      <c r="U383" s="4">
        <v>29</v>
      </c>
      <c r="V383" s="4">
        <v>53</v>
      </c>
      <c r="W383" s="4">
        <v>35</v>
      </c>
      <c r="X383" s="4">
        <v>56</v>
      </c>
      <c r="Y383" s="4">
        <v>47</v>
      </c>
      <c r="Z383" s="4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36</v>
      </c>
      <c r="AC383" s="4" t="e">
        <f>VLOOKUP(A383,'SegEnds_NonXtal_Prot#'!A:AL,10,FALSE)-VLOOKUP(A383,'SegEnds_NonXtal_Prot#'!A:AL,7,FALSE)</f>
        <v>#VALUE!</v>
      </c>
      <c r="AD383" s="4" t="e">
        <f>VLOOKUP(A383,'SegEnds_NonXtal_Prot#'!A:AL,13,FALSE)-VLOOKUP(A383,'SegEnds_NonXtal_Prot#'!A:AL,10,FALSE)</f>
        <v>#VALUE!</v>
      </c>
      <c r="AE383" s="4">
        <f>VLOOKUP(A383,'SegEnds_NonXtal_Prot#'!A:AL,16,FALSE)-VLOOKUP(A383,'SegEnds_NonXtal_Prot#'!A:AL,10,FALSE)</f>
        <v>63</v>
      </c>
      <c r="AF383" s="1" t="e">
        <f>VLOOKUP(A383,'SegEnds_NonXtal_Prot#'!A:AL,22,FALSE)-VLOOKUP(A383,'SegEnds_NonXtal_Prot#'!A:AL,19,FALSE)</f>
        <v>#VALUE!</v>
      </c>
      <c r="AG383" s="4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39</v>
      </c>
      <c r="AI383" s="4">
        <f>VLOOKUP(A383,'SegEnds_NonXtal_Prot#'!A:AL,31,FALSE)-VLOOKUP(A383,'SegEnds_NonXtal_Prot#'!A:AL,28,FALSE)</f>
        <v>58</v>
      </c>
      <c r="AJ383" s="4">
        <f>VLOOKUP(A383,'SegEnds_NonXtal_Prot#'!A:AL,34,FALSE)-VLOOKUP(A383,'SegEnds_NonXtal_Prot#'!A:AL,31,FALSE)</f>
        <v>49</v>
      </c>
      <c r="AK383" s="1">
        <f>VLOOKUP(A383,'SegEnds_NonXtal_Prot#'!A:AL,37,FALSE)-VLOOKUP(A383,'SegEnds_NonXtal_Prot#'!A:AL,34,FALSE)</f>
        <v>10</v>
      </c>
      <c r="AL383" s="1" t="str">
        <f>IF(ISERROR(MATCH(A383,'SegEnds_Xtal_Prot#'!B:B, 0)), "NoXtal", "Xtal")</f>
        <v>NoXtal</v>
      </c>
    </row>
    <row r="384" spans="1:38" x14ac:dyDescent="0.2">
      <c r="A384" s="1" t="s">
        <v>482</v>
      </c>
      <c r="B384" s="1" t="str">
        <f>VLOOKUP(A384,Xtal_Templ!A:B,2,FALSE)</f>
        <v>ccr9_human</v>
      </c>
      <c r="C384" s="5">
        <f>VLOOKUP($B384&amp;"__wt",'SegEnds_Xtal_BW#'!$A:$Z,3,FALSE)</f>
        <v>27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49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74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81</v>
      </c>
      <c r="AI384" s="1">
        <f>VLOOKUP(A384,'SegEnds_NonXtal_Prot#'!A:AL,31,FALSE)-VLOOKUP(A384,'SegEnds_NonXtal_Prot#'!A:AL,28,FALSE)</f>
        <v>37</v>
      </c>
      <c r="AJ384" s="1">
        <f>VLOOKUP(A384,'SegEnds_NonXtal_Prot#'!A:AL,34,FALSE)-VLOOKUP(A384,'SegEnds_NonXtal_Prot#'!A:AL,31,FALSE)</f>
        <v>44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NoXtal</v>
      </c>
    </row>
    <row r="385" spans="1:38" x14ac:dyDescent="0.2">
      <c r="A385" s="1" t="s">
        <v>486</v>
      </c>
      <c r="B385" s="1" t="str">
        <f>VLOOKUP(A385,Xtal_Templ!A:B,2,FALSE)</f>
        <v>5ht2c_human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28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47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29</v>
      </c>
      <c r="AI385" s="1">
        <f>VLOOKUP(A385,'SegEnds_NonXtal_Prot#'!A:AL,31,FALSE)-VLOOKUP(A385,'SegEnds_NonXtal_Prot#'!A:AL,28,FALSE)</f>
        <v>67</v>
      </c>
      <c r="AJ385" s="1">
        <f>VLOOKUP(A385,'SegEnds_NonXtal_Prot#'!A:AL,34,FALSE)-VLOOKUP(A385,'SegEnds_NonXtal_Prot#'!A:AL,31,FALSE)</f>
        <v>45</v>
      </c>
      <c r="AK385" s="1">
        <f>VLOOKUP(A385,'SegEnds_NonXtal_Prot#'!A:AL,37,FALSE)-VLOOKUP(A385,'SegEnds_NonXtal_Prot#'!A:AL,34,FALSE)</f>
        <v>18</v>
      </c>
      <c r="AL385" s="1" t="str">
        <f>IF(ISERROR(MATCH(A385,'SegEnds_Xtal_Prot#'!B:B, 0)), "NoXtal", "Xtal")</f>
        <v>NoXtal</v>
      </c>
    </row>
    <row r="386" spans="1:38" x14ac:dyDescent="0.2">
      <c r="A386" s="1" t="s">
        <v>484</v>
      </c>
      <c r="B386" s="1" t="str">
        <f>VLOOKUP(A386,Xtal_Templ!A:B,2,FALSE)</f>
        <v>pe2r4_human</v>
      </c>
      <c r="C386" s="5">
        <f>VLOOKUP($B386&amp;"__wt",'SegEnds_Xtal_BW#'!$A:$Z,3,FALSE)</f>
        <v>33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08">
        <v>61</v>
      </c>
      <c r="Q386" s="1" t="s">
        <v>23</v>
      </c>
      <c r="R386" s="1" t="s">
        <v>23</v>
      </c>
      <c r="S386" s="108">
        <v>40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32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45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25</v>
      </c>
      <c r="AI386" s="1">
        <f>VLOOKUP(A386,'SegEnds_NonXtal_Prot#'!A:AL,31,FALSE)-VLOOKUP(A386,'SegEnds_NonXtal_Prot#'!A:AL,28,FALSE)</f>
        <v>76</v>
      </c>
      <c r="AJ386" s="1">
        <f>VLOOKUP(A386,'SegEnds_NonXtal_Prot#'!A:AL,34,FALSE)-VLOOKUP(A386,'SegEnds_NonXtal_Prot#'!A:AL,31,FALSE)</f>
        <v>36</v>
      </c>
      <c r="AK386" s="1">
        <f>VLOOKUP(A386,'SegEnds_NonXtal_Prot#'!A:AL,37,FALSE)-VLOOKUP(A386,'SegEnds_NonXtal_Prot#'!A:AL,34,FALSE)</f>
        <v>24</v>
      </c>
      <c r="AL386" s="1" t="str">
        <f>IF(ISERROR(MATCH(A386,'SegEnds_Xtal_Prot#'!B:B, 0)), "NoXtal", "Xtal")</f>
        <v>NoXtal</v>
      </c>
    </row>
    <row r="387" spans="1:38" x14ac:dyDescent="0.2">
      <c r="A387" s="1" t="s">
        <v>456</v>
      </c>
      <c r="B387" s="1" t="str">
        <f>VLOOKUP(A387,Xtal_Templ!A:B,2,FALSE)</f>
        <v>drd2_human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67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58</v>
      </c>
      <c r="O387" s="88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30</v>
      </c>
      <c r="AC387" s="1">
        <f>VLOOKUP(A387,'SegEnds_NonXtal_Prot#'!A:AL,10,FALSE)-VLOOKUP(A387,'SegEnds_NonXtal_Prot#'!A:AL,7,FALSE)</f>
        <v>15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52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50</v>
      </c>
      <c r="AI387" s="1">
        <f>VLOOKUP(A387,'SegEnds_NonXtal_Prot#'!A:AL,31,FALSE)-VLOOKUP(A387,'SegEnds_NonXtal_Prot#'!A:AL,28,FALSE)</f>
        <v>53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VLOOKUP(A388,Xtal_Templ!A:B,2,FALSE)</f>
        <v>apj_human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52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VLOOKUP(A390,Xtal_Templ!A:B,2,FALSE)</f>
        <v>pd2r2_human</v>
      </c>
      <c r="C390" s="5">
        <v>32</v>
      </c>
      <c r="D390" s="1">
        <v>62</v>
      </c>
      <c r="E390" s="1" t="str">
        <f>VLOOKUP($B390&amp;"__wt",'SegEnds_Xtal_BW#'!$A:$Z,5,FALSE)</f>
        <v>-</v>
      </c>
      <c r="F390" s="1" t="str">
        <f>VLOOKUP($B390&amp;"__wt",'SegEnds_Xtal_BW#'!$A:$Z,6,FALSE)</f>
        <v>-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cxcr4_human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930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470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471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VLOOKUP(A404,Xtal_Templ!A:B,2,FALSE)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58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4" t="s">
        <v>474</v>
      </c>
      <c r="B405" s="4" t="str">
        <f>VLOOKUP(A405,Xtal_Templ!A:B,2,FALSE)</f>
        <v>cxcr4_human</v>
      </c>
      <c r="C405" s="5">
        <v>32</v>
      </c>
      <c r="D405" s="4">
        <v>62</v>
      </c>
      <c r="E405" s="4">
        <f>VLOOKUP($B405&amp;"__wt",'SegEnds_Xtal_BW#'!$A:$Z,5,FALSE)</f>
        <v>48</v>
      </c>
      <c r="F405" s="4">
        <f>VLOOKUP($B405&amp;"__wt",'SegEnds_Xtal_BW#'!$A:$Z,6,FALSE)</f>
        <v>51</v>
      </c>
      <c r="G405" s="4">
        <v>39</v>
      </c>
      <c r="H405" s="11">
        <v>66</v>
      </c>
      <c r="I405" s="4" t="s">
        <v>23</v>
      </c>
      <c r="J405" s="4" t="s">
        <v>23</v>
      </c>
      <c r="K405" s="11">
        <v>24</v>
      </c>
      <c r="L405" s="4">
        <f>VLOOKUP($B405&amp;"__wt",'SegEnds_Xtal_BW#'!$A:$Z,12,FALSE)</f>
        <v>56</v>
      </c>
      <c r="M405" s="4">
        <f>VLOOKUP($B405&amp;"__wt",'SegEnds_Xtal_BW#'!$A:$Z,13,FALSE)</f>
        <v>50</v>
      </c>
      <c r="N405" s="11">
        <v>57</v>
      </c>
      <c r="O405" s="88">
        <v>38</v>
      </c>
      <c r="P405" s="4">
        <f>VLOOKUP($B405&amp;"__wt",'SegEnds_Xtal_BW#'!$A:$Z,16,FALSE)</f>
        <v>64</v>
      </c>
      <c r="Q405" s="4">
        <f>VLOOKUP($B405&amp;"__wt",'SegEnds_Xtal_BW#'!$A:$Z,17,FALSE)</f>
        <v>50</v>
      </c>
      <c r="R405" s="4">
        <f>VLOOKUP($B405&amp;"__wt",'SegEnds_Xtal_BW#'!$A:$Z,18,FALSE)</f>
        <v>52</v>
      </c>
      <c r="S405" s="4">
        <v>32</v>
      </c>
      <c r="T405" s="4">
        <v>72</v>
      </c>
      <c r="U405" s="4">
        <v>29</v>
      </c>
      <c r="V405" s="4">
        <v>61</v>
      </c>
      <c r="W405" s="4">
        <v>31</v>
      </c>
      <c r="X405" s="4">
        <f>VLOOKUP($B405&amp;"__wt",'SegEnds_Xtal_BW#'!$A:$Z,24,FALSE)</f>
        <v>56</v>
      </c>
      <c r="Y405" s="4">
        <f>VLOOKUP($B405&amp;"__wt",'SegEnds_Xtal_BW#'!$A:$Z,25,FALSE)</f>
        <v>47</v>
      </c>
      <c r="Z405" s="4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4">
        <f>VLOOKUP(A405,'SegEnds_NonXtal_Prot#'!A:AL,10,FALSE)-VLOOKUP(A405,'SegEnds_NonXtal_Prot#'!A:AL,7,FALSE)</f>
        <v>16</v>
      </c>
      <c r="AD405" s="4" t="e">
        <f>VLOOKUP(A405,'SegEnds_NonXtal_Prot#'!A:AL,13,FALSE)-VLOOKUP(A405,'SegEnds_NonXtal_Prot#'!A:AL,10,FALSE)</f>
        <v>#VALUE!</v>
      </c>
      <c r="AE405" s="4">
        <f>VLOOKUP(A405,'SegEnds_NonXtal_Prot#'!A:AL,16,FALSE)-VLOOKUP(A405,'SegEnds_NonXtal_Prot#'!A:AL,10,FALSE)</f>
        <v>48</v>
      </c>
      <c r="AF405" s="1">
        <f>VLOOKUP(A405,'SegEnds_NonXtal_Prot#'!A:AL,22,FALSE)-VLOOKUP(A405,'SegEnds_NonXtal_Prot#'!A:AL,19,FALSE)</f>
        <v>20</v>
      </c>
      <c r="AG405" s="4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4">
        <f>VLOOKUP(A405,'SegEnds_NonXtal_Prot#'!A:AL,31,FALSE)-VLOOKUP(A405,'SegEnds_NonXtal_Prot#'!A:AL,28,FALSE)</f>
        <v>53</v>
      </c>
      <c r="AJ405" s="4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VLOOKUP(A407,Xtal_Templ!A:B,2,FALSE)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VLOOKUP(A408,Xtal_Templ!A:B,2,FALSE)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VLOOKUP(A411,Xtal_Templ!A:B,2,FALSE)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K2:AK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tabSelected="1" zoomScale="120" zoomScaleNormal="120" zoomScalePageLayoutView="120" workbookViewId="0">
      <pane ySplit="1" topLeftCell="A2" activePane="bottomLeft" state="frozenSplit"/>
      <selection pane="bottomLeft" activeCell="A227" sqref="A227:XFD227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drd2_human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294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5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3">
        <f t="shared" ref="I91:I101" si="6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NoXtal</v>
      </c>
      <c r="AP91" s="3">
        <f t="shared" si="39"/>
        <v>1</v>
      </c>
      <c r="AQ91" s="3">
        <f t="shared" si="40"/>
        <v>1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6</v>
      </c>
      <c r="AZ91" s="3">
        <f t="shared" si="49"/>
        <v>1</v>
      </c>
      <c r="BA91" s="3">
        <f>IF(ISERROR(LEN(VLOOKUP(A91,Seqs!A:E,2,FALSE))-AL91),"-",LEN(VLOOKUP(A91,Seqs!A:E,2,FALSE))-AL91)</f>
        <v>45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si="6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6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6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6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298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3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18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6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39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5ht2c_human</v>
      </c>
      <c r="C153" s="3">
        <f>VLOOKUP($A153,'SegEnds_NonXtal_BW#'!$A:$Z,3,FALSE)+D153-50</f>
        <v>21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6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6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6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5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5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5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5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6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6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6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6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14</v>
      </c>
      <c r="AW213" s="3">
        <f t="shared" si="125"/>
        <v>10</v>
      </c>
      <c r="AX213" s="3">
        <f t="shared" si="126"/>
        <v>6</v>
      </c>
      <c r="AY213" s="3">
        <f t="shared" si="127"/>
        <v>5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5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5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193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8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pe2r3_human</v>
      </c>
      <c r="C223" s="3">
        <f>VLOOKUP($A223,'SegEnds_NonXtal_BW#'!$A:$Z,3,FALSE)+D223-50</f>
        <v>36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198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351</v>
      </c>
      <c r="AJ223" s="3">
        <f>IF(ISERROR(VLOOKUP($A223,'SegEnds_NonXtal_BW#'!$A:$Z,25,FALSE)+VLOOKUP($A223,A:AL,37,FALSE)-50),"-",(VLOOKUP($A223,'SegEnds_NonXtal_BW#'!$A:$Z,25,FALSE)+VLOOKUP($A223,A:AL,37,FALSE)-50))</f>
        <v>352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8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6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 t="str">
        <f t="shared" si="120"/>
        <v>-</v>
      </c>
      <c r="AS226" s="3" t="str">
        <f t="shared" si="121"/>
        <v>-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38</v>
      </c>
      <c r="AY226" s="3">
        <f t="shared" si="127"/>
        <v>6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pe2r3_human</v>
      </c>
      <c r="C227" s="3">
        <f>VLOOKUP($A227,'SegEnds_NonXtal_BW#'!$A:$Z,3,FALSE)+D227-50</f>
        <v>30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95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2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178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6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7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47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pe2r3_human</v>
      </c>
      <c r="C240" s="3">
        <f>VLOOKUP($A240,'SegEnds_NonXtal_BW#'!$A:$Z,3,FALSE)+D240-50</f>
        <v>28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3">
        <f t="shared" si="143"/>
        <v>97</v>
      </c>
      <c r="O240" s="3">
        <f t="shared" si="13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200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308</v>
      </c>
      <c r="AJ240" s="3">
        <f>IF(ISERROR(VLOOKUP($A240,'SegEnds_NonXtal_BW#'!$A:$Z,25,FALSE)+VLOOKUP($A240,A:AL,37,FALSE)-50),"-",(VLOOKUP($A240,'SegEnds_NonXtal_BW#'!$A:$Z,25,FALSE)+VLOOKUP($A240,A:AL,37,FALSE)-50))</f>
        <v>309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NoXtal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1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15</v>
      </c>
      <c r="AX240" s="3">
        <f t="shared" si="126"/>
        <v>4</v>
      </c>
      <c r="AY240" s="3">
        <f t="shared" si="127"/>
        <v>5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42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6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7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6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5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6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6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94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3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6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32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95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3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6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147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3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6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oprk_human</v>
      </c>
      <c r="C283" s="3">
        <f>VLOOKUP($A283,'SegEnds_NonXtal_BW#'!$A:$Z,3,FALSE)+D283-50</f>
        <v>35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195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323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5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5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1524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1430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pth1r_human</v>
      </c>
      <c r="C304" s="3">
        <f>VLOOKUP($A304,'SegEnds_NonXtal_BW#'!$A:$Z,3,FALSE)+D304-50</f>
        <v>121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237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348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6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145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179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136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134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134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118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pth1r_human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459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571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5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1423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674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550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638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649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641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647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652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645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smo_human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373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400</v>
      </c>
      <c r="P370" s="3">
        <v>427</v>
      </c>
      <c r="Q370" s="3">
        <f>VLOOKUP($A370,'SegEnds_NonXtal_BW#'!$A:$Z,12,FALSE)+VLOOKUP($A370,A:AL,16,FALSE)-50</f>
        <v>436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440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465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527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12</v>
      </c>
      <c r="AW370" s="3">
        <f t="shared" si="187"/>
        <v>4</v>
      </c>
      <c r="AX370" s="3">
        <f t="shared" si="188"/>
        <v>7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smo_human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281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307</v>
      </c>
      <c r="P371" s="3">
        <v>334</v>
      </c>
      <c r="Q371" s="3">
        <f>VLOOKUP($A371,'SegEnds_NonXtal_BW#'!$A:$Z,12,FALSE)+VLOOKUP($A371,A:AL,16,FALSE)-50</f>
        <v>343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347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372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434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12</v>
      </c>
      <c r="AW371" s="3">
        <f t="shared" si="187"/>
        <v>4</v>
      </c>
      <c r="AX371" s="3">
        <f t="shared" si="188"/>
        <v>7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smo_human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298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325</v>
      </c>
      <c r="P372" s="3">
        <v>352</v>
      </c>
      <c r="Q372" s="3">
        <f>VLOOKUP($A372,'SegEnds_NonXtal_BW#'!$A:$Z,12,FALSE)+VLOOKUP($A372,A:AL,16,FALSE)-50</f>
        <v>361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365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390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452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12</v>
      </c>
      <c r="AW372" s="3">
        <f t="shared" si="187"/>
        <v>4</v>
      </c>
      <c r="AX372" s="3">
        <f t="shared" si="188"/>
        <v>7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smo_human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256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284</v>
      </c>
      <c r="P373" s="3">
        <v>311</v>
      </c>
      <c r="Q373" s="3">
        <f>VLOOKUP($A373,'SegEnds_NonXtal_BW#'!$A:$Z,12,FALSE)+VLOOKUP($A373,A:AL,16,FALSE)-50</f>
        <v>320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324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349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411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12</v>
      </c>
      <c r="AW373" s="3">
        <f t="shared" si="187"/>
        <v>4</v>
      </c>
      <c r="AX373" s="3">
        <f t="shared" si="188"/>
        <v>7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smo_human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273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300</v>
      </c>
      <c r="P374" s="3">
        <v>327</v>
      </c>
      <c r="Q374" s="3">
        <f>VLOOKUP($A374,'SegEnds_NonXtal_BW#'!$A:$Z,12,FALSE)+VLOOKUP($A374,A:AL,16,FALSE)-50</f>
        <v>336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340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365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427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469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NoXtal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12</v>
      </c>
      <c r="AW374" s="3">
        <f t="shared" si="187"/>
        <v>4</v>
      </c>
      <c r="AX374" s="3">
        <f t="shared" si="188"/>
        <v>7</v>
      </c>
      <c r="AY374" s="3">
        <f t="shared" si="189"/>
        <v>4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smo_human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289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313</v>
      </c>
      <c r="P375" s="3">
        <v>340</v>
      </c>
      <c r="Q375" s="3">
        <f>VLOOKUP($A375,'SegEnds_NonXtal_BW#'!$A:$Z,12,FALSE)+VLOOKUP($A375,A:AL,16,FALSE)-50</f>
        <v>349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353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378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440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12</v>
      </c>
      <c r="AW375" s="3">
        <f t="shared" si="187"/>
        <v>4</v>
      </c>
      <c r="AX375" s="3">
        <f t="shared" si="188"/>
        <v>7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smo_human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280</v>
      </c>
      <c r="P376" s="3">
        <v>307</v>
      </c>
      <c r="Q376" s="3">
        <f>VLOOKUP($A376,'SegEnds_NonXtal_BW#'!$A:$Z,12,FALSE)+VLOOKUP($A376,A:AL,16,FALSE)-50</f>
        <v>316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320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345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407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12</v>
      </c>
      <c r="AW376" s="3">
        <f t="shared" si="187"/>
        <v>4</v>
      </c>
      <c r="AX376" s="3">
        <f t="shared" si="188"/>
        <v>7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smo_human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307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334</v>
      </c>
      <c r="P377" s="3">
        <v>361</v>
      </c>
      <c r="Q377" s="3">
        <f>VLOOKUP($A377,'SegEnds_NonXtal_BW#'!$A:$Z,12,FALSE)+VLOOKUP($A377,A:AL,16,FALSE)-50</f>
        <v>370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374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399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461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12</v>
      </c>
      <c r="AW377" s="3">
        <f t="shared" si="187"/>
        <v>4</v>
      </c>
      <c r="AX377" s="3">
        <f t="shared" si="188"/>
        <v>7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smo_human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331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394</v>
      </c>
      <c r="P378" s="3">
        <v>421</v>
      </c>
      <c r="Q378" s="3">
        <f>VLOOKUP($A378,'SegEnds_NonXtal_BW#'!$A:$Z,12,FALSE)+VLOOKUP($A378,A:AL,16,FALSE)-50</f>
        <v>430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434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459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523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12</v>
      </c>
      <c r="AW378" s="3">
        <f t="shared" si="187"/>
        <v>4</v>
      </c>
      <c r="AX378" s="3">
        <f t="shared" si="188"/>
        <v>9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smo_human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311</v>
      </c>
      <c r="P379" s="3">
        <v>338</v>
      </c>
      <c r="Q379" s="3">
        <f>VLOOKUP($A379,'SegEnds_NonXtal_BW#'!$A:$Z,12,FALSE)+VLOOKUP($A379,A:AL,16,FALSE)-50</f>
        <v>347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351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376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438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12</v>
      </c>
      <c r="AW379" s="3">
        <f t="shared" si="187"/>
        <v>4</v>
      </c>
      <c r="AX379" s="3">
        <f t="shared" si="188"/>
        <v>7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31" t="s">
        <v>1510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30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apj_human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150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cxcr4_human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1">
    <cfRule type="expression" dxfId="22" priority="25">
      <formula>NOT(OR(C2&lt;E2,C2="-",E2="-"))</formula>
    </cfRule>
  </conditionalFormatting>
  <conditionalFormatting sqref="K2:L2 K3 K4:L411">
    <cfRule type="expression" dxfId="21" priority="29">
      <formula>NOT(OR(G2&lt;K2,G2="-",K2="-"))</formula>
    </cfRule>
  </conditionalFormatting>
  <conditionalFormatting sqref="N2:O2 N4:N18 O3:O18 N19:O411">
    <cfRule type="expression" dxfId="20" priority="31">
      <formula>NOT(OR(I2&lt;N2,I2="-",N2="-"))</formula>
    </cfRule>
  </conditionalFormatting>
  <conditionalFormatting sqref="Q2:R411">
    <cfRule type="expression" dxfId="19" priority="33">
      <formula>NOT(OR(K2&lt;Q2,K2="-",Q2="-"))</formula>
    </cfRule>
  </conditionalFormatting>
  <conditionalFormatting sqref="T2:U411">
    <cfRule type="expression" dxfId="18" priority="35">
      <formula>NOT(OR(M2&lt;T2,M2="-",T2="-"))</formula>
    </cfRule>
  </conditionalFormatting>
  <conditionalFormatting sqref="W2:X411">
    <cfRule type="expression" dxfId="17" priority="37">
      <formula>NOT(OR(O2&lt;W2,O2="-",W2="-"))</formula>
    </cfRule>
  </conditionalFormatting>
  <conditionalFormatting sqref="Z2:AA411">
    <cfRule type="expression" dxfId="16" priority="39">
      <formula>NOT(OR(Q2&lt;Z2,Q2="-",Z2="-"))</formula>
    </cfRule>
  </conditionalFormatting>
  <conditionalFormatting sqref="AC2:AD411">
    <cfRule type="expression" dxfId="15" priority="41">
      <formula>NOT(OR(S2&lt;AC2,S2="-",AC2="-"))</formula>
    </cfRule>
  </conditionalFormatting>
  <conditionalFormatting sqref="AF2:AG411">
    <cfRule type="expression" dxfId="14" priority="43">
      <formula>NOT(OR(U2&lt;AF2,U2="-",AF2="-"))</formula>
    </cfRule>
  </conditionalFormatting>
  <conditionalFormatting sqref="AI2:AJ411">
    <cfRule type="expression" dxfId="13" priority="45">
      <formula>NOT(OR(W2&lt;AI2,W2="-",AI2="-"))</formula>
    </cfRule>
  </conditionalFormatting>
  <conditionalFormatting sqref="AL2:AL411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250" activePane="bottomLeft" state="frozenSplit"/>
      <selection pane="bottomLeft" activeCell="E268" sqref="E268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pe2r3_human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drd2_human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5ht2c_human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pe2r3_human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aa1r_human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pe2r3_human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1524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pth1r_human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1430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pth1r_human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1423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1510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apj_human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1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1510</v>
      </c>
      <c r="B44" s="121" t="s">
        <v>1512</v>
      </c>
      <c r="C44" t="s">
        <v>1508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1423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1410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1430</v>
      </c>
      <c r="B115" t="s">
        <v>1429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1451</v>
      </c>
      <c r="B123" t="s">
        <v>1452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1524</v>
      </c>
      <c r="B124" t="s">
        <v>1525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1463</v>
      </c>
      <c r="B125" t="s">
        <v>1465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SVGPATSTLMFVAGVVGNGLALGILSSAFAVLVTGLAATDLLGTSFLSPAVFVAYARARGGPALCDAFAFAMTFFGLASMLILFAMAVERCLALSHGPRCARLALPAIYAFCVLFCALPLLGQPGGAAFSLAYAGLVALLVAAIFLCNGSVTLSLCRMYRQQKRHPRPRTGEDEVDHLILLALMTVVMAVCSLPLTIRCFTQAVASEMGDLLAFRFYAFNPILDPWVFILFRKAVFQRLKLWVCC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QPGGAAFSLAYAGLVALLVAAIFLCNGSVTLSLCRMYRQQKRH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42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CVAGVIPVIYYSVLLGLGLPVSLLTAVALARLRPSYYYLLALTASDIIIQVVIVFAGFLLQGARQVPQAVVRTANILEFAANHASVWIAILLTVDRYTALCHSSPGRTRRAIAAVLSAALLTGIPFYDEVLKWAHCLTVYFIPCGVFLVTNSAIIHRLRRLQPRVGKSTAILLGITTLFTLLWAPRVFVMLYHMYVDWRVHLALDVANMVAMLHTAANFGLYCFVSKTFRATVRQVIH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294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24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VCIFETVVIVLLTFLIIAGNLTVIFVFHCAHYTTSYFIQTMAYADLFVGVSCLVPTLSLLHGVHESLTCQVFGYIISVLKSVSMACLACISVDRYLAITKTPCRLRICIILIWIYSCLIFLPSFFGWTSAYFTGFIVCLLYAPAAFVVCFTYFHIFKICRQHTKEINSSRETGHSPDRRYAMVLFRITSVFYMLWLPYIIYFLLESSRPTLSFLTTWLAISNSFCNCVIYSLSNSVFRLGLRRLS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39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29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21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27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28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GNSAVMGGVLFSTGLLGNLLALGLLASVFYMLVCGLTVTDLLGKCLLSPVVLAAYAQPALDNSLCQAFAFFMSFFGLSSTLQLLAMALECWLSLGHTLRLGALVAPVVSAFSLAFCALPFMGSLSVLGYSVLYSSLMALLVLATVLCNLGAMRNLYAMHRRLQRHPRSSPQPLEELDHLLLLALMTVLFTMCSLPVIYRAYYGAFKRTSEEAEDLRALRFLSVISIVDPWIFIIFRSPVFRIFFHKIFI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193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45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PALPIFSMTLGAVSNLLALALLAQAARRRSAATFLLFVASLLATDLAGHVIPGALVLRLYTGGACHFLGGCMVFFGLCPLLLGCGMAVERCVGVTRSVARARLALAAVAAVALAVALLPLARWRQALLAGLFASLGLVALLAALVCNTLSGLALLRARWRRRSRRRRARAHDVEMVGQLVGIMVVSCICWSPMLVLVALAVGGLQRPLFLAVRLASWNQILDPWVYILLRQAVLRQLLRLLPPRAGAKG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</v>
      </c>
      <c r="Q236" s="4" t="str">
        <f t="shared" si="87"/>
        <v>ILLRQAVLRQLLRLLPPRAGAKG</v>
      </c>
      <c r="R236" s="5">
        <f>VLOOKUP($A236,'SegEnds_NonXtal_Prot#'!$A:$AL,3,FALSE)</f>
        <v>36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198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352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351</v>
      </c>
      <c r="AO236" s="5">
        <f>VLOOKUP($A236,'SegEnds_NonXtal_Prot#'!$A:$AL,38,FALSE)</f>
        <v>374</v>
      </c>
      <c r="AP236" s="5">
        <f t="shared" si="88"/>
        <v>25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42</v>
      </c>
      <c r="AY236" s="4">
        <f t="shared" si="97"/>
        <v>37</v>
      </c>
      <c r="AZ236" s="4">
        <f t="shared" si="98"/>
        <v>22</v>
      </c>
      <c r="BA236" s="4">
        <f t="shared" si="99"/>
        <v>22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VAFPITMLLTGFVGNALAMLLVSRSYRKSFLLCIGWLALTDLVGQLLTTPVVIVVYLSKIDPSGRLCTFFGLTMTVFGLSSLFIASAMAVERALAIRAKTRATRAVLLGVWLAVLAFALLPVLGWGNLFFASAFAFLGLLALTVTFSCNLATIKALVSRCRAKATAQWGRITTETAIQLMGIMCVLSVCWSPLLIMMLKMIFNQTSTHTEKQKECNFFLIAVRLASLNQILDPWVYLLLRKILLRKFCQIRYHTNNYAS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40</v>
      </c>
      <c r="AY238" s="4">
        <f t="shared" si="97"/>
        <v>40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NSPVTIPAVMFIFGVVGNLVAIVVLCTTFYTLVCGLAVTDLLGTLLVSPVTIATYMKGQPLCEYSTFILLFFSLSGLSIICAMSVERYLAINHDKRLAGLTLFAVYASNVLFCALPNMGVTAHAAYSYMYAGFSSFLILATVLCNVLVCGALLRMHRQFMRRTSLRRIAGAEIQMVILLIATSLVVLICSIPLVVRVFVNQLYREVSKNPDLQAIRIASVNPILDPWIYILLRKTVLSKAIEKIKC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45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VFFSVIFMTVGILSNSLAIAILMKAYQKSKASFLLLASGLVITDFFGHLINGAIAVFVYASDFDQSNVLCSIFGICMVFSGLCPLLLGSVMAIERCIGVTKTSKHVKMMLSGVCLFAVFIALLPILGRFYLLLFSFLGLLALGVSLLCNAITGITLLRVKFKSQQHHLEMVIQLLAIMCVSCICWSPFLVTMANIGINTCETTLFALRMATWNQILDPWVYILLRKAVLKNLYKLASQCCGVHV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VFFSVIFMTVGILSNSLAIAILMKAY</v>
      </c>
      <c r="G240" s="4" t="str">
        <f t="shared" si="77"/>
        <v>QRFR</v>
      </c>
      <c r="H240" s="4" t="str">
        <f t="shared" si="78"/>
        <v>QKSKASFLLLASGLVITDFFGHLINGAIAVFVYASD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30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95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25</v>
      </c>
      <c r="AQ240" s="4">
        <f t="shared" si="89"/>
        <v>3</v>
      </c>
      <c r="AR240" s="4">
        <f t="shared" si="90"/>
        <v>35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PWFAASFCVVGLASNLLALSVLAGARQSSFLTFLCGLVLTDFLGLLVTGTIVVSQHAAVDPGCRLCRFMGVVMIFFGLSPLLLGAAMASERYLGITRSQRRAWATVGLVWAAALALGLLPLLGFSMLGGLSVGLSFLLNTVSVATLCHVYHGQEAAQQRPEVEMMAQLLGIMVVASVCWLPLLVFIAQTVLRNPPAGQLSRTTEKELLIYLRVATWNQILDPWVYILFRRAVLRRLQPRLSTRPRSLS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FSMLGGLSVGLSFLLNTVSVATLCHVYHGQEAAQQRP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</v>
      </c>
      <c r="Q252" s="4" t="str">
        <f t="shared" si="87"/>
        <v>ILFRRAVLRRLQPRLSTRPRSLS</v>
      </c>
      <c r="R252" s="5">
        <f>VLOOKUP($A252,'SegEnds_NonXtal_Prot#'!$A:$AL,3,FALSE)</f>
        <v>28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200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309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308</v>
      </c>
      <c r="AO252" s="5">
        <f>VLOOKUP($A252,'SegEnds_NonXtal_Prot#'!$A:$AL,38,FALSE)</f>
        <v>331</v>
      </c>
      <c r="AP252" s="5">
        <f t="shared" si="88"/>
        <v>26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36</v>
      </c>
      <c r="AY252" s="4">
        <f t="shared" si="97"/>
        <v>34</v>
      </c>
      <c r="AZ252" s="4">
        <f t="shared" si="98"/>
        <v>29</v>
      </c>
      <c r="BA252" s="4">
        <f t="shared" si="99"/>
        <v>22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41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APLRISLAIVMLLMTVVGFLGNTVVCIIVYQRSAINLLLATLAFSDIMLSLCCMPFTAVTLITVGDHFCRLSATLYWFFVLEGVAILLIISVDRFLIIVQNPRRAKVIIAVSWVLSFCIAGPSLTDRAYVVTLVVAVFFAPFGVMLCAYMCILNTVRKNAVRVHNQSSVDLSFKTKAFTTILILFVGFSLCWLPHSVYSLLSVFSGSSFYATSTCVLWLSYLKSVFNPIVYCWRIKKFREACIELLP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QIVLWAAAYTVIVVTSVVGNVVVMWIILAHTVTNYFLVNLAFAEASMAAFNTVVNFTYAVGLFYCKFHNFFPIAAVFASIYSMTAVAFDRYMAIIHSATATKVVICVIWVLALLLAFPQGYYSPNKIYEKVYHICVTVLIYFLPLLVIGYAYTVVGITLWASEIPGDRYHEQVSAKRKVVKMMIVVVCTFAICWLPFHIFFLLPYINKKFIQQVYLAIMWLAMSSTMYNPIIYCCLNDRFRLGFKHAF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94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29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QLALWATAYLALVLVAVTGNAIVIWIILAHTVTNYFIVNLALADLCMAAFNAAFNFVYASGRAFCYFQNLFPITAMFVSIYSMTAIAADRYMAIVHSAPSTKAVIAGIWLVALALASPQCFYSSGGKTLLLYHLVVIALIYFLPLAVMFVAYSVIGLTLWRRAVPGHANLRHLQAMKKFVKTMVLVVLTFAICWLPYHLYFILGSFQHKFIQQVYLALFWLAMSSTMYNPIIYCCLNHRFRSGFRLAF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QLALWATAYLALVLVAVTGNAIVIWIILAH</v>
      </c>
      <c r="G289" s="4" t="str">
        <f t="shared" si="102"/>
        <v>RRMR</v>
      </c>
      <c r="H289" s="4" t="str">
        <f t="shared" si="103"/>
        <v>TVTNYFIVNLALADLCMAAFNAAFNFVYAS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32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95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29</v>
      </c>
      <c r="AQ289" s="4">
        <f t="shared" si="114"/>
        <v>3</v>
      </c>
      <c r="AR289" s="4">
        <f t="shared" si="115"/>
        <v>29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RIALWSLAYGVVVAVAVLGNLIVIWIILAHTVTNYFLVNLAFSDASMAAFNTLVNFIYALGANYCRFQNFFPITAVFASIYSMTAIAVDRYMAIIDSATATKIVIGSIWILAFLLAFPQCLYSEGPKQHFTYHIIVIILVYCFPLLIMGITYTIVGITLWGGEIPGDKYHEQLKAKRKVVKMMIIVVMTFAICWLPYHIYFILTAIYWKYIQQVYLASFWLAMSSTMYNPIIYCCLNKRFRAGFKRAF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147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29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EEESYFSTVKIIYTVGHSISIVALFVAITILVALCPRNYVHTQLFTTFILKAGAVFLKDAALVLCKVSVAASHFATMTNFSWLLAEAVYLNCLLASSSRRAFWWLVLAGWGLPVLFTGTWVSCKLAFEYWWIIKGPIVLSVGVNFGLFLNIIRILVRKLHTQSQYWRLSKSTLFLIPLFGIHYIIFNFLLGIRLPLELGLGSFQGFIVAILYCFLNQEVRTEISRKWHGHDPELLPAWRTR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121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33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30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145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33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179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33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136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33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134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33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134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33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118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33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LMALTSQEEDPVLTVITYVGLSVSLLCLLLAALTFLLCNTSTSLHLQLSLCLFLAHLLFLVGIDRVLCSIIAGALHYLYLAAFTWMLLEGVHLFLTARNINRLMKWIMFPVGYGVPAVTVAISAASWPHLYDQGFMWSFLGPVCAIFSANLVLFILVFWILKRKLNTRMLAFKATAQLFILGCTWCLGLLQAQVMAYLFTIINSLQGFFIFLVYCLLSQQVQKQYQKWFREIVK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INRLMKWIMFPVGYGVPAVTVAISAASWPHLY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459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31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4" workbookViewId="0">
      <selection activeCell="L18" sqref="L1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5" t="s">
        <v>1375</v>
      </c>
      <c r="H1" s="32" t="s">
        <v>1508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1186</v>
      </c>
      <c r="B30" s="1" t="s">
        <v>409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NoXtal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363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3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325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NoXtal</v>
      </c>
      <c r="J113" s="3"/>
    </row>
    <row r="114" spans="1:10" x14ac:dyDescent="0.2">
      <c r="A114" s="3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NoXtal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191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133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3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3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3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3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3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3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365</v>
      </c>
      <c r="B368" s="1" t="s">
        <v>363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3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3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3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3" t="s">
        <v>473</v>
      </c>
      <c r="B389" s="1" t="s">
        <v>363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NoXtal</v>
      </c>
      <c r="J389" s="3"/>
    </row>
    <row r="390" spans="1:10" x14ac:dyDescent="0.2">
      <c r="A390" s="3" t="s">
        <v>213</v>
      </c>
      <c r="B390" s="1" t="s">
        <v>138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3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3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3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1510</v>
      </c>
      <c r="B410" s="1" t="s">
        <v>1510</v>
      </c>
      <c r="C410" s="122" t="s">
        <v>1510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1524</v>
      </c>
      <c r="B411" s="1" t="s">
        <v>1524</v>
      </c>
      <c r="C411" s="122" t="s">
        <v>1524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3" priority="5" operator="equal">
      <formula>FALSE</formula>
    </cfRule>
  </conditionalFormatting>
  <conditionalFormatting sqref="G2:G411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1524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1510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1430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1463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2019-01-05T10:22:09Z</dcterms:modified>
  <cp:category/>
  <cp:contentStatus/>
</cp:coreProperties>
</file>